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OPEYB\Desktop\Rate Engineering\EV Charging Project demonstration proforma\"/>
    </mc:Choice>
  </mc:AlternateContent>
  <xr:revisionPtr revIDLastSave="0" documentId="13_ncr:1_{060C42F6-07A7-4E09-B6C2-B1445D037154}" xr6:coauthVersionLast="45" xr6:coauthVersionMax="45" xr10:uidLastSave="{00000000-0000-0000-0000-000000000000}"/>
  <bookViews>
    <workbookView xWindow="-110" yWindow="-110" windowWidth="22780" windowHeight="14660" tabRatio="852" activeTab="6" xr2:uid="{00000000-000D-0000-FFFF-FFFF00000000}"/>
  </bookViews>
  <sheets>
    <sheet name="references--&gt;" sheetId="2" r:id="rId1"/>
    <sheet name="Utility Bills Public SC9" sheetId="45" r:id="rId2"/>
    <sheet name="Utility Bills Public SC2" sheetId="51" r:id="rId3"/>
    <sheet name="Utility Bills City SC9" sheetId="47" r:id="rId4"/>
    <sheet name="Utility Bills City SC2" sheetId="52" r:id="rId5"/>
    <sheet name="Utility Bills summary" sheetId="48" r:id="rId6"/>
    <sheet name="Assumptions" sheetId="16" r:id="rId7"/>
    <sheet name="Summary Financials" sheetId="25" r:id="rId8"/>
    <sheet name="Demo financial pro forma" sheetId="41" r:id="rId9"/>
    <sheet name="Depreciation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" localSheetId="8">#REF!</definedName>
    <definedName name="a" localSheetId="7">#REF!</definedName>
    <definedName name="a" localSheetId="4">#REF!</definedName>
    <definedName name="a" localSheetId="3">#REF!</definedName>
    <definedName name="a" localSheetId="2">#REF!</definedName>
    <definedName name="a" localSheetId="1">#REF!</definedName>
    <definedName name="a">#REF!</definedName>
    <definedName name="aaa" localSheetId="8">#REF!</definedName>
    <definedName name="aaa" localSheetId="7">#REF!</definedName>
    <definedName name="aaa" localSheetId="4">#REF!</definedName>
    <definedName name="aaa" localSheetId="3">#REF!</definedName>
    <definedName name="aaa" localSheetId="2">#REF!</definedName>
    <definedName name="aaa" localSheetId="1">#REF!</definedName>
    <definedName name="aaa">#REF!</definedName>
    <definedName name="beta">[1]Dashboard!$C$18</definedName>
    <definedName name="beta_annual">[1]Quarterly_Norway!$C$17</definedName>
    <definedName name="billion">[1]Control!$B$136</definedName>
    <definedName name="Brand">'[2]Input Assumptions'!$A$41:$A$47</definedName>
    <definedName name="BROOKLYN" localSheetId="8">#REF!</definedName>
    <definedName name="BROOKLYN" localSheetId="7">#REF!</definedName>
    <definedName name="BROOKLYN" localSheetId="4">#REF!</definedName>
    <definedName name="BROOKLYN" localSheetId="3">#REF!</definedName>
    <definedName name="BROOKLYN" localSheetId="2">#REF!</definedName>
    <definedName name="BROOKLYN" localSheetId="1">#REF!</definedName>
    <definedName name="BROOKLYN">#REF!</definedName>
    <definedName name="CapDollars" localSheetId="8">#REF!</definedName>
    <definedName name="CapDollars" localSheetId="7">#REF!</definedName>
    <definedName name="CapDollars" localSheetId="4">#REF!</definedName>
    <definedName name="CapDollars" localSheetId="3">#REF!</definedName>
    <definedName name="CapDollars" localSheetId="2">#REF!</definedName>
    <definedName name="CapDollars" localSheetId="1">#REF!</definedName>
    <definedName name="CapDollars">#REF!</definedName>
    <definedName name="colortenspv" localSheetId="8">#REF!</definedName>
    <definedName name="colortenspv" localSheetId="7">#REF!</definedName>
    <definedName name="colortenspv" localSheetId="4">#REF!</definedName>
    <definedName name="colortenspv" localSheetId="3">#REF!</definedName>
    <definedName name="colortenspv" localSheetId="2">#REF!</definedName>
    <definedName name="colortenspv" localSheetId="1">#REF!</definedName>
    <definedName name="colortenspv">#REF!</definedName>
    <definedName name="data.adressablePercentage">[3]Data_NA!$B$5:$E$5</definedName>
    <definedName name="data.EVsalesLimit">[3]Data_NA!$B$7:$E$7</definedName>
    <definedName name="data.scenarios">[3]Data_NA!$B$1:$E$1</definedName>
    <definedName name="Data_currency">[1]Data_Global!$B$37:$E$44</definedName>
    <definedName name="Data_currency.col">[1]Data_Global!$B$37:$E$37</definedName>
    <definedName name="data_currency.ID">[1]Data_Global!$D$37:$D$44</definedName>
    <definedName name="Data_FX">[1]Data_Global!$B$28:$CD$33</definedName>
    <definedName name="Data_FX.ID">[1]Data_Global!$E$28:$E$33</definedName>
    <definedName name="Data_FX.year">[1]Data_Global!$B$28:$CD$28</definedName>
    <definedName name="Data_PriceVolumeMap">[1]Data_Global!$B$9:$FA$24</definedName>
    <definedName name="Data_PriceVolumeMap.ID">[1]Data_Global!$E$9:$E$24</definedName>
    <definedName name="Data_PVMapLower">[1]Data_Global!$G$12</definedName>
    <definedName name="Data_replacementCycle">[1]Data_Global!$B$3:$AO$7</definedName>
    <definedName name="Data_replacementCycle.ID">[1]Data_Global!$D$3:$D$7</definedName>
    <definedName name="Data_replacementCycle.year">[1]Data_Global!$B$5:$AO$5</definedName>
    <definedName name="DB_country">[1]Dashboard!$C$5</definedName>
    <definedName name="DB_currency">[1]Dashboard!$C$9</definedName>
    <definedName name="DB_dataCols">[1]Dashboard!$C$14</definedName>
    <definedName name="DB_dataRows">[1]Dashboard!$C$13</definedName>
    <definedName name="DB_dataTable">[1]Dashboard!$C$12</definedName>
    <definedName name="DB_forecastStart">[1]Dashboard!$C$11</definedName>
    <definedName name="DB_PVlookup">[1]Dashboard!$C$10</definedName>
    <definedName name="DB_segment">[1]Dashboard!$C$6</definedName>
    <definedName name="DB_switch_everIncreasing">[1]Dashboard!$C$8</definedName>
    <definedName name="def_countries">OFFSET([1]Def!$B$5,0,0,[1]Def!$B$18)</definedName>
    <definedName name="def_segments">OFFSET([1]Def!$C$5,0,0,[1]Def!$C$18)</definedName>
    <definedName name="DELTA" localSheetId="8">#REF!</definedName>
    <definedName name="DELTA" localSheetId="7">#REF!</definedName>
    <definedName name="DELTA" localSheetId="4">#REF!</definedName>
    <definedName name="DELTA" localSheetId="3">#REF!</definedName>
    <definedName name="DELTA" localSheetId="2">#REF!</definedName>
    <definedName name="DELTA" localSheetId="1">#REF!</definedName>
    <definedName name="DELTA">#REF!</definedName>
    <definedName name="DMNC" localSheetId="8">#REF!</definedName>
    <definedName name="DMNC" localSheetId="7">#REF!</definedName>
    <definedName name="DMNC" localSheetId="4">#REF!</definedName>
    <definedName name="DMNC" localSheetId="3">#REF!</definedName>
    <definedName name="DMNC" localSheetId="2">#REF!</definedName>
    <definedName name="DMNC" localSheetId="1">#REF!</definedName>
    <definedName name="DMNC">#REF!</definedName>
    <definedName name="EFORD" localSheetId="8">#REF!</definedName>
    <definedName name="EFORD" localSheetId="7">#REF!</definedName>
    <definedName name="EFORD" localSheetId="4">#REF!</definedName>
    <definedName name="EFORD" localSheetId="3">#REF!</definedName>
    <definedName name="EFORD" localSheetId="2">#REF!</definedName>
    <definedName name="EFORD" localSheetId="1">#REF!</definedName>
    <definedName name="EFORD">#REF!</definedName>
    <definedName name="Energy" localSheetId="8">#REF!</definedName>
    <definedName name="Energy" localSheetId="7">#REF!</definedName>
    <definedName name="Energy" localSheetId="4">#REF!</definedName>
    <definedName name="Energy" localSheetId="3">#REF!</definedName>
    <definedName name="Energy" localSheetId="2">#REF!</definedName>
    <definedName name="Energy" localSheetId="1">#REF!</definedName>
    <definedName name="Energy">#REF!</definedName>
    <definedName name="energyprice2">'[4]Energy price'!$B$72:$AQ$300</definedName>
    <definedName name="f" localSheetId="8">#REF!</definedName>
    <definedName name="f" localSheetId="7">#REF!</definedName>
    <definedName name="f" localSheetId="4">#REF!</definedName>
    <definedName name="f" localSheetId="3">#REF!</definedName>
    <definedName name="f" localSheetId="2">#REF!</definedName>
    <definedName name="f" localSheetId="1">#REF!</definedName>
    <definedName name="f">#REF!</definedName>
    <definedName name="FIRMYTD">[5]FIRM!$A$53:$GL$88</definedName>
    <definedName name="FixedCharges" localSheetId="8">#REF!</definedName>
    <definedName name="FixedCharges" localSheetId="7">#REF!</definedName>
    <definedName name="FixedCharges" localSheetId="4">#REF!</definedName>
    <definedName name="FixedCharges" localSheetId="3">#REF!</definedName>
    <definedName name="FixedCharges" localSheetId="2">#REF!</definedName>
    <definedName name="FixedCharges" localSheetId="1">#REF!</definedName>
    <definedName name="FixedCharges">#REF!</definedName>
    <definedName name="FORECAST" localSheetId="8">#REF!</definedName>
    <definedName name="FORECAST" localSheetId="7">#REF!</definedName>
    <definedName name="FORECAST" localSheetId="4">#REF!</definedName>
    <definedName name="FORECAST" localSheetId="3">#REF!</definedName>
    <definedName name="FORECAST" localSheetId="2">#REF!</definedName>
    <definedName name="FORECAST" localSheetId="1">#REF!</definedName>
    <definedName name="FORECAST">#REF!</definedName>
    <definedName name="FTR">'[6]PJM Forward Curve'!$B$15</definedName>
    <definedName name="Fuelburn" localSheetId="8">#REF!</definedName>
    <definedName name="Fuelburn" localSheetId="7">#REF!</definedName>
    <definedName name="Fuelburn" localSheetId="4">#REF!</definedName>
    <definedName name="Fuelburn" localSheetId="3">#REF!</definedName>
    <definedName name="Fuelburn" localSheetId="2">#REF!</definedName>
    <definedName name="Fuelburn" localSheetId="1">#REF!</definedName>
    <definedName name="Fuelburn">#REF!</definedName>
    <definedName name="fuelvol" localSheetId="8">#REF!</definedName>
    <definedName name="fuelvol" localSheetId="7">#REF!</definedName>
    <definedName name="fuelvol" localSheetId="4">#REF!</definedName>
    <definedName name="fuelvol" localSheetId="3">#REF!</definedName>
    <definedName name="fuelvol" localSheetId="2">#REF!</definedName>
    <definedName name="fuelvol" localSheetId="1">#REF!</definedName>
    <definedName name="fuelvol">#REF!</definedName>
    <definedName name="fuelvol2" localSheetId="8">#REF!</definedName>
    <definedName name="fuelvol2" localSheetId="7">#REF!</definedName>
    <definedName name="fuelvol2" localSheetId="4">#REF!</definedName>
    <definedName name="fuelvol2" localSheetId="3">#REF!</definedName>
    <definedName name="fuelvol2" localSheetId="2">#REF!</definedName>
    <definedName name="fuelvol2" localSheetId="1">#REF!</definedName>
    <definedName name="fuelvol2">#REF!</definedName>
    <definedName name="Gen" localSheetId="8">#REF!</definedName>
    <definedName name="Gen" localSheetId="7">#REF!</definedName>
    <definedName name="Gen" localSheetId="4">#REF!</definedName>
    <definedName name="Gen" localSheetId="3">#REF!</definedName>
    <definedName name="Gen" localSheetId="2">#REF!</definedName>
    <definedName name="Gen" localSheetId="1">#REF!</definedName>
    <definedName name="Gen">#REF!</definedName>
    <definedName name="hourgen" localSheetId="8">#REF!</definedName>
    <definedName name="hourgen" localSheetId="7">#REF!</definedName>
    <definedName name="hourgen" localSheetId="4">#REF!</definedName>
    <definedName name="hourgen" localSheetId="3">#REF!</definedName>
    <definedName name="hourgen" localSheetId="2">#REF!</definedName>
    <definedName name="hourgen" localSheetId="1">#REF!</definedName>
    <definedName name="hourgen">#REF!</definedName>
    <definedName name="int_ScenarioCount">[7]Data!$C$67</definedName>
    <definedName name="loadnn" localSheetId="8">#REF!</definedName>
    <definedName name="loadnn" localSheetId="7">#REF!</definedName>
    <definedName name="loadnn" localSheetId="4">#REF!</definedName>
    <definedName name="loadnn" localSheetId="3">#REF!</definedName>
    <definedName name="loadnn" localSheetId="2">#REF!</definedName>
    <definedName name="loadnn" localSheetId="1">#REF!</definedName>
    <definedName name="loadnn">#REF!</definedName>
    <definedName name="LongRange" localSheetId="8">#REF!</definedName>
    <definedName name="LongRange" localSheetId="7">#REF!</definedName>
    <definedName name="LongRange" localSheetId="4">#REF!</definedName>
    <definedName name="LongRange" localSheetId="3">#REF!</definedName>
    <definedName name="LongRange" localSheetId="2">#REF!</definedName>
    <definedName name="LongRange" localSheetId="1">#REF!</definedName>
    <definedName name="LongRange">#REF!</definedName>
    <definedName name="MANHATTAN" localSheetId="8">#REF!</definedName>
    <definedName name="MANHATTAN" localSheetId="7">#REF!</definedName>
    <definedName name="MANHATTAN" localSheetId="4">#REF!</definedName>
    <definedName name="MANHATTAN" localSheetId="3">#REF!</definedName>
    <definedName name="MANHATTAN" localSheetId="2">#REF!</definedName>
    <definedName name="MANHATTAN" localSheetId="1">#REF!</definedName>
    <definedName name="MANHATTAN">#REF!</definedName>
    <definedName name="million">[1]Dashboard!$C$25</definedName>
    <definedName name="MiscYTD">[5]Misc.!$A$53:$EE$88</definedName>
    <definedName name="MWH" localSheetId="8">#REF!</definedName>
    <definedName name="MWH" localSheetId="7">#REF!</definedName>
    <definedName name="MWH" localSheetId="4">#REF!</definedName>
    <definedName name="MWH" localSheetId="3">#REF!</definedName>
    <definedName name="MWH" localSheetId="2">#REF!</definedName>
    <definedName name="MWH" localSheetId="1">#REF!</definedName>
    <definedName name="MWH">#REF!</definedName>
    <definedName name="networkn" localSheetId="8">'[8]pev+count'!#REF!</definedName>
    <definedName name="networkn" localSheetId="7">'[8]pev+count'!#REF!</definedName>
    <definedName name="networkn" localSheetId="4">'[8]pev+count'!#REF!</definedName>
    <definedName name="networkn" localSheetId="3">'[8]pev+count'!#REF!</definedName>
    <definedName name="networkn" localSheetId="2">'[8]pev+count'!#REF!</definedName>
    <definedName name="networkn" localSheetId="1">'[8]pev+count'!#REF!</definedName>
    <definedName name="networkn">'[8]pev+count'!#REF!</definedName>
    <definedName name="NUGS">[9]NUGS!$A$3:$IN$38</definedName>
    <definedName name="NUGSYTD">[5]NUGS!$A$52:$IN$87</definedName>
    <definedName name="NYCSupply" localSheetId="8">#REF!</definedName>
    <definedName name="NYCSupply" localSheetId="7">#REF!</definedName>
    <definedName name="NYCSupply" localSheetId="4">#REF!</definedName>
    <definedName name="NYCSupply" localSheetId="3">#REF!</definedName>
    <definedName name="NYCSupply" localSheetId="2">#REF!</definedName>
    <definedName name="NYCSupply" localSheetId="1">#REF!</definedName>
    <definedName name="NYCSupply">#REF!</definedName>
    <definedName name="NYISO" localSheetId="8">#REF!</definedName>
    <definedName name="NYISO" localSheetId="7">#REF!</definedName>
    <definedName name="NYISO" localSheetId="4">#REF!</definedName>
    <definedName name="NYISO" localSheetId="3">#REF!</definedName>
    <definedName name="NYISO" localSheetId="2">#REF!</definedName>
    <definedName name="NYISO" localSheetId="1">#REF!</definedName>
    <definedName name="NYISO">#REF!</definedName>
    <definedName name="NYISOYTD" localSheetId="8">#REF!</definedName>
    <definedName name="NYISOYTD" localSheetId="7">#REF!</definedName>
    <definedName name="NYISOYTD" localSheetId="4">#REF!</definedName>
    <definedName name="NYISOYTD" localSheetId="3">#REF!</definedName>
    <definedName name="NYISOYTD" localSheetId="2">#REF!</definedName>
    <definedName name="NYISOYTD" localSheetId="1">#REF!</definedName>
    <definedName name="NYISOYTD">#REF!</definedName>
    <definedName name="NYPP" localSheetId="8">#REF!</definedName>
    <definedName name="NYPP" localSheetId="7">#REF!</definedName>
    <definedName name="NYPP" localSheetId="4">#REF!</definedName>
    <definedName name="NYPP" localSheetId="3">#REF!</definedName>
    <definedName name="NYPP" localSheetId="2">#REF!</definedName>
    <definedName name="NYPP" localSheetId="1">#REF!</definedName>
    <definedName name="NYPP">#REF!</definedName>
    <definedName name="NYPPYTD">[5]NYISO!$A$53:$HF$76</definedName>
    <definedName name="offpeakMW" localSheetId="8">#REF!</definedName>
    <definedName name="offpeakMW" localSheetId="7">#REF!</definedName>
    <definedName name="offpeakMW" localSheetId="4">#REF!</definedName>
    <definedName name="offpeakMW" localSheetId="3">#REF!</definedName>
    <definedName name="offpeakMW" localSheetId="2">#REF!</definedName>
    <definedName name="offpeakMW" localSheetId="1">#REF!</definedName>
    <definedName name="offpeakMW">#REF!</definedName>
    <definedName name="offpeakpercentage" localSheetId="8">#REF!</definedName>
    <definedName name="offpeakpercentage" localSheetId="7">#REF!</definedName>
    <definedName name="offpeakpercentage" localSheetId="4">#REF!</definedName>
    <definedName name="offpeakpercentage" localSheetId="3">#REF!</definedName>
    <definedName name="offpeakpercentage" localSheetId="2">#REF!</definedName>
    <definedName name="offpeakpercentage" localSheetId="1">#REF!</definedName>
    <definedName name="offpeakpercentage">#REF!</definedName>
    <definedName name="onpeakMW" localSheetId="8">#REF!</definedName>
    <definedName name="onpeakMW" localSheetId="7">#REF!</definedName>
    <definedName name="onpeakMW" localSheetId="4">#REF!</definedName>
    <definedName name="onpeakMW" localSheetId="3">#REF!</definedName>
    <definedName name="onpeakMW" localSheetId="2">#REF!</definedName>
    <definedName name="onpeakMW" localSheetId="1">#REF!</definedName>
    <definedName name="onpeakMW">#REF!</definedName>
    <definedName name="onpeakpercentage" localSheetId="8">#REF!</definedName>
    <definedName name="onpeakpercentage" localSheetId="7">#REF!</definedName>
    <definedName name="onpeakpercentage" localSheetId="4">#REF!</definedName>
    <definedName name="onpeakpercentage" localSheetId="3">#REF!</definedName>
    <definedName name="onpeakpercentage" localSheetId="2">#REF!</definedName>
    <definedName name="onpeakpercentage" localSheetId="1">#REF!</definedName>
    <definedName name="onpeakpercentage">#REF!</definedName>
    <definedName name="Other" localSheetId="8">#REF!</definedName>
    <definedName name="Other" localSheetId="7">#REF!</definedName>
    <definedName name="Other" localSheetId="4">#REF!</definedName>
    <definedName name="Other" localSheetId="3">#REF!</definedName>
    <definedName name="Other" localSheetId="2">#REF!</definedName>
    <definedName name="Other" localSheetId="1">#REF!</definedName>
    <definedName name="Other">#REF!</definedName>
    <definedName name="outputData">[1]Output_RawData!$1:$1048576</definedName>
    <definedName name="outputData.ID">[1]Output_RawData!$A:$A</definedName>
    <definedName name="outputData.year">[1]Output_RawData!$2:$2</definedName>
    <definedName name="p">[1]Dashboard!$C$16</definedName>
    <definedName name="p_annual">[1]Quarterly_Norway!$C$15</definedName>
    <definedName name="PAGE1" localSheetId="8">#REF!</definedName>
    <definedName name="PAGE1" localSheetId="7">#REF!</definedName>
    <definedName name="PAGE1" localSheetId="4">#REF!</definedName>
    <definedName name="PAGE1" localSheetId="3">#REF!</definedName>
    <definedName name="PAGE1" localSheetId="2">#REF!</definedName>
    <definedName name="PAGE1" localSheetId="1">#REF!</definedName>
    <definedName name="PAGE1">#REF!</definedName>
    <definedName name="POWERVOL" localSheetId="8">#REF!</definedName>
    <definedName name="POWERVOL" localSheetId="7">#REF!</definedName>
    <definedName name="POWERVOL" localSheetId="4">#REF!</definedName>
    <definedName name="POWERVOL" localSheetId="3">#REF!</definedName>
    <definedName name="POWERVOL" localSheetId="2">#REF!</definedName>
    <definedName name="POWERVOL" localSheetId="1">#REF!</definedName>
    <definedName name="POWERVOL">#REF!</definedName>
    <definedName name="powervol2" localSheetId="8">#REF!</definedName>
    <definedName name="powervol2" localSheetId="7">#REF!</definedName>
    <definedName name="powervol2" localSheetId="4">#REF!</definedName>
    <definedName name="powervol2" localSheetId="3">#REF!</definedName>
    <definedName name="powervol2" localSheetId="2">#REF!</definedName>
    <definedName name="powervol2" localSheetId="1">#REF!</definedName>
    <definedName name="powervol2">#REF!</definedName>
    <definedName name="PRICE">[10]Calculation!$AI$19:$AI$173+[10]Calculation!$AB$18:$AN$173</definedName>
    <definedName name="_xlnm.Print_Area" localSheetId="8">'Demo financial pro forma'!$A$1:$F$77</definedName>
    <definedName name="_xlnm.Print_Area" localSheetId="4">'Utility Bills City SC2'!$B$16:$L$70</definedName>
    <definedName name="_xlnm.Print_Area" localSheetId="3">'Utility Bills City SC9'!$B$16:$L$70</definedName>
    <definedName name="_xlnm.Print_Area" localSheetId="2">'Utility Bills Public SC2'!$B$16:$L$70</definedName>
    <definedName name="_xlnm.Print_Area" localSheetId="1">'Utility Bills Public SC9'!$B$16:$L$70</definedName>
    <definedName name="_xlnm.Print_Titles">#N/A</definedName>
    <definedName name="pv_allbuildings" localSheetId="8">#REF!</definedName>
    <definedName name="pv_allbuildings" localSheetId="7">#REF!</definedName>
    <definedName name="pv_allbuildings" localSheetId="4">#REF!</definedName>
    <definedName name="pv_allbuildings" localSheetId="3">#REF!</definedName>
    <definedName name="pv_allbuildings" localSheetId="2">#REF!</definedName>
    <definedName name="pv_allbuildings" localSheetId="1">#REF!</definedName>
    <definedName name="pv_allbuildings">#REF!</definedName>
    <definedName name="q">[1]Dashboard!$C$17</definedName>
    <definedName name="q_annual">[1]Quarterly_Norway!$C$16</definedName>
    <definedName name="QUEENS" localSheetId="8">#REF!</definedName>
    <definedName name="QUEENS" localSheetId="7">#REF!</definedName>
    <definedName name="QUEENS" localSheetId="4">#REF!</definedName>
    <definedName name="QUEENS" localSheetId="3">#REF!</definedName>
    <definedName name="QUEENS" localSheetId="2">#REF!</definedName>
    <definedName name="QUEENS" localSheetId="1">#REF!</definedName>
    <definedName name="QUEEN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ng_COVER_ContentsList" localSheetId="4">#REF!</definedName>
    <definedName name="rng_COVER_ContentsList" localSheetId="3">#REF!</definedName>
    <definedName name="rng_COVER_ContentsList" localSheetId="2">#REF!</definedName>
    <definedName name="rng_COVER_ContentsList" localSheetId="1">#REF!</definedName>
    <definedName name="rng_COVER_ContentsList">#REF!</definedName>
    <definedName name="rng_Cover_Copyright" localSheetId="4">#REF!</definedName>
    <definedName name="rng_Cover_Copyright" localSheetId="3">#REF!</definedName>
    <definedName name="rng_Cover_Copyright" localSheetId="2">#REF!</definedName>
    <definedName name="rng_Cover_Copyright" localSheetId="1">#REF!</definedName>
    <definedName name="rng_Cover_Copyright">#REF!</definedName>
    <definedName name="rng_VBA_Formats" localSheetId="8" xml:space="preserve"> OFFSET(#REF!, 0, 0,#REF!)</definedName>
    <definedName name="rng_VBA_Formats" localSheetId="7" xml:space="preserve"> OFFSET(#REF!, 0, 0,#REF!)</definedName>
    <definedName name="rng_VBA_Formats" localSheetId="4" xml:space="preserve"> OFFSET(#REF!, 0, 0,#REF!)</definedName>
    <definedName name="rng_VBA_Formats" localSheetId="3" xml:space="preserve"> OFFSET(#REF!, 0, 0,#REF!)</definedName>
    <definedName name="rng_VBA_Formats" localSheetId="2" xml:space="preserve"> OFFSET(#REF!, 0, 0,#REF!)</definedName>
    <definedName name="rng_VBA_Formats" localSheetId="1" xml:space="preserve"> OFFSET(#REF!, 0, 0,#REF!)</definedName>
    <definedName name="rng_VBA_Formats" xml:space="preserve"> OFFSET(#REF!, 0, 0,#REF!)</definedName>
    <definedName name="rng_VBA_HeaderContents" localSheetId="8">#REF!</definedName>
    <definedName name="rng_VBA_HeaderContents" localSheetId="7">#REF!</definedName>
    <definedName name="rng_VBA_HeaderContents" localSheetId="4">#REF!</definedName>
    <definedName name="rng_VBA_HeaderContents" localSheetId="3">#REF!</definedName>
    <definedName name="rng_VBA_HeaderContents" localSheetId="2">#REF!</definedName>
    <definedName name="rng_VBA_HeaderContents" localSheetId="1">#REF!</definedName>
    <definedName name="rng_VBA_HeaderContents">#REF!</definedName>
    <definedName name="rng_VBA_LineStyles" localSheetId="8" xml:space="preserve"> OFFSET(#REF!, 0, 0,#REF!)</definedName>
    <definedName name="rng_VBA_LineStyles" localSheetId="7" xml:space="preserve"> OFFSET(#REF!, 0, 0,#REF!)</definedName>
    <definedName name="rng_VBA_LineStyles" localSheetId="4" xml:space="preserve"> OFFSET(#REF!, 0, 0,#REF!)</definedName>
    <definedName name="rng_VBA_LineStyles" localSheetId="3" xml:space="preserve"> OFFSET(#REF!, 0, 0,#REF!)</definedName>
    <definedName name="rng_VBA_LineStyles" localSheetId="2" xml:space="preserve"> OFFSET(#REF!, 0, 0,#REF!)</definedName>
    <definedName name="rng_VBA_LineStyles" localSheetId="1" xml:space="preserve"> OFFSET(#REF!, 0, 0,#REF!)</definedName>
    <definedName name="rng_VBA_LineStyles" xml:space="preserve"> OFFSET(#REF!, 0, 0,#REF!)</definedName>
    <definedName name="rng_VBA_Names" localSheetId="8" xml:space="preserve"> OFFSET(#REF!, 0, 0,#REF!)</definedName>
    <definedName name="rng_VBA_Names" localSheetId="7" xml:space="preserve"> OFFSET(#REF!, 0, 0,#REF!)</definedName>
    <definedName name="rng_VBA_Names" localSheetId="4" xml:space="preserve"> OFFSET(#REF!, 0, 0,#REF!)</definedName>
    <definedName name="rng_VBA_Names" localSheetId="3" xml:space="preserve"> OFFSET(#REF!, 0, 0,#REF!)</definedName>
    <definedName name="rng_VBA_Names" localSheetId="2" xml:space="preserve"> OFFSET(#REF!, 0, 0,#REF!)</definedName>
    <definedName name="rng_VBA_Names" localSheetId="1" xml:space="preserve"> OFFSET(#REF!, 0, 0,#REF!)</definedName>
    <definedName name="rng_VBA_Names" xml:space="preserve"> OFFSET(#REF!, 0, 0,#REF!)</definedName>
    <definedName name="scenario" localSheetId="4">[1]Dashboard!#REF!</definedName>
    <definedName name="scenario" localSheetId="3">[1]Dashboard!#REF!</definedName>
    <definedName name="scenario" localSheetId="2">[1]Dashboard!#REF!</definedName>
    <definedName name="scenario" localSheetId="1">[1]Dashboard!#REF!</definedName>
    <definedName name="scenario">[1]Dashboard!#REF!</definedName>
    <definedName name="solver_adj" localSheetId="6" hidden="1">Assumptions!#REF!</definedName>
    <definedName name="solver_adj" localSheetId="8" hidden="1">[11]Sheet1!$G$47</definedName>
    <definedName name="solver_cvg" localSheetId="6" hidden="1">0.0001</definedName>
    <definedName name="solver_cvg" localSheetId="8" hidden="1">0.0001</definedName>
    <definedName name="solver_cvg" localSheetId="7" hidden="1">0.0001</definedName>
    <definedName name="solver_drv" localSheetId="6" hidden="1">1</definedName>
    <definedName name="solver_drv" localSheetId="8" hidden="1">2</definedName>
    <definedName name="solver_drv" localSheetId="7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st" localSheetId="6" hidden="1">1</definedName>
    <definedName name="solver_est" localSheetId="8" hidden="1">1</definedName>
    <definedName name="solver_est" localSheetId="7" hidden="1">1</definedName>
    <definedName name="solver_itr" localSheetId="6" hidden="1">2147483647</definedName>
    <definedName name="solver_itr" localSheetId="8" hidden="1">2147483647</definedName>
    <definedName name="solver_itr" localSheetId="7" hidden="1">2147483647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wt" localSheetId="6" hidden="1">1</definedName>
    <definedName name="solver_nwt" localSheetId="8" hidden="1">1</definedName>
    <definedName name="solver_nwt" localSheetId="7" hidden="1">1</definedName>
    <definedName name="solver_opt" localSheetId="6" hidden="1">Assumptions!#REF!</definedName>
    <definedName name="solver_opt" localSheetId="8" hidden="1">[11]Sheet1!$G$49</definedName>
    <definedName name="solver_opt" localSheetId="7" hidden="1">'Summary Financials'!$B$130</definedName>
    <definedName name="solver_pre" localSheetId="6" hidden="1">0.000001</definedName>
    <definedName name="solver_pre" localSheetId="8" hidden="1">0.000001</definedName>
    <definedName name="solver_pre" localSheetId="7" hidden="1">0.000001</definedName>
    <definedName name="solver_rbv" localSheetId="6" hidden="1">1</definedName>
    <definedName name="solver_rbv" localSheetId="8" hidden="1">2</definedName>
    <definedName name="solver_rbv" localSheetId="7" hidden="1">1</definedName>
    <definedName name="solver_rlx" localSheetId="6" hidden="1">2</definedName>
    <definedName name="solver_rlx" localSheetId="8" hidden="1">2</definedName>
    <definedName name="solver_rlx" localSheetId="7" hidden="1">2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scl" localSheetId="6" hidden="1">1</definedName>
    <definedName name="solver_scl" localSheetId="8" hidden="1">2</definedName>
    <definedName name="solver_scl" localSheetId="7" hidden="1">1</definedName>
    <definedName name="solver_sho" localSheetId="6" hidden="1">2</definedName>
    <definedName name="solver_sho" localSheetId="8" hidden="1">2</definedName>
    <definedName name="solver_sho" localSheetId="7" hidden="1">2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tim" localSheetId="6" hidden="1">2147483647</definedName>
    <definedName name="solver_tim" localSheetId="8" hidden="1">2147483647</definedName>
    <definedName name="solver_tim" localSheetId="7" hidden="1">2147483647</definedName>
    <definedName name="solver_tol" localSheetId="6" hidden="1">0.01</definedName>
    <definedName name="solver_tol" localSheetId="8" hidden="1">0.01</definedName>
    <definedName name="solver_tol" localSheetId="7" hidden="1">0.01</definedName>
    <definedName name="solver_typ" localSheetId="6" hidden="1">3</definedName>
    <definedName name="solver_typ" localSheetId="8" hidden="1">3</definedName>
    <definedName name="solver_typ" localSheetId="7" hidden="1">3</definedName>
    <definedName name="solver_val" localSheetId="6" hidden="1">2</definedName>
    <definedName name="solver_val" localSheetId="8" hidden="1">7627</definedName>
    <definedName name="solver_val" localSheetId="7" hidden="1">0</definedName>
    <definedName name="solver_ver" localSheetId="6" hidden="1">3</definedName>
    <definedName name="solver_ver" localSheetId="8" hidden="1">3</definedName>
    <definedName name="solver_ver" localSheetId="7" hidden="1">3</definedName>
    <definedName name="SPOTYTD">[5]SPOT!$A$53:$EI$88</definedName>
    <definedName name="STATEN_ISLAND" localSheetId="8">#REF!</definedName>
    <definedName name="STATEN_ISLAND" localSheetId="7">#REF!</definedName>
    <definedName name="STATEN_ISLAND" localSheetId="4">#REF!</definedName>
    <definedName name="STATEN_ISLAND" localSheetId="3">#REF!</definedName>
    <definedName name="STATEN_ISLAND" localSheetId="2">#REF!</definedName>
    <definedName name="STATEN_ISLAND" localSheetId="1">#REF!</definedName>
    <definedName name="STATEN_ISLAND">#REF!</definedName>
    <definedName name="subsetn" localSheetId="8">#REF!</definedName>
    <definedName name="subsetn" localSheetId="7">#REF!</definedName>
    <definedName name="subsetn" localSheetId="4">#REF!</definedName>
    <definedName name="subsetn" localSheetId="3">#REF!</definedName>
    <definedName name="subsetn" localSheetId="2">#REF!</definedName>
    <definedName name="subsetn" localSheetId="1">#REF!</definedName>
    <definedName name="subsetn">#REF!</definedName>
    <definedName name="Tariffs" localSheetId="8">#REF!</definedName>
    <definedName name="Tariffs" localSheetId="7">#REF!</definedName>
    <definedName name="Tariffs" localSheetId="4">#REF!</definedName>
    <definedName name="Tariffs" localSheetId="3">#REF!</definedName>
    <definedName name="Tariffs" localSheetId="2">#REF!</definedName>
    <definedName name="Tariffs" localSheetId="1">#REF!</definedName>
    <definedName name="Tariffs">#REF!</definedName>
    <definedName name="tbl_standardColours" localSheetId="4">#REF!</definedName>
    <definedName name="tbl_standardColours" localSheetId="3">#REF!</definedName>
    <definedName name="tbl_standardColours" localSheetId="2">#REF!</definedName>
    <definedName name="tbl_standardColours" localSheetId="1">#REF!</definedName>
    <definedName name="tbl_standardColours">#REF!</definedName>
    <definedName name="tempn" localSheetId="8">#REF!</definedName>
    <definedName name="tempn" localSheetId="7">#REF!</definedName>
    <definedName name="tempn" localSheetId="4">#REF!</definedName>
    <definedName name="tempn" localSheetId="3">#REF!</definedName>
    <definedName name="tempn" localSheetId="2">#REF!</definedName>
    <definedName name="tempn" localSheetId="1">#REF!</definedName>
    <definedName name="tempn">#REF!</definedName>
    <definedName name="UCAP" localSheetId="8">#REF!</definedName>
    <definedName name="UCAP" localSheetId="7">#REF!</definedName>
    <definedName name="UCAP" localSheetId="4">#REF!</definedName>
    <definedName name="UCAP" localSheetId="3">#REF!</definedName>
    <definedName name="UCAP" localSheetId="2">#REF!</definedName>
    <definedName name="UCAP" localSheetId="1">#REF!</definedName>
    <definedName name="UCAP">#REF!</definedName>
    <definedName name="UCAPQ" localSheetId="8">#REF!</definedName>
    <definedName name="UCAPQ" localSheetId="7">#REF!</definedName>
    <definedName name="UCAPQ" localSheetId="4">#REF!</definedName>
    <definedName name="UCAPQ" localSheetId="3">#REF!</definedName>
    <definedName name="UCAPQ" localSheetId="2">#REF!</definedName>
    <definedName name="UCAPQ" localSheetId="1">#REF!</definedName>
    <definedName name="UCAPQ">#REF!</definedName>
    <definedName name="UCAPrice" localSheetId="8">#REF!</definedName>
    <definedName name="UCAPrice" localSheetId="7">#REF!</definedName>
    <definedName name="UCAPrice" localSheetId="4">#REF!</definedName>
    <definedName name="UCAPrice" localSheetId="3">#REF!</definedName>
    <definedName name="UCAPrice" localSheetId="2">#REF!</definedName>
    <definedName name="UCAPrice" localSheetId="1">#REF!</definedName>
    <definedName name="UCAPrice">#REF!</definedName>
    <definedName name="WESTCHESTER" localSheetId="8">#REF!</definedName>
    <definedName name="WESTCHESTER" localSheetId="7">#REF!</definedName>
    <definedName name="WESTCHESTER" localSheetId="4">#REF!</definedName>
    <definedName name="WESTCHESTER" localSheetId="3">#REF!</definedName>
    <definedName name="WESTCHESTER" localSheetId="2">#REF!</definedName>
    <definedName name="WESTCHESTER" localSheetId="1">#REF!</definedName>
    <definedName name="WESTCHESTER">#REF!</definedName>
    <definedName name="wkt_ids" localSheetId="8">#REF!</definedName>
    <definedName name="wkt_ids" localSheetId="7">#REF!</definedName>
    <definedName name="wkt_ids" localSheetId="4">#REF!</definedName>
    <definedName name="wkt_ids" localSheetId="3">#REF!</definedName>
    <definedName name="wkt_ids" localSheetId="2">#REF!</definedName>
    <definedName name="wkt_ids" localSheetId="1">#REF!</definedName>
    <definedName name="wkt_ids">#REF!</definedName>
    <definedName name="wrn.sales." localSheetId="8" hidden="1">{"summary",#N/A,FALSE,"Total Sales";"year1",#N/A,FALSE,"Total Sales";"year2",#N/A,FALSE,"Total Sales";"year3",#N/A,FALSE,"Total Sales";"year4",#N/A,FALSE,"Total Sales";"year5",#N/A,FALSE,"Total Sales"}</definedName>
    <definedName name="wrn.sales." localSheetId="4" hidden="1">{"summary",#N/A,FALSE,"Total Sales";"year1",#N/A,FALSE,"Total Sales";"year2",#N/A,FALSE,"Total Sales";"year3",#N/A,FALSE,"Total Sales";"year4",#N/A,FALSE,"Total Sales";"year5",#N/A,FALSE,"Total Sales"}</definedName>
    <definedName name="wrn.sales." localSheetId="3" hidden="1">{"summary",#N/A,FALSE,"Total Sales";"year1",#N/A,FALSE,"Total Sales";"year2",#N/A,FALSE,"Total Sales";"year3",#N/A,FALSE,"Total Sales";"year4",#N/A,FALSE,"Total Sales";"year5",#N/A,FALSE,"Total Sales"}</definedName>
    <definedName name="wrn.sales." localSheetId="2" hidden="1">{"summary",#N/A,FALSE,"Total Sales";"year1",#N/A,FALSE,"Total Sales";"year2",#N/A,FALSE,"Total Sales";"year3",#N/A,FALSE,"Total Sales";"year4",#N/A,FALSE,"Total Sales";"year5",#N/A,FALSE,"Total Sales"}</definedName>
    <definedName name="wrn.sales." localSheetId="1" hidden="1">{"summary",#N/A,FALSE,"Total Sales";"year1",#N/A,FALSE,"Total Sales";"year2",#N/A,FALSE,"Total Sales";"year3",#N/A,FALSE,"Total Sales";"year4",#N/A,FALSE,"Total Sales";"year5",#N/A,FALSE,"Total Sales"}</definedName>
    <definedName name="wrn.sales." hidden="1">{"summary",#N/A,FALSE,"Total Sales";"year1",#N/A,FALSE,"Total Sales";"year2",#N/A,FALSE,"Total Sales";"year3",#N/A,FALSE,"Total Sales";"year4",#N/A,FALSE,"Total Sales";"year5",#N/A,FALSE,"Total Sales"}</definedName>
    <definedName name="xLkpNorthwestResLQtlFixed">[12]Control!$1:$1048576</definedName>
    <definedName name="xLkpSoutheastResLQtlFixed">[13]Control!$1:$1048576</definedName>
  </definedNames>
  <calcPr calcId="191029" iterateDelta="1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8" l="1"/>
  <c r="C81" i="41"/>
  <c r="C80" i="41"/>
  <c r="C78" i="41"/>
  <c r="M70" i="41"/>
  <c r="C70" i="41"/>
  <c r="F14" i="45"/>
  <c r="E14" i="45"/>
  <c r="C73" i="45"/>
  <c r="E61" i="45"/>
  <c r="C61" i="45"/>
  <c r="J52" i="16"/>
  <c r="C44" i="16"/>
  <c r="C30" i="16"/>
  <c r="C29" i="16"/>
  <c r="J3" i="25" l="1"/>
  <c r="J2" i="25"/>
  <c r="I3" i="25"/>
  <c r="E29" i="47"/>
  <c r="I85" i="16"/>
  <c r="I83" i="16"/>
  <c r="C60" i="16"/>
  <c r="C32" i="41"/>
  <c r="E39" i="45"/>
  <c r="D133" i="16" l="1"/>
  <c r="D126" i="16" l="1"/>
  <c r="C126" i="16"/>
  <c r="E30" i="51" l="1"/>
  <c r="D30" i="51"/>
  <c r="C44" i="51"/>
  <c r="C37" i="51"/>
  <c r="C36" i="51"/>
  <c r="C40" i="45"/>
  <c r="C39" i="45"/>
  <c r="C38" i="45"/>
  <c r="C37" i="45"/>
  <c r="C30" i="45"/>
  <c r="C71" i="45"/>
  <c r="C55" i="45"/>
  <c r="C56" i="45"/>
  <c r="C54" i="45"/>
  <c r="F5" i="45"/>
  <c r="F7" i="45" s="1"/>
  <c r="G10" i="45"/>
  <c r="C29" i="45"/>
  <c r="G4" i="45"/>
  <c r="C29" i="47"/>
  <c r="C30" i="51"/>
  <c r="C30" i="52"/>
  <c r="C30" i="47"/>
  <c r="E30" i="45"/>
  <c r="F17" i="45"/>
  <c r="E17" i="45"/>
  <c r="D17" i="45"/>
  <c r="E29" i="45"/>
  <c r="D29" i="45"/>
  <c r="G7" i="45" l="1"/>
  <c r="G9" i="45"/>
  <c r="F9" i="45"/>
  <c r="I97" i="16" l="1"/>
  <c r="I96" i="16"/>
  <c r="I118" i="16" l="1"/>
  <c r="C118" i="16"/>
  <c r="I114" i="16"/>
  <c r="I113" i="16"/>
  <c r="C114" i="16"/>
  <c r="C113" i="16"/>
  <c r="I112" i="16"/>
  <c r="C112" i="16"/>
  <c r="C111" i="16"/>
  <c r="I106" i="16"/>
  <c r="I104" i="16"/>
  <c r="I103" i="16"/>
  <c r="I101" i="16"/>
  <c r="I102" i="16"/>
  <c r="C119" i="16"/>
  <c r="I119" i="16"/>
  <c r="I108" i="16"/>
  <c r="C108" i="16"/>
  <c r="C106" i="16" l="1"/>
  <c r="C104" i="16"/>
  <c r="C103" i="16"/>
  <c r="C102" i="16"/>
  <c r="C101" i="16"/>
  <c r="J89" i="16" l="1"/>
  <c r="C89" i="16"/>
  <c r="K43" i="16" l="1"/>
  <c r="K42" i="16"/>
  <c r="J47" i="16" l="1"/>
  <c r="O62" i="41"/>
  <c r="B14" i="47" l="1"/>
  <c r="B14" i="51"/>
  <c r="B14" i="45"/>
  <c r="C62" i="16"/>
  <c r="C21" i="16"/>
  <c r="C22" i="16" s="1"/>
  <c r="D19" i="16"/>
  <c r="D21" i="16" s="1"/>
  <c r="D22" i="16" s="1"/>
  <c r="D20" i="16"/>
  <c r="E21" i="16"/>
  <c r="F19" i="16"/>
  <c r="F20" i="16"/>
  <c r="K58" i="16"/>
  <c r="J58" i="16"/>
  <c r="C35" i="16"/>
  <c r="C36" i="16"/>
  <c r="C37" i="16" s="1"/>
  <c r="D42" i="41"/>
  <c r="C42" i="41"/>
  <c r="N28" i="16"/>
  <c r="L20" i="16"/>
  <c r="M20" i="16"/>
  <c r="N20" i="16"/>
  <c r="K20" i="16"/>
  <c r="K28" i="16"/>
  <c r="K9" i="16"/>
  <c r="L9" i="16"/>
  <c r="J2" i="51" s="1"/>
  <c r="I17" i="51" s="1"/>
  <c r="K17" i="51" s="1"/>
  <c r="L28" i="16"/>
  <c r="M9" i="16"/>
  <c r="M28" i="16"/>
  <c r="E17" i="41" s="1"/>
  <c r="D78" i="41"/>
  <c r="E10" i="24" s="1"/>
  <c r="K13" i="24" s="1"/>
  <c r="E78" i="41"/>
  <c r="F78" i="41"/>
  <c r="BP54" i="52"/>
  <c r="BI54" i="52"/>
  <c r="BB54" i="52"/>
  <c r="AU54" i="52"/>
  <c r="AN54" i="52"/>
  <c r="AG54" i="52"/>
  <c r="Z54" i="52"/>
  <c r="S54" i="52"/>
  <c r="L54" i="52"/>
  <c r="E54" i="52"/>
  <c r="BO36" i="52"/>
  <c r="BN36" i="52"/>
  <c r="BH36" i="52"/>
  <c r="BG36" i="52"/>
  <c r="BA36" i="52"/>
  <c r="AZ36" i="52"/>
  <c r="AT36" i="52"/>
  <c r="AS36" i="52"/>
  <c r="AU36" i="52" s="1"/>
  <c r="AM36" i="52"/>
  <c r="AL36" i="52"/>
  <c r="AF36" i="52"/>
  <c r="AE36" i="52"/>
  <c r="Y36" i="52"/>
  <c r="X36" i="52"/>
  <c r="Z36" i="52" s="1"/>
  <c r="R36" i="52"/>
  <c r="Q36" i="52"/>
  <c r="S36" i="52" s="1"/>
  <c r="K36" i="52"/>
  <c r="J36" i="52"/>
  <c r="D36" i="52"/>
  <c r="C36" i="52"/>
  <c r="BO24" i="52"/>
  <c r="BN24" i="52"/>
  <c r="BH24" i="52"/>
  <c r="BG24" i="52"/>
  <c r="BA24" i="52"/>
  <c r="AZ24" i="52"/>
  <c r="AT24" i="52"/>
  <c r="AS24" i="52"/>
  <c r="AM24" i="52"/>
  <c r="AL24" i="52"/>
  <c r="AF24" i="52"/>
  <c r="AE24" i="52"/>
  <c r="Y24" i="52"/>
  <c r="X24" i="52"/>
  <c r="R24" i="52"/>
  <c r="Q24" i="52"/>
  <c r="K24" i="52"/>
  <c r="J24" i="52"/>
  <c r="D24" i="52"/>
  <c r="C24" i="52"/>
  <c r="BR22" i="52"/>
  <c r="BN31" i="52" s="1"/>
  <c r="BO22" i="52"/>
  <c r="BN22" i="52"/>
  <c r="BK22" i="52"/>
  <c r="BH31" i="52" s="1"/>
  <c r="BH22" i="52"/>
  <c r="BG22" i="52"/>
  <c r="BD22" i="52"/>
  <c r="AZ31" i="52" s="1"/>
  <c r="BA22" i="52"/>
  <c r="AZ22" i="52"/>
  <c r="AW22" i="52"/>
  <c r="AT31" i="52" s="1"/>
  <c r="AT22" i="52"/>
  <c r="AS22" i="52"/>
  <c r="AP22" i="52"/>
  <c r="AM31" i="52" s="1"/>
  <c r="AM22" i="52"/>
  <c r="AL22" i="52"/>
  <c r="AI22" i="52"/>
  <c r="AF31" i="52" s="1"/>
  <c r="AF22" i="52"/>
  <c r="AE22" i="52"/>
  <c r="AB22" i="52"/>
  <c r="Y31" i="52" s="1"/>
  <c r="Y22" i="52"/>
  <c r="X22" i="52"/>
  <c r="U22" i="52"/>
  <c r="Q31" i="52" s="1"/>
  <c r="R22" i="52"/>
  <c r="Q22" i="52"/>
  <c r="N22" i="52"/>
  <c r="J31" i="52" s="1"/>
  <c r="K22" i="52"/>
  <c r="J22" i="52"/>
  <c r="G22" i="52"/>
  <c r="D22" i="52"/>
  <c r="C22" i="52"/>
  <c r="BO21" i="52"/>
  <c r="BN21" i="52"/>
  <c r="BH21" i="52"/>
  <c r="BG21" i="52"/>
  <c r="BA21" i="52"/>
  <c r="AZ21" i="52"/>
  <c r="AT21" i="52"/>
  <c r="AS21" i="52"/>
  <c r="AM21" i="52"/>
  <c r="AL21" i="52"/>
  <c r="AF21" i="52"/>
  <c r="AE21" i="52"/>
  <c r="Y21" i="52"/>
  <c r="X21" i="52"/>
  <c r="R21" i="52"/>
  <c r="Q21" i="52"/>
  <c r="K21" i="52"/>
  <c r="J21" i="52"/>
  <c r="D21" i="52"/>
  <c r="C21" i="52"/>
  <c r="BP17" i="52"/>
  <c r="BN17" i="52"/>
  <c r="BI17" i="52"/>
  <c r="BG17" i="52"/>
  <c r="BB17" i="52"/>
  <c r="AZ17" i="52"/>
  <c r="AU17" i="52"/>
  <c r="AS17" i="52"/>
  <c r="AN17" i="52"/>
  <c r="AL17" i="52"/>
  <c r="AG17" i="52"/>
  <c r="AE17" i="52"/>
  <c r="Z17" i="52"/>
  <c r="X17" i="52"/>
  <c r="S17" i="52"/>
  <c r="Q17" i="52"/>
  <c r="L17" i="52"/>
  <c r="J17" i="52"/>
  <c r="E17" i="52"/>
  <c r="C17" i="52"/>
  <c r="BO24" i="51"/>
  <c r="BN24" i="51"/>
  <c r="BR22" i="51"/>
  <c r="BO31" i="51" s="1"/>
  <c r="BO22" i="51"/>
  <c r="BN22" i="51"/>
  <c r="BO21" i="51"/>
  <c r="BN21" i="51"/>
  <c r="BH24" i="51"/>
  <c r="BG24" i="51"/>
  <c r="BK22" i="51"/>
  <c r="BH31" i="51" s="1"/>
  <c r="BH22" i="51"/>
  <c r="BG22" i="51"/>
  <c r="BH21" i="51"/>
  <c r="BG21" i="51"/>
  <c r="BA24" i="51"/>
  <c r="AZ24" i="51"/>
  <c r="BD22" i="51"/>
  <c r="BA31" i="51" s="1"/>
  <c r="BA22" i="51"/>
  <c r="AZ22" i="51"/>
  <c r="BA21" i="51"/>
  <c r="AZ21" i="51"/>
  <c r="AT24" i="51"/>
  <c r="AS24" i="51"/>
  <c r="AW22" i="51"/>
  <c r="AT31" i="51" s="1"/>
  <c r="AT22" i="51"/>
  <c r="AS22" i="51"/>
  <c r="AT21" i="51"/>
  <c r="AS21" i="51"/>
  <c r="AM24" i="51"/>
  <c r="AL24" i="51"/>
  <c r="AP22" i="51"/>
  <c r="AL31" i="51" s="1"/>
  <c r="AM22" i="51"/>
  <c r="AL22" i="51"/>
  <c r="AM21" i="51"/>
  <c r="AL21" i="51"/>
  <c r="AF24" i="51"/>
  <c r="AE24" i="51"/>
  <c r="AI22" i="51"/>
  <c r="AE31" i="51" s="1"/>
  <c r="AF22" i="51"/>
  <c r="AE22" i="51"/>
  <c r="AF21" i="51"/>
  <c r="AE21" i="51"/>
  <c r="Y24" i="51"/>
  <c r="X24" i="51"/>
  <c r="AB22" i="51"/>
  <c r="X31" i="51" s="1"/>
  <c r="Y22" i="51"/>
  <c r="X22" i="51"/>
  <c r="Y21" i="51"/>
  <c r="X21" i="51"/>
  <c r="R24" i="51"/>
  <c r="Q24" i="51"/>
  <c r="U22" i="51"/>
  <c r="Q31" i="51" s="1"/>
  <c r="R22" i="51"/>
  <c r="Q22" i="51"/>
  <c r="R21" i="51"/>
  <c r="Q21" i="51"/>
  <c r="K24" i="51"/>
  <c r="J24" i="51"/>
  <c r="N22" i="51"/>
  <c r="J31" i="51" s="1"/>
  <c r="K22" i="51"/>
  <c r="J22" i="51"/>
  <c r="K21" i="51"/>
  <c r="J21" i="51"/>
  <c r="D24" i="51"/>
  <c r="D22" i="51"/>
  <c r="D21" i="51"/>
  <c r="C24" i="51"/>
  <c r="C22" i="51"/>
  <c r="C21" i="51"/>
  <c r="BP54" i="51"/>
  <c r="BO36" i="51"/>
  <c r="BP36" i="51" s="1"/>
  <c r="BN36" i="51"/>
  <c r="BP17" i="51"/>
  <c r="BN17" i="51"/>
  <c r="BI54" i="51"/>
  <c r="BH36" i="51"/>
  <c r="BG36" i="51"/>
  <c r="BI36" i="51" s="1"/>
  <c r="BI17" i="51"/>
  <c r="BG17" i="51"/>
  <c r="BB54" i="51"/>
  <c r="BA36" i="51"/>
  <c r="AZ36" i="51"/>
  <c r="BB17" i="51"/>
  <c r="AZ17" i="51"/>
  <c r="AU54" i="51"/>
  <c r="AT36" i="51"/>
  <c r="AS36" i="51"/>
  <c r="AU17" i="51"/>
  <c r="AS17" i="51"/>
  <c r="AN54" i="51"/>
  <c r="AM36" i="51"/>
  <c r="AN36" i="51" s="1"/>
  <c r="AL36" i="51"/>
  <c r="AN17" i="51"/>
  <c r="AL17" i="51"/>
  <c r="AG54" i="51"/>
  <c r="AF36" i="51"/>
  <c r="AE36" i="51"/>
  <c r="AG17" i="51"/>
  <c r="AE17" i="51"/>
  <c r="Z54" i="51"/>
  <c r="Y36" i="51"/>
  <c r="X36" i="51"/>
  <c r="Z17" i="51"/>
  <c r="X17" i="51"/>
  <c r="S54" i="51"/>
  <c r="R36" i="51"/>
  <c r="Q36" i="51"/>
  <c r="S17" i="51"/>
  <c r="Q17" i="51"/>
  <c r="L54" i="51"/>
  <c r="K36" i="51"/>
  <c r="J36" i="51"/>
  <c r="L17" i="51"/>
  <c r="J17" i="51"/>
  <c r="G22" i="51"/>
  <c r="C31" i="51" s="1"/>
  <c r="D36" i="51"/>
  <c r="E36" i="51"/>
  <c r="E17" i="51"/>
  <c r="C17" i="51"/>
  <c r="BB36" i="52"/>
  <c r="AN36" i="52"/>
  <c r="X31" i="52"/>
  <c r="Z31" i="52" s="1"/>
  <c r="BG31" i="52"/>
  <c r="BI31" i="52" s="1"/>
  <c r="L36" i="51"/>
  <c r="C28" i="16"/>
  <c r="C9" i="41"/>
  <c r="G42" i="41"/>
  <c r="H42" i="41"/>
  <c r="I42" i="41"/>
  <c r="J42" i="41"/>
  <c r="K42" i="41"/>
  <c r="L42" i="41"/>
  <c r="G59" i="41"/>
  <c r="H59" i="41"/>
  <c r="H61" i="41" s="1"/>
  <c r="H62" i="41" s="1"/>
  <c r="I59" i="41"/>
  <c r="I61" i="41" s="1"/>
  <c r="I62" i="41" s="1"/>
  <c r="J59" i="41"/>
  <c r="I39" i="25" s="1"/>
  <c r="I40" i="25" s="1"/>
  <c r="I69" i="25" s="1"/>
  <c r="I38" i="25"/>
  <c r="K59" i="41"/>
  <c r="J39" i="25" s="1"/>
  <c r="J38" i="25"/>
  <c r="L59" i="41"/>
  <c r="K10" i="24"/>
  <c r="K37" i="24" s="1"/>
  <c r="K39" i="24" s="1"/>
  <c r="K38" i="25"/>
  <c r="H38" i="25"/>
  <c r="G38" i="25"/>
  <c r="G40" i="25" s="1"/>
  <c r="G69" i="25" s="1"/>
  <c r="F38" i="25"/>
  <c r="E38" i="25"/>
  <c r="D38" i="25"/>
  <c r="D40" i="25" s="1"/>
  <c r="D69" i="25" s="1"/>
  <c r="E59" i="41"/>
  <c r="D39" i="25" s="1"/>
  <c r="C38" i="25"/>
  <c r="N10" i="24"/>
  <c r="N37" i="24" s="1"/>
  <c r="N39" i="24" s="1"/>
  <c r="M10" i="24"/>
  <c r="M37" i="24" s="1"/>
  <c r="M39" i="24" s="1"/>
  <c r="L10" i="24"/>
  <c r="J10" i="24"/>
  <c r="I10" i="24"/>
  <c r="I37" i="24" s="1"/>
  <c r="I39" i="24" s="1"/>
  <c r="H10" i="24"/>
  <c r="C21" i="47"/>
  <c r="BP17" i="47"/>
  <c r="BI17" i="47"/>
  <c r="BB17" i="47"/>
  <c r="AU17" i="47"/>
  <c r="AN17" i="47"/>
  <c r="AG17" i="47"/>
  <c r="Z17" i="47"/>
  <c r="S17" i="47"/>
  <c r="L17" i="47"/>
  <c r="E17" i="47"/>
  <c r="BP17" i="45"/>
  <c r="BI17" i="45"/>
  <c r="BB17" i="45"/>
  <c r="AU17" i="45"/>
  <c r="AN17" i="45"/>
  <c r="AG17" i="45"/>
  <c r="Z17" i="45"/>
  <c r="S17" i="45"/>
  <c r="L17" i="45"/>
  <c r="K29" i="16"/>
  <c r="D14" i="47" s="1"/>
  <c r="E14" i="47" s="1"/>
  <c r="F14" i="47" s="1"/>
  <c r="D54" i="47" s="1"/>
  <c r="N29" i="16"/>
  <c r="M29" i="16"/>
  <c r="R14" i="47" s="1"/>
  <c r="L29" i="16"/>
  <c r="K14" i="47" s="1"/>
  <c r="L15" i="16"/>
  <c r="L10" i="16" s="1"/>
  <c r="M15" i="16"/>
  <c r="M10" i="16" s="1"/>
  <c r="N15" i="16"/>
  <c r="N10" i="16" s="1"/>
  <c r="K15" i="16"/>
  <c r="K10" i="16" s="1"/>
  <c r="I14" i="47"/>
  <c r="P14" i="47" s="1"/>
  <c r="I14" i="45"/>
  <c r="P14" i="45" s="1"/>
  <c r="W14" i="45" s="1"/>
  <c r="BO36" i="47"/>
  <c r="BN36" i="47"/>
  <c r="BH36" i="47"/>
  <c r="BG36" i="47"/>
  <c r="BA36" i="47"/>
  <c r="AZ36" i="47"/>
  <c r="AT36" i="47"/>
  <c r="AS36" i="47"/>
  <c r="AM36" i="47"/>
  <c r="AL36" i="47"/>
  <c r="AN36" i="47" s="1"/>
  <c r="AF36" i="47"/>
  <c r="AE36" i="47"/>
  <c r="Y36" i="47"/>
  <c r="X36" i="47"/>
  <c r="R36" i="47"/>
  <c r="Q36" i="47"/>
  <c r="K36" i="47"/>
  <c r="J36" i="47"/>
  <c r="L36" i="47" s="1"/>
  <c r="D36" i="47"/>
  <c r="C36" i="47"/>
  <c r="BO24" i="47"/>
  <c r="BN24" i="47"/>
  <c r="BH24" i="47"/>
  <c r="BG24" i="47"/>
  <c r="BA24" i="47"/>
  <c r="AZ24" i="47"/>
  <c r="AT24" i="47"/>
  <c r="AS24" i="47"/>
  <c r="AM24" i="47"/>
  <c r="AL24" i="47"/>
  <c r="AF24" i="47"/>
  <c r="AE24" i="47"/>
  <c r="Y24" i="47"/>
  <c r="X24" i="47"/>
  <c r="R24" i="47"/>
  <c r="Q24" i="47"/>
  <c r="K24" i="47"/>
  <c r="J24" i="47"/>
  <c r="D24" i="47"/>
  <c r="C24" i="47"/>
  <c r="BR22" i="47"/>
  <c r="BO22" i="47"/>
  <c r="BN22" i="47"/>
  <c r="BK22" i="47"/>
  <c r="BH22" i="47"/>
  <c r="BG22" i="47"/>
  <c r="BD22" i="47"/>
  <c r="BA22" i="47"/>
  <c r="AZ22" i="47"/>
  <c r="AW22" i="47"/>
  <c r="AT22" i="47"/>
  <c r="AS22" i="47"/>
  <c r="AP22" i="47"/>
  <c r="AM22" i="47"/>
  <c r="AL22" i="47"/>
  <c r="AI22" i="47"/>
  <c r="AF22" i="47"/>
  <c r="AE22" i="47"/>
  <c r="AB22" i="47"/>
  <c r="Y31" i="47" s="1"/>
  <c r="Y22" i="47"/>
  <c r="X22" i="47"/>
  <c r="U22" i="47"/>
  <c r="R22" i="47"/>
  <c r="Q22" i="47"/>
  <c r="N22" i="47"/>
  <c r="K22" i="47"/>
  <c r="J22" i="47"/>
  <c r="G22" i="47"/>
  <c r="D22" i="47"/>
  <c r="C22" i="47"/>
  <c r="BR21" i="47"/>
  <c r="BO21" i="47"/>
  <c r="BN21" i="47"/>
  <c r="BK21" i="47"/>
  <c r="BH21" i="47"/>
  <c r="BG21" i="47"/>
  <c r="BD21" i="47"/>
  <c r="BA21" i="47"/>
  <c r="AZ21" i="47"/>
  <c r="AW21" i="47"/>
  <c r="AT21" i="47"/>
  <c r="AS21" i="47"/>
  <c r="AP21" i="47"/>
  <c r="AM21" i="47"/>
  <c r="AL21" i="47"/>
  <c r="AI21" i="47"/>
  <c r="AF21" i="47"/>
  <c r="AE21" i="47"/>
  <c r="AB21" i="47"/>
  <c r="Y21" i="47"/>
  <c r="X21" i="47"/>
  <c r="U21" i="47"/>
  <c r="R21" i="47"/>
  <c r="Q21" i="47"/>
  <c r="N21" i="47"/>
  <c r="K21" i="47"/>
  <c r="J21" i="47"/>
  <c r="G21" i="47"/>
  <c r="D31" i="47" s="1"/>
  <c r="D21" i="47"/>
  <c r="BN14" i="47"/>
  <c r="BN17" i="47"/>
  <c r="BG14" i="47"/>
  <c r="BG17" i="47"/>
  <c r="AZ14" i="47"/>
  <c r="AZ17" i="47" s="1"/>
  <c r="AS14" i="47"/>
  <c r="AS17" i="47" s="1"/>
  <c r="AL14" i="47"/>
  <c r="AL17" i="47" s="1"/>
  <c r="AE14" i="47"/>
  <c r="AE17" i="47"/>
  <c r="X14" i="47"/>
  <c r="X17" i="47" s="1"/>
  <c r="Q14" i="47"/>
  <c r="J14" i="47"/>
  <c r="J17" i="47" s="1"/>
  <c r="C14" i="47"/>
  <c r="C17" i="47" s="1"/>
  <c r="BO36" i="45"/>
  <c r="BN36" i="45"/>
  <c r="BO24" i="45"/>
  <c r="BN24" i="45"/>
  <c r="BR22" i="45"/>
  <c r="BO22" i="45"/>
  <c r="BN22" i="45"/>
  <c r="BR21" i="45"/>
  <c r="BN31" i="45" s="1"/>
  <c r="BO21" i="45"/>
  <c r="BN21" i="45"/>
  <c r="BN14" i="45"/>
  <c r="BN17" i="45" s="1"/>
  <c r="BH36" i="45"/>
  <c r="BG36" i="45"/>
  <c r="BH24" i="45"/>
  <c r="BG24" i="45"/>
  <c r="BK22" i="45"/>
  <c r="BH22" i="45"/>
  <c r="BG22" i="45"/>
  <c r="BK21" i="45"/>
  <c r="BH21" i="45"/>
  <c r="BG21" i="45"/>
  <c r="BG14" i="45"/>
  <c r="BG17" i="45"/>
  <c r="BA36" i="45"/>
  <c r="AZ36" i="45"/>
  <c r="BA24" i="45"/>
  <c r="AZ24" i="45"/>
  <c r="BD22" i="45"/>
  <c r="BA22" i="45"/>
  <c r="AZ22" i="45"/>
  <c r="BD21" i="45"/>
  <c r="BA21" i="45"/>
  <c r="AZ21" i="45"/>
  <c r="AZ14" i="45"/>
  <c r="AT36" i="45"/>
  <c r="AS36" i="45"/>
  <c r="AU36" i="45" s="1"/>
  <c r="AT24" i="45"/>
  <c r="AS24" i="45"/>
  <c r="AW22" i="45"/>
  <c r="AT22" i="45"/>
  <c r="AS22" i="45"/>
  <c r="AW21" i="45"/>
  <c r="AS31" i="45" s="1"/>
  <c r="AT21" i="45"/>
  <c r="AS21" i="45"/>
  <c r="AS14" i="45"/>
  <c r="AS17" i="45" s="1"/>
  <c r="AM36" i="45"/>
  <c r="AL36" i="45"/>
  <c r="AM24" i="45"/>
  <c r="AL24" i="45"/>
  <c r="AP22" i="45"/>
  <c r="AM22" i="45"/>
  <c r="AL22" i="45"/>
  <c r="AP21" i="45"/>
  <c r="AM21" i="45"/>
  <c r="AL21" i="45"/>
  <c r="AL14" i="45"/>
  <c r="AL17" i="45" s="1"/>
  <c r="AF36" i="45"/>
  <c r="AG36" i="45" s="1"/>
  <c r="AE36" i="45"/>
  <c r="AF24" i="45"/>
  <c r="AE24" i="45"/>
  <c r="AI22" i="45"/>
  <c r="AF22" i="45"/>
  <c r="AE22" i="45"/>
  <c r="AI21" i="45"/>
  <c r="AF21" i="45"/>
  <c r="AE21" i="45"/>
  <c r="AE14" i="45"/>
  <c r="AE17" i="45" s="1"/>
  <c r="Y36" i="45"/>
  <c r="X36" i="45"/>
  <c r="Y24" i="45"/>
  <c r="X24" i="45"/>
  <c r="AB22" i="45"/>
  <c r="Y22" i="45"/>
  <c r="X22" i="45"/>
  <c r="AB21" i="45"/>
  <c r="Y21" i="45"/>
  <c r="X21" i="45"/>
  <c r="X14" i="45"/>
  <c r="X17" i="45" s="1"/>
  <c r="R36" i="45"/>
  <c r="Q36" i="45"/>
  <c r="R24" i="45"/>
  <c r="Q24" i="45"/>
  <c r="U22" i="45"/>
  <c r="R22" i="45"/>
  <c r="Q22" i="45"/>
  <c r="U21" i="45"/>
  <c r="R21" i="45"/>
  <c r="Q21" i="45"/>
  <c r="Q14" i="45"/>
  <c r="Q17" i="45"/>
  <c r="K36" i="45"/>
  <c r="L36" i="45" s="1"/>
  <c r="J36" i="45"/>
  <c r="K24" i="45"/>
  <c r="J24" i="45"/>
  <c r="N22" i="45"/>
  <c r="K22" i="45"/>
  <c r="J22" i="45"/>
  <c r="N21" i="45"/>
  <c r="K31" i="45" s="1"/>
  <c r="K21" i="45"/>
  <c r="J21" i="45"/>
  <c r="J14" i="45"/>
  <c r="J17" i="45" s="1"/>
  <c r="G22" i="45"/>
  <c r="G21" i="45"/>
  <c r="C17" i="45"/>
  <c r="D24" i="45"/>
  <c r="C24" i="45"/>
  <c r="D21" i="45"/>
  <c r="D22" i="45"/>
  <c r="C22" i="45"/>
  <c r="C21" i="45"/>
  <c r="D36" i="45"/>
  <c r="C36" i="45"/>
  <c r="D59" i="41"/>
  <c r="F59" i="41"/>
  <c r="F80" i="41" s="1"/>
  <c r="C17" i="41"/>
  <c r="G10" i="24"/>
  <c r="E42" i="41"/>
  <c r="F42" i="41"/>
  <c r="D5" i="41"/>
  <c r="E5" i="41" s="1"/>
  <c r="F5" i="41" s="1"/>
  <c r="G5" i="41" s="1"/>
  <c r="H5" i="41" s="1"/>
  <c r="I5" i="41" s="1"/>
  <c r="J5" i="41" s="1"/>
  <c r="K5" i="41" s="1"/>
  <c r="L5" i="41" s="1"/>
  <c r="N23" i="24"/>
  <c r="N24" i="24"/>
  <c r="N25" i="24"/>
  <c r="N26" i="24"/>
  <c r="N27" i="24"/>
  <c r="N28" i="24"/>
  <c r="N29" i="24"/>
  <c r="N30" i="24"/>
  <c r="N31" i="24"/>
  <c r="N55" i="24"/>
  <c r="N56" i="24"/>
  <c r="N57" i="24"/>
  <c r="N58" i="24"/>
  <c r="N59" i="24"/>
  <c r="N60" i="24"/>
  <c r="N61" i="24"/>
  <c r="N63" i="24"/>
  <c r="N62" i="24"/>
  <c r="C8" i="41"/>
  <c r="C10" i="41" s="1"/>
  <c r="D10" i="41" s="1"/>
  <c r="E10" i="41" s="1"/>
  <c r="F10" i="41" s="1"/>
  <c r="G10" i="41" s="1"/>
  <c r="H10" i="41" s="1"/>
  <c r="I10" i="41" s="1"/>
  <c r="J10" i="41" s="1"/>
  <c r="K10" i="41" s="1"/>
  <c r="L10" i="41" s="1"/>
  <c r="F3" i="25"/>
  <c r="F4" i="25"/>
  <c r="B61" i="25" s="1"/>
  <c r="B20" i="25" s="1"/>
  <c r="C48" i="41" s="1"/>
  <c r="E3" i="25"/>
  <c r="E4" i="25"/>
  <c r="M5" i="24"/>
  <c r="L5" i="24"/>
  <c r="K5" i="24"/>
  <c r="N15" i="24" s="1"/>
  <c r="J5" i="24"/>
  <c r="I5" i="24"/>
  <c r="H5" i="24"/>
  <c r="G5" i="24"/>
  <c r="F5" i="24"/>
  <c r="E5" i="24"/>
  <c r="D5" i="24"/>
  <c r="C8" i="25"/>
  <c r="B9" i="25"/>
  <c r="K51" i="25"/>
  <c r="J51" i="25"/>
  <c r="I51" i="25"/>
  <c r="H51" i="25"/>
  <c r="G51" i="25"/>
  <c r="F51" i="25"/>
  <c r="E51" i="25"/>
  <c r="D51" i="25"/>
  <c r="C51" i="25"/>
  <c r="B51" i="25"/>
  <c r="C10" i="25"/>
  <c r="D10" i="25"/>
  <c r="E10" i="25" s="1"/>
  <c r="F10" i="25" s="1"/>
  <c r="G10" i="25" s="1"/>
  <c r="H10" i="25" s="1"/>
  <c r="I10" i="25" s="1"/>
  <c r="J10" i="25" s="1"/>
  <c r="K10" i="25" s="1"/>
  <c r="H24" i="25"/>
  <c r="D24" i="25"/>
  <c r="H15" i="25"/>
  <c r="D15" i="25"/>
  <c r="K24" i="25"/>
  <c r="G24" i="25"/>
  <c r="C24" i="25"/>
  <c r="K15" i="25"/>
  <c r="G15" i="25"/>
  <c r="C15" i="25"/>
  <c r="J24" i="25"/>
  <c r="F24" i="25"/>
  <c r="B24" i="25"/>
  <c r="J15" i="25"/>
  <c r="F15" i="25"/>
  <c r="B15" i="25"/>
  <c r="E24" i="25"/>
  <c r="E15" i="25"/>
  <c r="I24" i="25"/>
  <c r="I15" i="25"/>
  <c r="K31" i="24"/>
  <c r="D26" i="24"/>
  <c r="E25" i="24"/>
  <c r="E27" i="24"/>
  <c r="L30" i="24"/>
  <c r="E28" i="24"/>
  <c r="E24" i="24"/>
  <c r="K23" i="24"/>
  <c r="M28" i="24"/>
  <c r="M31" i="24"/>
  <c r="M23" i="24"/>
  <c r="H58" i="24"/>
  <c r="M25" i="24"/>
  <c r="D25" i="24"/>
  <c r="M24" i="24"/>
  <c r="M29" i="24"/>
  <c r="I61" i="24"/>
  <c r="L26" i="24"/>
  <c r="M26" i="24"/>
  <c r="J31" i="24"/>
  <c r="I31" i="24"/>
  <c r="H31" i="24"/>
  <c r="G31" i="24"/>
  <c r="F31" i="24"/>
  <c r="E31" i="24"/>
  <c r="M59" i="24"/>
  <c r="K26" i="24"/>
  <c r="J23" i="24"/>
  <c r="I23" i="24"/>
  <c r="H23" i="24"/>
  <c r="G23" i="24"/>
  <c r="F23" i="24"/>
  <c r="E23" i="24"/>
  <c r="E29" i="24"/>
  <c r="F29" i="24"/>
  <c r="G29" i="24"/>
  <c r="H29" i="24"/>
  <c r="I29" i="24"/>
  <c r="J29" i="24"/>
  <c r="K29" i="24"/>
  <c r="L29" i="24"/>
  <c r="G27" i="24"/>
  <c r="D29" i="24"/>
  <c r="G58" i="24"/>
  <c r="K58" i="24"/>
  <c r="L58" i="24"/>
  <c r="E58" i="24"/>
  <c r="H27" i="24"/>
  <c r="I27" i="24"/>
  <c r="D30" i="24"/>
  <c r="M30" i="24"/>
  <c r="E30" i="24"/>
  <c r="F30" i="24"/>
  <c r="G30" i="24"/>
  <c r="H30" i="24"/>
  <c r="I30" i="24"/>
  <c r="J30" i="24"/>
  <c r="K27" i="24"/>
  <c r="L27" i="24"/>
  <c r="D27" i="24"/>
  <c r="M27" i="24"/>
  <c r="K30" i="24"/>
  <c r="J27" i="24"/>
  <c r="F27" i="24"/>
  <c r="L25" i="24"/>
  <c r="K25" i="24"/>
  <c r="J26" i="24"/>
  <c r="I26" i="24"/>
  <c r="H26" i="24"/>
  <c r="G26" i="24"/>
  <c r="F26" i="24"/>
  <c r="E26" i="24"/>
  <c r="D28" i="24"/>
  <c r="D24" i="24"/>
  <c r="L28" i="24"/>
  <c r="L24" i="24"/>
  <c r="K28" i="24"/>
  <c r="K24" i="24"/>
  <c r="J25" i="24"/>
  <c r="I25" i="24"/>
  <c r="H25" i="24"/>
  <c r="G25" i="24"/>
  <c r="F25" i="24"/>
  <c r="D31" i="24"/>
  <c r="D23" i="24"/>
  <c r="L31" i="24"/>
  <c r="L23" i="24"/>
  <c r="J28" i="24"/>
  <c r="J24" i="24"/>
  <c r="I28" i="24"/>
  <c r="I24" i="24"/>
  <c r="H28" i="24"/>
  <c r="H24" i="24"/>
  <c r="G28" i="24"/>
  <c r="G24" i="24"/>
  <c r="F28" i="24"/>
  <c r="F24" i="24"/>
  <c r="J58" i="24"/>
  <c r="D58" i="24"/>
  <c r="I58" i="24"/>
  <c r="G63" i="24"/>
  <c r="F58" i="24"/>
  <c r="M58" i="24"/>
  <c r="H61" i="24"/>
  <c r="M61" i="24"/>
  <c r="L59" i="24"/>
  <c r="L63" i="24"/>
  <c r="K63" i="24"/>
  <c r="M63" i="24"/>
  <c r="H63" i="24"/>
  <c r="J63" i="24"/>
  <c r="F63" i="24"/>
  <c r="D63" i="24"/>
  <c r="I63" i="24"/>
  <c r="J59" i="24"/>
  <c r="H59" i="24"/>
  <c r="F59" i="24"/>
  <c r="K61" i="24"/>
  <c r="E61" i="24"/>
  <c r="G59" i="24"/>
  <c r="I59" i="24"/>
  <c r="K59" i="24"/>
  <c r="D61" i="24"/>
  <c r="L61" i="24"/>
  <c r="G61" i="24"/>
  <c r="J61" i="24"/>
  <c r="E63" i="24"/>
  <c r="D59" i="24"/>
  <c r="E59" i="24"/>
  <c r="F61" i="24"/>
  <c r="E60" i="24"/>
  <c r="D60" i="24"/>
  <c r="F60" i="24"/>
  <c r="G60" i="24"/>
  <c r="H60" i="24"/>
  <c r="I60" i="24"/>
  <c r="J60" i="24"/>
  <c r="K60" i="24"/>
  <c r="L60" i="24"/>
  <c r="M60" i="24"/>
  <c r="E56" i="24"/>
  <c r="D56" i="24"/>
  <c r="F56" i="24"/>
  <c r="G56" i="24"/>
  <c r="H56" i="24"/>
  <c r="I56" i="24"/>
  <c r="J56" i="24"/>
  <c r="K56" i="24"/>
  <c r="L56" i="24"/>
  <c r="M56" i="24"/>
  <c r="L57" i="24"/>
  <c r="M57" i="24"/>
  <c r="E57" i="24"/>
  <c r="D57" i="24"/>
  <c r="G57" i="24"/>
  <c r="K57" i="24"/>
  <c r="F57" i="24"/>
  <c r="J57" i="24"/>
  <c r="I57" i="24"/>
  <c r="H57" i="24"/>
  <c r="F62" i="24"/>
  <c r="G62" i="24"/>
  <c r="H62" i="24"/>
  <c r="I62" i="24"/>
  <c r="J62" i="24"/>
  <c r="K62" i="24"/>
  <c r="L62" i="24"/>
  <c r="M62" i="24"/>
  <c r="E62" i="24"/>
  <c r="D62" i="24"/>
  <c r="D55" i="24"/>
  <c r="F55" i="24"/>
  <c r="G55" i="24"/>
  <c r="H55" i="24"/>
  <c r="I55" i="24"/>
  <c r="J55" i="24"/>
  <c r="K55" i="24"/>
  <c r="L55" i="24"/>
  <c r="M55" i="24"/>
  <c r="E55" i="24"/>
  <c r="AT14" i="47"/>
  <c r="AU14" i="47" s="1"/>
  <c r="BH14" i="47"/>
  <c r="BI14" i="47" s="1"/>
  <c r="G22" i="24"/>
  <c r="J17" i="24"/>
  <c r="N17" i="24"/>
  <c r="F17" i="24"/>
  <c r="L22" i="24"/>
  <c r="F22" i="24"/>
  <c r="BA14" i="51"/>
  <c r="BB14" i="51" s="1"/>
  <c r="BC14" i="51" s="1"/>
  <c r="AZ4" i="51" s="1"/>
  <c r="H17" i="24"/>
  <c r="D17" i="24"/>
  <c r="I17" i="24"/>
  <c r="I22" i="24"/>
  <c r="G17" i="24"/>
  <c r="E17" i="24"/>
  <c r="M22" i="24"/>
  <c r="D22" i="24"/>
  <c r="I17" i="41"/>
  <c r="AS2" i="52"/>
  <c r="AR17" i="52" s="1"/>
  <c r="AT17" i="52" s="1"/>
  <c r="AS2" i="47"/>
  <c r="AR17" i="47"/>
  <c r="AT17" i="47" s="1"/>
  <c r="J17" i="41"/>
  <c r="AZ2" i="52"/>
  <c r="AY17" i="52" s="1"/>
  <c r="BA17" i="52" s="1"/>
  <c r="BC17" i="52" s="1"/>
  <c r="AZ2" i="47"/>
  <c r="AY17" i="47"/>
  <c r="BA17" i="47" s="1"/>
  <c r="Q2" i="52"/>
  <c r="P17" i="52" s="1"/>
  <c r="R17" i="52" s="1"/>
  <c r="Q2" i="47"/>
  <c r="P17" i="47" s="1"/>
  <c r="R17" i="47" s="1"/>
  <c r="X2" i="52"/>
  <c r="W17" i="52" s="1"/>
  <c r="Y17" i="52" s="1"/>
  <c r="AA17" i="52" s="1"/>
  <c r="X30" i="52" s="1"/>
  <c r="X2" i="47"/>
  <c r="W17" i="47" s="1"/>
  <c r="Y17" i="47" s="1"/>
  <c r="H17" i="41"/>
  <c r="AL2" i="52"/>
  <c r="AK17" i="52" s="1"/>
  <c r="AM17" i="52" s="1"/>
  <c r="AO17" i="52" s="1"/>
  <c r="AL2" i="47"/>
  <c r="AK17" i="47" s="1"/>
  <c r="AM17" i="47" s="1"/>
  <c r="BN2" i="52"/>
  <c r="BM17" i="52"/>
  <c r="BO17" i="52" s="1"/>
  <c r="BQ17" i="52" s="1"/>
  <c r="BO38" i="52" s="1"/>
  <c r="BN2" i="47"/>
  <c r="BM17" i="47" s="1"/>
  <c r="BO17" i="47" s="1"/>
  <c r="G17" i="41"/>
  <c r="AE2" i="52"/>
  <c r="AD17" i="52"/>
  <c r="AF17" i="52" s="1"/>
  <c r="AH17" i="52" s="1"/>
  <c r="AE57" i="52" s="1"/>
  <c r="AE2" i="47"/>
  <c r="AD17" i="47" s="1"/>
  <c r="AF17" i="47" s="1"/>
  <c r="K17" i="41"/>
  <c r="BG2" i="52"/>
  <c r="BF17" i="52" s="1"/>
  <c r="BH17" i="52" s="1"/>
  <c r="BJ17" i="52" s="1"/>
  <c r="BG2" i="47"/>
  <c r="BF17" i="47" s="1"/>
  <c r="BH17" i="47"/>
  <c r="J2" i="52"/>
  <c r="I17" i="52" s="1"/>
  <c r="K17" i="52" s="1"/>
  <c r="J2" i="47"/>
  <c r="I17" i="47" s="1"/>
  <c r="K17" i="47" s="1"/>
  <c r="C2" i="47"/>
  <c r="B17" i="47" s="1"/>
  <c r="D17" i="47" s="1"/>
  <c r="C2" i="52"/>
  <c r="B17" i="52" s="1"/>
  <c r="D17" i="52" s="1"/>
  <c r="F17" i="52" s="1"/>
  <c r="C2" i="51"/>
  <c r="B17" i="51" s="1"/>
  <c r="D17" i="51" s="1"/>
  <c r="F17" i="51" s="1"/>
  <c r="D80" i="41"/>
  <c r="E80" i="41"/>
  <c r="E54" i="51"/>
  <c r="F17" i="41"/>
  <c r="BI36" i="47"/>
  <c r="Z36" i="45"/>
  <c r="BB36" i="45"/>
  <c r="Z36" i="47"/>
  <c r="AF31" i="47"/>
  <c r="R31" i="47"/>
  <c r="AN36" i="45"/>
  <c r="D17" i="41"/>
  <c r="L17" i="41"/>
  <c r="E36" i="47"/>
  <c r="AG36" i="47"/>
  <c r="AU36" i="47"/>
  <c r="Q31" i="47"/>
  <c r="AE31" i="47"/>
  <c r="AG31" i="47" s="1"/>
  <c r="Q31" i="45"/>
  <c r="R31" i="45"/>
  <c r="AF31" i="45"/>
  <c r="AE31" i="45"/>
  <c r="AG31" i="45" s="1"/>
  <c r="C2" i="45"/>
  <c r="B17" i="45" s="1"/>
  <c r="C16" i="41"/>
  <c r="H22" i="24"/>
  <c r="J22" i="24"/>
  <c r="K22" i="24"/>
  <c r="E22" i="24"/>
  <c r="N22" i="24"/>
  <c r="M20" i="24"/>
  <c r="J21" i="24"/>
  <c r="E61" i="41"/>
  <c r="E62" i="41" s="1"/>
  <c r="E81" i="41" s="1"/>
  <c r="D19" i="24"/>
  <c r="K19" i="24"/>
  <c r="J19" i="24"/>
  <c r="J13" i="24"/>
  <c r="F19" i="24"/>
  <c r="I19" i="24"/>
  <c r="G39" i="25"/>
  <c r="E21" i="24"/>
  <c r="G19" i="24"/>
  <c r="H19" i="24"/>
  <c r="L19" i="24"/>
  <c r="D21" i="24"/>
  <c r="E19" i="24"/>
  <c r="E20" i="24"/>
  <c r="E16" i="24"/>
  <c r="G20" i="24"/>
  <c r="D20" i="24"/>
  <c r="K61" i="41"/>
  <c r="K62" i="41" s="1"/>
  <c r="J61" i="41"/>
  <c r="J62" i="41" s="1"/>
  <c r="J20" i="24"/>
  <c r="G15" i="24"/>
  <c r="E15" i="24"/>
  <c r="F15" i="24"/>
  <c r="D15" i="24"/>
  <c r="G37" i="24"/>
  <c r="G39" i="24" s="1"/>
  <c r="G42" i="24" s="1"/>
  <c r="H47" i="24" s="1"/>
  <c r="M15" i="24"/>
  <c r="L15" i="24"/>
  <c r="H15" i="24"/>
  <c r="F21" i="24"/>
  <c r="L21" i="24"/>
  <c r="G21" i="24"/>
  <c r="F61" i="41"/>
  <c r="F62" i="41" s="1"/>
  <c r="F81" i="41" s="1"/>
  <c r="M21" i="24"/>
  <c r="H21" i="24"/>
  <c r="M16" i="24"/>
  <c r="F16" i="24"/>
  <c r="I21" i="24"/>
  <c r="K21" i="24"/>
  <c r="G16" i="24"/>
  <c r="D16" i="24"/>
  <c r="N21" i="24"/>
  <c r="N13" i="24"/>
  <c r="E13" i="24"/>
  <c r="L61" i="41"/>
  <c r="L62" i="41" s="1"/>
  <c r="K39" i="25"/>
  <c r="K40" i="25"/>
  <c r="K49" i="25" s="1"/>
  <c r="BG57" i="52"/>
  <c r="BH45" i="52"/>
  <c r="BG59" i="52"/>
  <c r="Y60" i="52"/>
  <c r="AE39" i="52"/>
  <c r="AE40" i="52"/>
  <c r="AF42" i="52"/>
  <c r="AF56" i="52"/>
  <c r="BN55" i="52"/>
  <c r="BO37" i="52"/>
  <c r="BN42" i="52"/>
  <c r="BO41" i="52"/>
  <c r="N9" i="16"/>
  <c r="X2" i="45" s="1"/>
  <c r="W17" i="45" s="1"/>
  <c r="Y17" i="45" s="1"/>
  <c r="J2" i="45"/>
  <c r="I17" i="45" s="1"/>
  <c r="K17" i="45" s="1"/>
  <c r="D16" i="41"/>
  <c r="I49" i="25"/>
  <c r="Q2" i="51"/>
  <c r="P17" i="51"/>
  <c r="R17" i="51" s="1"/>
  <c r="T17" i="51" s="1"/>
  <c r="Q2" i="45"/>
  <c r="P17" i="45"/>
  <c r="R17" i="45" s="1"/>
  <c r="E16" i="41"/>
  <c r="AE2" i="51"/>
  <c r="AD17" i="51" s="1"/>
  <c r="AF17" i="51" s="1"/>
  <c r="AH17" i="51" s="1"/>
  <c r="AL2" i="51"/>
  <c r="AK17" i="51" s="1"/>
  <c r="AM17" i="51" s="1"/>
  <c r="AE2" i="45"/>
  <c r="AD17" i="45"/>
  <c r="AF17" i="45" s="1"/>
  <c r="G16" i="41"/>
  <c r="AS2" i="51"/>
  <c r="AR17" i="51" s="1"/>
  <c r="AT17" i="51" s="1"/>
  <c r="AV17" i="51" s="1"/>
  <c r="AL2" i="45"/>
  <c r="AK17" i="45" s="1"/>
  <c r="AM17" i="45" s="1"/>
  <c r="H16" i="41"/>
  <c r="AZ2" i="51"/>
  <c r="AY17" i="51" s="1"/>
  <c r="BA17" i="51" s="1"/>
  <c r="BC17" i="51" s="1"/>
  <c r="I16" i="41"/>
  <c r="AS2" i="45"/>
  <c r="AR17" i="45" s="1"/>
  <c r="AT17" i="45" s="1"/>
  <c r="BG2" i="51"/>
  <c r="BF17" i="51" s="1"/>
  <c r="BH17" i="51" s="1"/>
  <c r="J16" i="41"/>
  <c r="AZ2" i="45"/>
  <c r="AY17" i="45" s="1"/>
  <c r="BA17" i="45" s="1"/>
  <c r="BN2" i="51"/>
  <c r="BM17" i="51"/>
  <c r="BO17" i="51" s="1"/>
  <c r="BQ17" i="51" s="1"/>
  <c r="BG2" i="45"/>
  <c r="BF17" i="45" s="1"/>
  <c r="BH17" i="45" s="1"/>
  <c r="K16" i="41"/>
  <c r="BN2" i="45"/>
  <c r="BM17" i="45" s="1"/>
  <c r="BO17" i="45" s="1"/>
  <c r="L16" i="41"/>
  <c r="J37" i="24"/>
  <c r="J39" i="24" s="1"/>
  <c r="J18" i="24"/>
  <c r="I18" i="24"/>
  <c r="H18" i="24"/>
  <c r="D18" i="24"/>
  <c r="K18" i="24"/>
  <c r="G18" i="24"/>
  <c r="N18" i="24"/>
  <c r="E18" i="24"/>
  <c r="F18" i="24"/>
  <c r="D49" i="25"/>
  <c r="F10" i="24"/>
  <c r="G49" i="25"/>
  <c r="G93" i="25"/>
  <c r="G94" i="25" s="1"/>
  <c r="N65" i="24"/>
  <c r="N42" i="24"/>
  <c r="N54" i="24" s="1"/>
  <c r="K65" i="24"/>
  <c r="K42" i="24"/>
  <c r="K51" i="24" s="1"/>
  <c r="G61" i="41"/>
  <c r="G62" i="41" s="1"/>
  <c r="F39" i="25"/>
  <c r="F40" i="25" s="1"/>
  <c r="F69" i="25" s="1"/>
  <c r="C39" i="25"/>
  <c r="C40" i="25" s="1"/>
  <c r="C93" i="25" s="1"/>
  <c r="C94" i="25" s="1"/>
  <c r="D61" i="41"/>
  <c r="D62" i="41" s="1"/>
  <c r="D81" i="41" s="1"/>
  <c r="I65" i="24"/>
  <c r="I42" i="24"/>
  <c r="M49" i="24" s="1"/>
  <c r="I77" i="25"/>
  <c r="I93" i="25"/>
  <c r="I94" i="25" s="1"/>
  <c r="G65" i="24"/>
  <c r="D13" i="24"/>
  <c r="H13" i="24"/>
  <c r="E37" i="24"/>
  <c r="E39" i="24" s="1"/>
  <c r="F13" i="24"/>
  <c r="M13" i="24"/>
  <c r="E54" i="24"/>
  <c r="M54" i="24"/>
  <c r="J49" i="24"/>
  <c r="H49" i="24"/>
  <c r="K49" i="24"/>
  <c r="G49" i="24"/>
  <c r="D49" i="24"/>
  <c r="F51" i="24"/>
  <c r="H51" i="24"/>
  <c r="M51" i="24"/>
  <c r="J51" i="24"/>
  <c r="L51" i="24"/>
  <c r="D51" i="24"/>
  <c r="N51" i="24"/>
  <c r="I51" i="24"/>
  <c r="G51" i="24"/>
  <c r="E51" i="24"/>
  <c r="E14" i="24"/>
  <c r="K14" i="24"/>
  <c r="G14" i="24"/>
  <c r="L14" i="24"/>
  <c r="D14" i="24"/>
  <c r="F37" i="24"/>
  <c r="F39" i="24" s="1"/>
  <c r="F65" i="24" s="1"/>
  <c r="N14" i="24"/>
  <c r="M14" i="24"/>
  <c r="F14" i="24"/>
  <c r="AL31" i="52" l="1"/>
  <c r="AN31" i="52" s="1"/>
  <c r="K31" i="51"/>
  <c r="L31" i="51" s="1"/>
  <c r="R31" i="51"/>
  <c r="S31" i="51" s="1"/>
  <c r="Y31" i="51"/>
  <c r="Z31" i="51" s="1"/>
  <c r="AF31" i="51"/>
  <c r="AG31" i="51" s="1"/>
  <c r="AM31" i="51"/>
  <c r="AL59" i="52"/>
  <c r="AM42" i="52"/>
  <c r="AN42" i="52" s="1"/>
  <c r="AM38" i="52"/>
  <c r="AL38" i="52"/>
  <c r="AM55" i="52"/>
  <c r="AM30" i="52"/>
  <c r="AL41" i="52"/>
  <c r="AL3" i="52"/>
  <c r="AM60" i="52"/>
  <c r="AM37" i="52"/>
  <c r="AL39" i="52"/>
  <c r="AL42" i="52"/>
  <c r="AM40" i="52"/>
  <c r="AL56" i="52"/>
  <c r="AL30" i="52"/>
  <c r="AM57" i="52"/>
  <c r="AL55" i="52"/>
  <c r="AN55" i="52" s="1"/>
  <c r="C71" i="51"/>
  <c r="C43" i="51"/>
  <c r="D45" i="51"/>
  <c r="D14" i="45"/>
  <c r="D14" i="52"/>
  <c r="E14" i="52" s="1"/>
  <c r="F14" i="52" s="1"/>
  <c r="D14" i="51"/>
  <c r="E14" i="51" s="1"/>
  <c r="F14" i="51" s="1"/>
  <c r="D29" i="51" s="1"/>
  <c r="BH31" i="45"/>
  <c r="AE43" i="52"/>
  <c r="K77" i="25"/>
  <c r="AE56" i="52"/>
  <c r="AF43" i="52"/>
  <c r="AT31" i="45"/>
  <c r="AU31" i="45" s="1"/>
  <c r="BP36" i="47"/>
  <c r="AN31" i="51"/>
  <c r="BA31" i="52"/>
  <c r="E22" i="16"/>
  <c r="K69" i="25"/>
  <c r="AE37" i="52"/>
  <c r="AF60" i="52"/>
  <c r="AF58" i="52"/>
  <c r="E39" i="25"/>
  <c r="E40" i="25" s="1"/>
  <c r="L14" i="47"/>
  <c r="D31" i="51"/>
  <c r="AZ31" i="51"/>
  <c r="BB31" i="51" s="1"/>
  <c r="R31" i="52"/>
  <c r="BB36" i="51"/>
  <c r="E36" i="52"/>
  <c r="J31" i="45"/>
  <c r="L31" i="45" s="1"/>
  <c r="Y31" i="45"/>
  <c r="BI36" i="45"/>
  <c r="AE31" i="52"/>
  <c r="AF37" i="52"/>
  <c r="AE55" i="52"/>
  <c r="G77" i="25"/>
  <c r="AE38" i="52"/>
  <c r="D29" i="52"/>
  <c r="AF38" i="52"/>
  <c r="AE3" i="52"/>
  <c r="M17" i="47"/>
  <c r="K37" i="47" s="1"/>
  <c r="BP36" i="45"/>
  <c r="S31" i="47"/>
  <c r="C6" i="45"/>
  <c r="X31" i="47"/>
  <c r="Z31" i="47" s="1"/>
  <c r="BG31" i="45"/>
  <c r="BI31" i="45" s="1"/>
  <c r="J31" i="47"/>
  <c r="S36" i="51"/>
  <c r="S36" i="47"/>
  <c r="X31" i="45"/>
  <c r="S36" i="45"/>
  <c r="BB36" i="47"/>
  <c r="L36" i="52"/>
  <c r="K31" i="47"/>
  <c r="L31" i="47" s="1"/>
  <c r="Z36" i="51"/>
  <c r="Y56" i="52"/>
  <c r="T17" i="45"/>
  <c r="J37" i="47"/>
  <c r="L37" i="47" s="1"/>
  <c r="D55" i="45"/>
  <c r="AA17" i="45"/>
  <c r="D38" i="45"/>
  <c r="M17" i="45"/>
  <c r="C44" i="45"/>
  <c r="C37" i="52"/>
  <c r="D41" i="52"/>
  <c r="C45" i="52"/>
  <c r="F17" i="47"/>
  <c r="C58" i="47" s="1"/>
  <c r="C71" i="52"/>
  <c r="BH14" i="51"/>
  <c r="BI14" i="51" s="1"/>
  <c r="BJ14" i="51" s="1"/>
  <c r="AT14" i="51"/>
  <c r="AU14" i="51" s="1"/>
  <c r="AV14" i="51" s="1"/>
  <c r="BH14" i="52"/>
  <c r="BI14" i="52" s="1"/>
  <c r="BJ14" i="52" s="1"/>
  <c r="BG29" i="52" s="1"/>
  <c r="Y14" i="45"/>
  <c r="Z14" i="45" s="1"/>
  <c r="Y14" i="51"/>
  <c r="Z14" i="51" s="1"/>
  <c r="AA14" i="51" s="1"/>
  <c r="AT14" i="45"/>
  <c r="AU14" i="45" s="1"/>
  <c r="AT14" i="52"/>
  <c r="AU14" i="52" s="1"/>
  <c r="AV14" i="52" s="1"/>
  <c r="AM14" i="52"/>
  <c r="AN14" i="52" s="1"/>
  <c r="AO14" i="52" s="1"/>
  <c r="AL29" i="52" s="1"/>
  <c r="BH14" i="45"/>
  <c r="BI14" i="45" s="1"/>
  <c r="AM14" i="51"/>
  <c r="AN14" i="51" s="1"/>
  <c r="AO14" i="51" s="1"/>
  <c r="AF14" i="45"/>
  <c r="AG14" i="45" s="1"/>
  <c r="AF14" i="51"/>
  <c r="AG14" i="51" s="1"/>
  <c r="AH14" i="51" s="1"/>
  <c r="BA14" i="45"/>
  <c r="BB14" i="45" s="1"/>
  <c r="AF14" i="52"/>
  <c r="AG14" i="52" s="1"/>
  <c r="AH14" i="52" s="1"/>
  <c r="AE29" i="52" s="1"/>
  <c r="BO14" i="52"/>
  <c r="BP14" i="52" s="1"/>
  <c r="BQ14" i="52" s="1"/>
  <c r="BN29" i="52" s="1"/>
  <c r="BA14" i="52"/>
  <c r="BB14" i="52" s="1"/>
  <c r="BC14" i="52" s="1"/>
  <c r="BO14" i="51"/>
  <c r="BP14" i="51" s="1"/>
  <c r="BQ14" i="51" s="1"/>
  <c r="Y14" i="52"/>
  <c r="Z14" i="52" s="1"/>
  <c r="AA14" i="52" s="1"/>
  <c r="AM14" i="45"/>
  <c r="AN14" i="45" s="1"/>
  <c r="Y57" i="45"/>
  <c r="X37" i="45"/>
  <c r="X40" i="45"/>
  <c r="Y45" i="45"/>
  <c r="Y37" i="45"/>
  <c r="BO14" i="45"/>
  <c r="BP14" i="45" s="1"/>
  <c r="E36" i="45"/>
  <c r="J42" i="24"/>
  <c r="J65" i="24"/>
  <c r="D31" i="45"/>
  <c r="E31" i="45" s="1"/>
  <c r="C31" i="45"/>
  <c r="C58" i="41"/>
  <c r="C46" i="16"/>
  <c r="J60" i="47"/>
  <c r="K42" i="47"/>
  <c r="K38" i="47"/>
  <c r="J56" i="47"/>
  <c r="K44" i="47"/>
  <c r="K39" i="47"/>
  <c r="J71" i="47"/>
  <c r="J39" i="47"/>
  <c r="J40" i="47"/>
  <c r="K57" i="47"/>
  <c r="J55" i="47"/>
  <c r="K55" i="47"/>
  <c r="K60" i="47"/>
  <c r="J59" i="47"/>
  <c r="J3" i="47"/>
  <c r="K59" i="47"/>
  <c r="J30" i="47"/>
  <c r="K56" i="47"/>
  <c r="K41" i="47"/>
  <c r="K58" i="47"/>
  <c r="K43" i="47"/>
  <c r="J42" i="47"/>
  <c r="J43" i="47"/>
  <c r="K40" i="47"/>
  <c r="J45" i="47"/>
  <c r="J44" i="47"/>
  <c r="K45" i="47"/>
  <c r="J41" i="47"/>
  <c r="J57" i="47"/>
  <c r="J38" i="47"/>
  <c r="J58" i="47"/>
  <c r="BA38" i="51"/>
  <c r="AZ57" i="51"/>
  <c r="AZ56" i="51"/>
  <c r="Y30" i="45"/>
  <c r="AT29" i="51"/>
  <c r="F54" i="24"/>
  <c r="BJ17" i="51"/>
  <c r="K38" i="45"/>
  <c r="J37" i="45"/>
  <c r="K45" i="45"/>
  <c r="J41" i="45"/>
  <c r="K44" i="45"/>
  <c r="K42" i="45"/>
  <c r="J44" i="45"/>
  <c r="J56" i="45"/>
  <c r="K55" i="45"/>
  <c r="K39" i="45"/>
  <c r="J43" i="45"/>
  <c r="K30" i="45"/>
  <c r="L54" i="24"/>
  <c r="K37" i="45"/>
  <c r="C31" i="47"/>
  <c r="E31" i="47" s="1"/>
  <c r="C29" i="52"/>
  <c r="C4" i="52"/>
  <c r="K15" i="24"/>
  <c r="M17" i="24"/>
  <c r="B53" i="25"/>
  <c r="B67" i="25"/>
  <c r="K54" i="24"/>
  <c r="J59" i="45"/>
  <c r="K41" i="45"/>
  <c r="J30" i="45"/>
  <c r="L16" i="24"/>
  <c r="BO31" i="45"/>
  <c r="BP31" i="45" s="1"/>
  <c r="D58" i="52"/>
  <c r="D37" i="52"/>
  <c r="E37" i="52" s="1"/>
  <c r="C4" i="45"/>
  <c r="D54" i="45"/>
  <c r="D56" i="51"/>
  <c r="C56" i="51"/>
  <c r="D60" i="51"/>
  <c r="D37" i="51"/>
  <c r="M19" i="24"/>
  <c r="H14" i="24"/>
  <c r="K17" i="24"/>
  <c r="L18" i="24"/>
  <c r="I15" i="24"/>
  <c r="R14" i="52"/>
  <c r="S14" i="52" s="1"/>
  <c r="T14" i="52" s="1"/>
  <c r="R29" i="52" s="1"/>
  <c r="R14" i="45"/>
  <c r="S14" i="45" s="1"/>
  <c r="T14" i="45" s="1"/>
  <c r="R14" i="51"/>
  <c r="S14" i="51" s="1"/>
  <c r="T14" i="51" s="1"/>
  <c r="Q29" i="51" s="1"/>
  <c r="G13" i="24"/>
  <c r="AT31" i="47"/>
  <c r="AS31" i="47"/>
  <c r="K14" i="52"/>
  <c r="L14" i="52" s="1"/>
  <c r="M14" i="52" s="1"/>
  <c r="K14" i="51"/>
  <c r="L14" i="51" s="1"/>
  <c r="M14" i="51" s="1"/>
  <c r="K14" i="45"/>
  <c r="L14" i="45" s="1"/>
  <c r="M14" i="45" s="1"/>
  <c r="K56" i="45"/>
  <c r="BO57" i="52"/>
  <c r="BO60" i="52"/>
  <c r="BN39" i="52"/>
  <c r="BN56" i="52"/>
  <c r="BO56" i="52"/>
  <c r="BP56" i="52" s="1"/>
  <c r="BO59" i="52"/>
  <c r="BN57" i="52"/>
  <c r="BN3" i="52"/>
  <c r="BO58" i="52"/>
  <c r="BN30" i="52"/>
  <c r="BN71" i="52"/>
  <c r="BN38" i="52"/>
  <c r="BO42" i="52"/>
  <c r="BP42" i="52" s="1"/>
  <c r="BN58" i="52"/>
  <c r="BO45" i="52"/>
  <c r="BO39" i="52"/>
  <c r="BN59" i="52"/>
  <c r="BN37" i="52"/>
  <c r="BP37" i="52" s="1"/>
  <c r="BO40" i="52"/>
  <c r="BO43" i="52"/>
  <c r="BO44" i="52"/>
  <c r="BO55" i="52"/>
  <c r="BP55" i="52" s="1"/>
  <c r="BN45" i="52"/>
  <c r="BP45" i="52" s="1"/>
  <c r="BN41" i="52"/>
  <c r="BP41" i="52" s="1"/>
  <c r="AZ58" i="51"/>
  <c r="J55" i="45"/>
  <c r="L55" i="45" s="1"/>
  <c r="BO30" i="52"/>
  <c r="BN43" i="52"/>
  <c r="BP43" i="52" s="1"/>
  <c r="S31" i="45"/>
  <c r="BH29" i="51"/>
  <c r="Y58" i="52"/>
  <c r="X60" i="52"/>
  <c r="Z60" i="52" s="1"/>
  <c r="Y59" i="52"/>
  <c r="Y42" i="52"/>
  <c r="Y39" i="52"/>
  <c r="Y57" i="52"/>
  <c r="Y38" i="52"/>
  <c r="Y45" i="52"/>
  <c r="X37" i="52"/>
  <c r="X39" i="52"/>
  <c r="X43" i="52"/>
  <c r="E42" i="24"/>
  <c r="E65" i="24"/>
  <c r="AM31" i="45"/>
  <c r="AL31" i="45"/>
  <c r="BN45" i="51"/>
  <c r="BO37" i="51"/>
  <c r="AZ59" i="51"/>
  <c r="AO17" i="51"/>
  <c r="K58" i="45"/>
  <c r="J60" i="45"/>
  <c r="K59" i="45"/>
  <c r="BN44" i="52"/>
  <c r="BP44" i="52" s="1"/>
  <c r="BN60" i="52"/>
  <c r="AG38" i="52"/>
  <c r="X59" i="52"/>
  <c r="C4" i="47"/>
  <c r="C54" i="47"/>
  <c r="D54" i="24"/>
  <c r="H54" i="24"/>
  <c r="J54" i="24"/>
  <c r="G54" i="24"/>
  <c r="AM29" i="51"/>
  <c r="BH29" i="52"/>
  <c r="AZ31" i="45"/>
  <c r="BA31" i="45"/>
  <c r="BH31" i="47"/>
  <c r="BG31" i="47"/>
  <c r="J38" i="45"/>
  <c r="L38" i="45" s="1"/>
  <c r="X58" i="52"/>
  <c r="AV17" i="52"/>
  <c r="J14" i="24"/>
  <c r="I13" i="24"/>
  <c r="I54" i="24"/>
  <c r="J45" i="45"/>
  <c r="L45" i="45" s="1"/>
  <c r="J39" i="45"/>
  <c r="J3" i="45"/>
  <c r="F16" i="41"/>
  <c r="X2" i="51"/>
  <c r="W17" i="51" s="1"/>
  <c r="Y17" i="51" s="1"/>
  <c r="AA17" i="51" s="1"/>
  <c r="Y42" i="51" s="1"/>
  <c r="BN40" i="52"/>
  <c r="BP40" i="52" s="1"/>
  <c r="X40" i="52"/>
  <c r="C58" i="51"/>
  <c r="D42" i="45"/>
  <c r="D45" i="45"/>
  <c r="C59" i="45"/>
  <c r="C41" i="45"/>
  <c r="D41" i="45"/>
  <c r="C45" i="45"/>
  <c r="C58" i="45"/>
  <c r="C43" i="45"/>
  <c r="D57" i="45"/>
  <c r="BH40" i="52"/>
  <c r="BH60" i="52"/>
  <c r="BG43" i="52"/>
  <c r="T17" i="52"/>
  <c r="Q57" i="52" s="1"/>
  <c r="H37" i="24"/>
  <c r="H39" i="24" s="1"/>
  <c r="H42" i="24" s="1"/>
  <c r="N48" i="24" s="1"/>
  <c r="H16" i="24"/>
  <c r="N16" i="24"/>
  <c r="I16" i="24"/>
  <c r="J16" i="24"/>
  <c r="K93" i="25"/>
  <c r="K94" i="25" s="1"/>
  <c r="AF55" i="52"/>
  <c r="AF44" i="52"/>
  <c r="AF40" i="52"/>
  <c r="AG40" i="52" s="1"/>
  <c r="AL40" i="52"/>
  <c r="AN40" i="52" s="1"/>
  <c r="BG3" i="52"/>
  <c r="S14" i="47"/>
  <c r="T14" i="47" s="1"/>
  <c r="Q17" i="47"/>
  <c r="T17" i="47" s="1"/>
  <c r="BO31" i="47"/>
  <c r="BN31" i="47"/>
  <c r="AM14" i="47"/>
  <c r="AN14" i="47" s="1"/>
  <c r="BO14" i="47"/>
  <c r="BP14" i="47" s="1"/>
  <c r="BA14" i="47"/>
  <c r="BB14" i="47" s="1"/>
  <c r="Y14" i="47"/>
  <c r="Z14" i="47" s="1"/>
  <c r="AF14" i="47"/>
  <c r="AG14" i="47" s="1"/>
  <c r="AF30" i="52"/>
  <c r="AF59" i="52"/>
  <c r="BH42" i="52"/>
  <c r="AM41" i="52"/>
  <c r="AN41" i="52" s="1"/>
  <c r="AL58" i="52"/>
  <c r="AL44" i="52"/>
  <c r="AL71" i="52"/>
  <c r="AL45" i="52"/>
  <c r="AM45" i="52"/>
  <c r="AM59" i="52"/>
  <c r="AN59" i="52" s="1"/>
  <c r="AM58" i="52"/>
  <c r="AM43" i="52"/>
  <c r="AM44" i="52"/>
  <c r="M17" i="52"/>
  <c r="J41" i="52" s="1"/>
  <c r="C31" i="52"/>
  <c r="D31" i="52"/>
  <c r="AG36" i="52"/>
  <c r="AG56" i="52"/>
  <c r="AE45" i="52"/>
  <c r="AF45" i="52"/>
  <c r="AF39" i="52"/>
  <c r="AE42" i="52"/>
  <c r="AG42" i="52" s="1"/>
  <c r="AE44" i="52"/>
  <c r="AE30" i="52"/>
  <c r="AE59" i="52"/>
  <c r="AE41" i="52"/>
  <c r="AF57" i="52"/>
  <c r="AG57" i="52" s="1"/>
  <c r="AE71" i="52"/>
  <c r="AE58" i="52"/>
  <c r="AG58" i="52" s="1"/>
  <c r="AE60" i="52"/>
  <c r="AG60" i="52" s="1"/>
  <c r="AF41" i="52"/>
  <c r="K29" i="45"/>
  <c r="AZ17" i="45"/>
  <c r="AZ31" i="47"/>
  <c r="BA31" i="47"/>
  <c r="D29" i="47"/>
  <c r="AL31" i="47"/>
  <c r="AM31" i="47"/>
  <c r="K30" i="47"/>
  <c r="L37" i="24"/>
  <c r="L39" i="24" s="1"/>
  <c r="L20" i="24"/>
  <c r="H20" i="24"/>
  <c r="K20" i="24"/>
  <c r="I20" i="24"/>
  <c r="N20" i="24"/>
  <c r="F20" i="24"/>
  <c r="M17" i="51"/>
  <c r="M14" i="47"/>
  <c r="J54" i="47" s="1"/>
  <c r="AS31" i="52"/>
  <c r="AU31" i="52" s="1"/>
  <c r="BB31" i="52"/>
  <c r="E31" i="51"/>
  <c r="S31" i="52"/>
  <c r="J40" i="25"/>
  <c r="AG36" i="51"/>
  <c r="BI36" i="52"/>
  <c r="F21" i="16"/>
  <c r="D44" i="16" s="1"/>
  <c r="AU36" i="51"/>
  <c r="BP36" i="52"/>
  <c r="BN59" i="51"/>
  <c r="F42" i="24"/>
  <c r="F49" i="25"/>
  <c r="F77" i="25"/>
  <c r="F93" i="25"/>
  <c r="F94" i="25" s="1"/>
  <c r="AT42" i="51"/>
  <c r="AS57" i="51"/>
  <c r="AS38" i="51"/>
  <c r="AS41" i="51"/>
  <c r="AT44" i="51"/>
  <c r="AS55" i="51"/>
  <c r="AT30" i="51"/>
  <c r="AS40" i="51"/>
  <c r="AT41" i="51"/>
  <c r="AS39" i="51"/>
  <c r="AT40" i="51"/>
  <c r="AS60" i="51"/>
  <c r="AS71" i="51"/>
  <c r="AS56" i="51"/>
  <c r="AT38" i="51"/>
  <c r="AT60" i="51"/>
  <c r="AT43" i="51"/>
  <c r="AT55" i="51"/>
  <c r="AS30" i="51"/>
  <c r="AS42" i="51"/>
  <c r="AS44" i="51"/>
  <c r="AU44" i="51" s="1"/>
  <c r="AT58" i="51"/>
  <c r="AT57" i="51"/>
  <c r="AS43" i="51"/>
  <c r="AS3" i="51"/>
  <c r="AS37" i="51"/>
  <c r="AS58" i="51"/>
  <c r="AT56" i="51"/>
  <c r="AT39" i="51"/>
  <c r="AS59" i="51"/>
  <c r="AT37" i="51"/>
  <c r="AT59" i="51"/>
  <c r="AT45" i="51"/>
  <c r="AS45" i="51"/>
  <c r="G47" i="24"/>
  <c r="M47" i="24"/>
  <c r="D47" i="24"/>
  <c r="N47" i="24"/>
  <c r="L47" i="24"/>
  <c r="F47" i="24"/>
  <c r="E47" i="24"/>
  <c r="J47" i="24"/>
  <c r="I50" i="24"/>
  <c r="K50" i="24"/>
  <c r="L50" i="24"/>
  <c r="H50" i="24"/>
  <c r="D50" i="24"/>
  <c r="BO56" i="51"/>
  <c r="BO44" i="51"/>
  <c r="BN60" i="51"/>
  <c r="BN38" i="51"/>
  <c r="BP38" i="51" s="1"/>
  <c r="BO30" i="51"/>
  <c r="BN37" i="51"/>
  <c r="BN58" i="51"/>
  <c r="BN42" i="51"/>
  <c r="BO57" i="51"/>
  <c r="BO45" i="51"/>
  <c r="BO38" i="51"/>
  <c r="BO59" i="51"/>
  <c r="BO42" i="51"/>
  <c r="BO60" i="51"/>
  <c r="BO58" i="51"/>
  <c r="BN30" i="51"/>
  <c r="BO55" i="51"/>
  <c r="BN41" i="51"/>
  <c r="BN55" i="51"/>
  <c r="BO43" i="51"/>
  <c r="BN39" i="51"/>
  <c r="BO39" i="51"/>
  <c r="BN56" i="51"/>
  <c r="BN57" i="51"/>
  <c r="BP57" i="51" s="1"/>
  <c r="BO40" i="51"/>
  <c r="BN3" i="51"/>
  <c r="BN71" i="51"/>
  <c r="BN43" i="51"/>
  <c r="BN40" i="51"/>
  <c r="BP40" i="51" s="1"/>
  <c r="BO41" i="51"/>
  <c r="E48" i="24"/>
  <c r="G48" i="24"/>
  <c r="D48" i="24"/>
  <c r="J50" i="24"/>
  <c r="K47" i="24"/>
  <c r="M50" i="24"/>
  <c r="E50" i="24"/>
  <c r="H48" i="24"/>
  <c r="I47" i="24"/>
  <c r="L45" i="24"/>
  <c r="N45" i="24"/>
  <c r="I45" i="24"/>
  <c r="K45" i="24"/>
  <c r="F45" i="24"/>
  <c r="C69" i="25"/>
  <c r="C49" i="25"/>
  <c r="C77" i="25"/>
  <c r="BN44" i="51"/>
  <c r="AF42" i="51"/>
  <c r="AE44" i="51"/>
  <c r="AF56" i="51"/>
  <c r="AE38" i="51"/>
  <c r="AE39" i="51"/>
  <c r="AF59" i="51"/>
  <c r="AF45" i="51"/>
  <c r="AF44" i="51"/>
  <c r="AE60" i="51"/>
  <c r="AE58" i="51"/>
  <c r="AF58" i="51"/>
  <c r="AE41" i="51"/>
  <c r="AF41" i="51"/>
  <c r="AE30" i="51"/>
  <c r="AF43" i="51"/>
  <c r="AF30" i="51"/>
  <c r="AE42" i="51"/>
  <c r="AG42" i="51" s="1"/>
  <c r="AF57" i="51"/>
  <c r="AF40" i="51"/>
  <c r="AF55" i="51"/>
  <c r="AE57" i="51"/>
  <c r="AF60" i="51"/>
  <c r="AE55" i="51"/>
  <c r="AE71" i="51"/>
  <c r="AE43" i="51"/>
  <c r="AE59" i="51"/>
  <c r="AE45" i="51"/>
  <c r="AF39" i="51"/>
  <c r="AE37" i="51"/>
  <c r="AE3" i="51"/>
  <c r="AF37" i="51"/>
  <c r="AF38" i="51"/>
  <c r="AZ39" i="52"/>
  <c r="AZ41" i="52"/>
  <c r="BA38" i="52"/>
  <c r="BA42" i="52"/>
  <c r="AZ3" i="52"/>
  <c r="AZ55" i="52"/>
  <c r="AZ30" i="52"/>
  <c r="AZ38" i="52"/>
  <c r="BA60" i="52"/>
  <c r="AZ58" i="52"/>
  <c r="BB58" i="52" s="1"/>
  <c r="BA41" i="52"/>
  <c r="BA39" i="52"/>
  <c r="BA56" i="52"/>
  <c r="BA40" i="52"/>
  <c r="AZ45" i="52"/>
  <c r="BA59" i="52"/>
  <c r="AZ40" i="52"/>
  <c r="BA30" i="52"/>
  <c r="AZ42" i="52"/>
  <c r="BA45" i="52"/>
  <c r="AZ57" i="52"/>
  <c r="AZ60" i="52"/>
  <c r="BA43" i="52"/>
  <c r="BA55" i="52"/>
  <c r="AZ44" i="52"/>
  <c r="AZ43" i="52"/>
  <c r="BA57" i="52"/>
  <c r="AZ56" i="52"/>
  <c r="BA37" i="52"/>
  <c r="BA44" i="52"/>
  <c r="AZ71" i="52"/>
  <c r="AZ59" i="52"/>
  <c r="BB59" i="52" s="1"/>
  <c r="BA58" i="52"/>
  <c r="AZ37" i="52"/>
  <c r="AT45" i="52"/>
  <c r="AS44" i="52"/>
  <c r="AS58" i="52"/>
  <c r="AS71" i="52"/>
  <c r="AT44" i="52"/>
  <c r="AT60" i="52"/>
  <c r="AT42" i="52"/>
  <c r="AS55" i="52"/>
  <c r="AT59" i="52"/>
  <c r="AT30" i="52"/>
  <c r="AS40" i="52"/>
  <c r="AT40" i="52"/>
  <c r="AT38" i="52"/>
  <c r="AT39" i="52"/>
  <c r="AS42" i="52"/>
  <c r="AU42" i="52" s="1"/>
  <c r="AS38" i="52"/>
  <c r="AS59" i="52"/>
  <c r="AT56" i="52"/>
  <c r="AT37" i="52"/>
  <c r="AS57" i="52"/>
  <c r="AS56" i="52"/>
  <c r="AT41" i="52"/>
  <c r="AS41" i="52"/>
  <c r="AS3" i="52"/>
  <c r="AS39" i="52"/>
  <c r="AT58" i="52"/>
  <c r="AS37" i="52"/>
  <c r="AT55" i="52"/>
  <c r="AT43" i="52"/>
  <c r="AS45" i="52"/>
  <c r="AS60" i="52"/>
  <c r="AT57" i="52"/>
  <c r="AS30" i="52"/>
  <c r="AS43" i="52"/>
  <c r="AL32" i="52"/>
  <c r="D8" i="25"/>
  <c r="C9" i="25"/>
  <c r="K16" i="24"/>
  <c r="J15" i="24"/>
  <c r="L17" i="24"/>
  <c r="N19" i="24"/>
  <c r="W14" i="47"/>
  <c r="M42" i="24"/>
  <c r="M65" i="24"/>
  <c r="C19" i="41"/>
  <c r="C24" i="41" s="1"/>
  <c r="F19" i="41"/>
  <c r="F24" i="41" s="1"/>
  <c r="E19" i="41"/>
  <c r="E24" i="41" s="1"/>
  <c r="D19" i="41"/>
  <c r="D24" i="41" s="1"/>
  <c r="G19" i="41"/>
  <c r="G24" i="41" s="1"/>
  <c r="H19" i="41"/>
  <c r="H24" i="41" s="1"/>
  <c r="I19" i="41"/>
  <c r="I24" i="41" s="1"/>
  <c r="K19" i="41"/>
  <c r="K24" i="41" s="1"/>
  <c r="F49" i="24"/>
  <c r="L49" i="24"/>
  <c r="E49" i="24"/>
  <c r="D93" i="25"/>
  <c r="D94" i="25" s="1"/>
  <c r="M18" i="24"/>
  <c r="BG3" i="51"/>
  <c r="BG42" i="51"/>
  <c r="BG59" i="51"/>
  <c r="BG55" i="51"/>
  <c r="J19" i="41"/>
  <c r="J24" i="41" s="1"/>
  <c r="BA40" i="51"/>
  <c r="AZ41" i="51"/>
  <c r="AM39" i="51"/>
  <c r="AM37" i="51"/>
  <c r="AL56" i="51"/>
  <c r="AL44" i="51"/>
  <c r="AL40" i="51"/>
  <c r="AM43" i="51"/>
  <c r="AM41" i="51"/>
  <c r="AL39" i="51"/>
  <c r="AM56" i="51"/>
  <c r="AM44" i="51"/>
  <c r="AL59" i="51"/>
  <c r="AL38" i="51"/>
  <c r="AM30" i="51"/>
  <c r="AM32" i="51" s="1"/>
  <c r="AM60" i="51"/>
  <c r="AM58" i="51"/>
  <c r="AL60" i="51"/>
  <c r="AM55" i="51"/>
  <c r="AL41" i="51"/>
  <c r="AL71" i="51"/>
  <c r="AL55" i="51"/>
  <c r="AL43" i="51"/>
  <c r="AM42" i="51"/>
  <c r="AL45" i="51"/>
  <c r="AM40" i="51"/>
  <c r="AL3" i="51"/>
  <c r="Q40" i="51"/>
  <c r="Q57" i="51"/>
  <c r="R40" i="51"/>
  <c r="Q44" i="51"/>
  <c r="Q45" i="51"/>
  <c r="R58" i="51"/>
  <c r="R41" i="51"/>
  <c r="Q39" i="51"/>
  <c r="R57" i="51"/>
  <c r="Q55" i="51"/>
  <c r="R42" i="51"/>
  <c r="Q58" i="51"/>
  <c r="R39" i="51"/>
  <c r="Q43" i="51"/>
  <c r="S43" i="51" s="1"/>
  <c r="Q41" i="51"/>
  <c r="S41" i="51" s="1"/>
  <c r="Q59" i="51"/>
  <c r="Q60" i="51"/>
  <c r="R56" i="51"/>
  <c r="R45" i="51"/>
  <c r="Q37" i="51"/>
  <c r="R37" i="51"/>
  <c r="Q3" i="51"/>
  <c r="R43" i="51"/>
  <c r="Q42" i="51"/>
  <c r="R59" i="51"/>
  <c r="R30" i="51"/>
  <c r="R55" i="51"/>
  <c r="R60" i="51"/>
  <c r="Q56" i="51"/>
  <c r="R38" i="51"/>
  <c r="Q38" i="51"/>
  <c r="R44" i="51"/>
  <c r="Q71" i="51"/>
  <c r="Q30" i="51"/>
  <c r="S30" i="51" s="1"/>
  <c r="Q7" i="51" s="1"/>
  <c r="D77" i="25"/>
  <c r="BG56" i="51"/>
  <c r="BG43" i="51"/>
  <c r="BH38" i="51"/>
  <c r="BH58" i="51"/>
  <c r="BG58" i="51"/>
  <c r="BG45" i="51"/>
  <c r="BH59" i="51"/>
  <c r="BH42" i="51"/>
  <c r="BG41" i="51"/>
  <c r="BH30" i="51"/>
  <c r="BH32" i="51" s="1"/>
  <c r="BH55" i="51"/>
  <c r="BH43" i="51"/>
  <c r="BH41" i="51"/>
  <c r="BH44" i="51"/>
  <c r="BG60" i="51"/>
  <c r="BG39" i="51"/>
  <c r="BH45" i="51"/>
  <c r="AZ44" i="51"/>
  <c r="AZ39" i="51"/>
  <c r="AZ45" i="51"/>
  <c r="AZ38" i="51"/>
  <c r="BB38" i="51" s="1"/>
  <c r="BA55" i="51"/>
  <c r="BA42" i="51"/>
  <c r="BA43" i="51"/>
  <c r="AZ30" i="51"/>
  <c r="AZ3" i="51"/>
  <c r="BA57" i="51"/>
  <c r="BA37" i="51"/>
  <c r="AZ37" i="51"/>
  <c r="BA44" i="51"/>
  <c r="BA58" i="51"/>
  <c r="AZ71" i="51"/>
  <c r="BA45" i="51"/>
  <c r="BA56" i="51"/>
  <c r="BB56" i="51" s="1"/>
  <c r="AZ55" i="51"/>
  <c r="BA39" i="51"/>
  <c r="AZ42" i="51"/>
  <c r="AZ40" i="51"/>
  <c r="BA59" i="51"/>
  <c r="BB59" i="51" s="1"/>
  <c r="BA41" i="51"/>
  <c r="BA30" i="51"/>
  <c r="AZ43" i="51"/>
  <c r="BB43" i="51" s="1"/>
  <c r="AZ60" i="51"/>
  <c r="AE40" i="51"/>
  <c r="Q57" i="45"/>
  <c r="Q3" i="45"/>
  <c r="Q44" i="45"/>
  <c r="R40" i="45"/>
  <c r="R60" i="45"/>
  <c r="R57" i="45"/>
  <c r="R45" i="45"/>
  <c r="Q39" i="45"/>
  <c r="R41" i="45"/>
  <c r="Q59" i="45"/>
  <c r="R39" i="45"/>
  <c r="Q41" i="45"/>
  <c r="Q45" i="45"/>
  <c r="R30" i="45"/>
  <c r="Q58" i="45"/>
  <c r="R58" i="45"/>
  <c r="Q40" i="45"/>
  <c r="Q71" i="45"/>
  <c r="Q38" i="45"/>
  <c r="R37" i="45"/>
  <c r="Q43" i="45"/>
  <c r="Q30" i="45"/>
  <c r="Q56" i="45"/>
  <c r="R44" i="45"/>
  <c r="R43" i="45"/>
  <c r="R42" i="45"/>
  <c r="Q37" i="45"/>
  <c r="R38" i="45"/>
  <c r="Q42" i="45"/>
  <c r="Q60" i="45"/>
  <c r="Q55" i="45"/>
  <c r="R55" i="45"/>
  <c r="I14" i="24"/>
  <c r="I49" i="24"/>
  <c r="N49" i="24"/>
  <c r="L13" i="24"/>
  <c r="L19" i="41"/>
  <c r="L24" i="41" s="1"/>
  <c r="BG30" i="51"/>
  <c r="BH60" i="51"/>
  <c r="BG71" i="51"/>
  <c r="BA60" i="51"/>
  <c r="AL58" i="51"/>
  <c r="AM38" i="51"/>
  <c r="AE56" i="51"/>
  <c r="AG56" i="51" s="1"/>
  <c r="X42" i="45"/>
  <c r="Y42" i="45"/>
  <c r="Y44" i="51"/>
  <c r="X38" i="51"/>
  <c r="X58" i="51"/>
  <c r="X43" i="51"/>
  <c r="Y55" i="51"/>
  <c r="Y38" i="51"/>
  <c r="X40" i="51"/>
  <c r="Y37" i="51"/>
  <c r="Y57" i="51"/>
  <c r="Y60" i="45"/>
  <c r="X30" i="45"/>
  <c r="Z30" i="45" s="1"/>
  <c r="X7" i="45" s="1"/>
  <c r="Y44" i="45"/>
  <c r="Y38" i="45"/>
  <c r="X41" i="45"/>
  <c r="Y59" i="45"/>
  <c r="Y55" i="45"/>
  <c r="Y43" i="45"/>
  <c r="X38" i="45"/>
  <c r="X44" i="45"/>
  <c r="X58" i="45"/>
  <c r="X57" i="45"/>
  <c r="Y56" i="45"/>
  <c r="Y58" i="45"/>
  <c r="X45" i="45"/>
  <c r="Z45" i="45" s="1"/>
  <c r="X3" i="45"/>
  <c r="X55" i="45"/>
  <c r="X59" i="45"/>
  <c r="X39" i="45"/>
  <c r="X43" i="45"/>
  <c r="Y40" i="45"/>
  <c r="X71" i="45"/>
  <c r="X56" i="45"/>
  <c r="X60" i="45"/>
  <c r="Y39" i="45"/>
  <c r="Y41" i="45"/>
  <c r="C57" i="52"/>
  <c r="C60" i="52"/>
  <c r="D42" i="52"/>
  <c r="D39" i="52"/>
  <c r="C39" i="52"/>
  <c r="D43" i="52"/>
  <c r="C55" i="52"/>
  <c r="D60" i="52"/>
  <c r="C38" i="52"/>
  <c r="D59" i="52"/>
  <c r="C3" i="52"/>
  <c r="C43" i="52"/>
  <c r="C44" i="52"/>
  <c r="D30" i="52"/>
  <c r="D32" i="52" s="1"/>
  <c r="D44" i="52"/>
  <c r="C56" i="52"/>
  <c r="C42" i="52"/>
  <c r="C59" i="52"/>
  <c r="C41" i="52"/>
  <c r="D40" i="52"/>
  <c r="D45" i="52"/>
  <c r="D57" i="52"/>
  <c r="C40" i="52"/>
  <c r="D55" i="52"/>
  <c r="D38" i="52"/>
  <c r="D56" i="52"/>
  <c r="C58" i="52"/>
  <c r="E58" i="52" s="1"/>
  <c r="BP38" i="52"/>
  <c r="D44" i="51"/>
  <c r="D40" i="51"/>
  <c r="C41" i="51"/>
  <c r="C3" i="51"/>
  <c r="C45" i="51"/>
  <c r="E45" i="51" s="1"/>
  <c r="C39" i="51"/>
  <c r="D57" i="51"/>
  <c r="D58" i="51"/>
  <c r="E58" i="51" s="1"/>
  <c r="C40" i="51"/>
  <c r="D59" i="51"/>
  <c r="D38" i="51"/>
  <c r="D42" i="51"/>
  <c r="D39" i="51"/>
  <c r="C42" i="51"/>
  <c r="D55" i="51"/>
  <c r="C60" i="51"/>
  <c r="E60" i="51" s="1"/>
  <c r="C57" i="51"/>
  <c r="C59" i="51"/>
  <c r="C55" i="51"/>
  <c r="D41" i="51"/>
  <c r="D43" i="51"/>
  <c r="E43" i="51" s="1"/>
  <c r="C38" i="51"/>
  <c r="AZ29" i="51"/>
  <c r="BA29" i="51"/>
  <c r="Q29" i="52"/>
  <c r="Q4" i="52"/>
  <c r="BG58" i="52"/>
  <c r="BH58" i="52"/>
  <c r="BG55" i="52"/>
  <c r="BG38" i="52"/>
  <c r="BG60" i="52"/>
  <c r="BI60" i="52" s="1"/>
  <c r="BG37" i="52"/>
  <c r="BH56" i="52"/>
  <c r="BH38" i="52"/>
  <c r="BH59" i="52"/>
  <c r="BI59" i="52" s="1"/>
  <c r="BH37" i="52"/>
  <c r="BG71" i="52"/>
  <c r="BH43" i="52"/>
  <c r="BG45" i="52"/>
  <c r="BI45" i="52" s="1"/>
  <c r="BG42" i="52"/>
  <c r="BG30" i="52"/>
  <c r="BG40" i="52"/>
  <c r="BG44" i="52"/>
  <c r="BG39" i="52"/>
  <c r="BH39" i="52"/>
  <c r="BG56" i="52"/>
  <c r="BH44" i="52"/>
  <c r="BH57" i="52"/>
  <c r="BI57" i="52" s="1"/>
  <c r="BG41" i="52"/>
  <c r="BH55" i="52"/>
  <c r="BH41" i="52"/>
  <c r="BH30" i="52"/>
  <c r="BH32" i="52" s="1"/>
  <c r="BG4" i="52"/>
  <c r="AL43" i="52"/>
  <c r="AM56" i="52"/>
  <c r="AL57" i="52"/>
  <c r="AL37" i="52"/>
  <c r="AL60" i="52"/>
  <c r="AN60" i="52" s="1"/>
  <c r="AM39" i="52"/>
  <c r="C4" i="51"/>
  <c r="C29" i="51"/>
  <c r="AL4" i="52"/>
  <c r="AM29" i="52"/>
  <c r="AM32" i="52" s="1"/>
  <c r="Q4" i="51"/>
  <c r="R29" i="51"/>
  <c r="S29" i="51" s="1"/>
  <c r="R59" i="52"/>
  <c r="J29" i="51"/>
  <c r="X42" i="52"/>
  <c r="X45" i="52"/>
  <c r="Z45" i="52" s="1"/>
  <c r="X44" i="52"/>
  <c r="Y55" i="52"/>
  <c r="X57" i="52"/>
  <c r="Y41" i="52"/>
  <c r="Y37" i="52"/>
  <c r="Y43" i="52"/>
  <c r="Y30" i="52"/>
  <c r="X41" i="52"/>
  <c r="Y40" i="52"/>
  <c r="Y44" i="52"/>
  <c r="X55" i="52"/>
  <c r="X3" i="52"/>
  <c r="X56" i="52"/>
  <c r="Z56" i="52" s="1"/>
  <c r="X71" i="52"/>
  <c r="X38" i="52"/>
  <c r="BO29" i="52"/>
  <c r="BN4" i="52"/>
  <c r="AG31" i="52"/>
  <c r="AA14" i="45"/>
  <c r="AD14" i="45"/>
  <c r="C12" i="41"/>
  <c r="H39" i="25"/>
  <c r="H40" i="25" s="1"/>
  <c r="AS31" i="51"/>
  <c r="AU31" i="51" s="1"/>
  <c r="K31" i="52"/>
  <c r="L31" i="52" s="1"/>
  <c r="BO31" i="52"/>
  <c r="BP31" i="52" s="1"/>
  <c r="C60" i="41"/>
  <c r="BN31" i="51"/>
  <c r="BP31" i="51" s="1"/>
  <c r="BG31" i="51"/>
  <c r="BI31" i="51" s="1"/>
  <c r="C53" i="16"/>
  <c r="C79" i="41"/>
  <c r="D58" i="45" l="1"/>
  <c r="C42" i="45"/>
  <c r="E42" i="45" s="1"/>
  <c r="E45" i="45"/>
  <c r="D40" i="45"/>
  <c r="D37" i="45"/>
  <c r="E37" i="45" s="1"/>
  <c r="Z40" i="52"/>
  <c r="AG40" i="51"/>
  <c r="BB57" i="51"/>
  <c r="E55" i="45"/>
  <c r="Z42" i="52"/>
  <c r="J56" i="16"/>
  <c r="K56" i="16" s="1"/>
  <c r="J55" i="16"/>
  <c r="K55" i="16" s="1"/>
  <c r="C57" i="16"/>
  <c r="J57" i="16" s="1"/>
  <c r="E49" i="25"/>
  <c r="E93" i="25"/>
  <c r="E94" i="25" s="1"/>
  <c r="E77" i="25"/>
  <c r="E69" i="25"/>
  <c r="E44" i="51"/>
  <c r="S60" i="45"/>
  <c r="E31" i="52"/>
  <c r="AN45" i="52"/>
  <c r="D56" i="45"/>
  <c r="C3" i="45"/>
  <c r="C60" i="45"/>
  <c r="D39" i="45"/>
  <c r="E56" i="45"/>
  <c r="D30" i="45"/>
  <c r="D32" i="45" s="1"/>
  <c r="AN30" i="52"/>
  <c r="AL7" i="52" s="1"/>
  <c r="BP44" i="51"/>
  <c r="Z31" i="45"/>
  <c r="F22" i="16"/>
  <c r="G22" i="16" s="1"/>
  <c r="BI40" i="52"/>
  <c r="BP56" i="51"/>
  <c r="AU59" i="51"/>
  <c r="E40" i="45"/>
  <c r="E37" i="51"/>
  <c r="D60" i="45"/>
  <c r="AG37" i="52"/>
  <c r="C64" i="16"/>
  <c r="C65" i="16" s="1"/>
  <c r="AN58" i="52"/>
  <c r="BP60" i="52"/>
  <c r="C57" i="45"/>
  <c r="E57" i="45" s="1"/>
  <c r="D59" i="45"/>
  <c r="E59" i="45" s="1"/>
  <c r="AG57" i="51"/>
  <c r="AU42" i="51"/>
  <c r="L37" i="45"/>
  <c r="D44" i="45"/>
  <c r="AG43" i="52"/>
  <c r="AN38" i="52"/>
  <c r="BI56" i="52"/>
  <c r="BI43" i="52"/>
  <c r="D32" i="51"/>
  <c r="Z55" i="45"/>
  <c r="BP60" i="51"/>
  <c r="AU45" i="51"/>
  <c r="E58" i="45"/>
  <c r="E29" i="52"/>
  <c r="C6" i="52" s="1"/>
  <c r="D43" i="45"/>
  <c r="E43" i="45" s="1"/>
  <c r="AU58" i="51"/>
  <c r="BB60" i="52"/>
  <c r="BB60" i="51"/>
  <c r="S57" i="51"/>
  <c r="BO61" i="52"/>
  <c r="AG44" i="52"/>
  <c r="AN43" i="52"/>
  <c r="AG43" i="51"/>
  <c r="AM46" i="52"/>
  <c r="E42" i="51"/>
  <c r="BI42" i="52"/>
  <c r="AU39" i="52"/>
  <c r="AU39" i="51"/>
  <c r="E41" i="51"/>
  <c r="AF46" i="52"/>
  <c r="BO46" i="52"/>
  <c r="BB40" i="51"/>
  <c r="E39" i="51"/>
  <c r="AN39" i="52"/>
  <c r="BB39" i="51"/>
  <c r="AG39" i="51"/>
  <c r="BP39" i="51"/>
  <c r="C46" i="45"/>
  <c r="AU38" i="51"/>
  <c r="AU31" i="47"/>
  <c r="AN31" i="47"/>
  <c r="BI31" i="47"/>
  <c r="AN31" i="45"/>
  <c r="C38" i="47"/>
  <c r="Q42" i="52"/>
  <c r="Q45" i="52"/>
  <c r="Q60" i="52"/>
  <c r="R41" i="52"/>
  <c r="R38" i="52"/>
  <c r="E41" i="52"/>
  <c r="Z59" i="52"/>
  <c r="L43" i="47"/>
  <c r="L41" i="47"/>
  <c r="Z43" i="52"/>
  <c r="C37" i="47"/>
  <c r="E45" i="52"/>
  <c r="K29" i="47"/>
  <c r="K32" i="47" s="1"/>
  <c r="D30" i="47"/>
  <c r="D32" i="47" s="1"/>
  <c r="C60" i="47"/>
  <c r="J29" i="47"/>
  <c r="C44" i="47"/>
  <c r="D44" i="47"/>
  <c r="Z59" i="45"/>
  <c r="S39" i="45"/>
  <c r="D45" i="47"/>
  <c r="L56" i="45"/>
  <c r="J4" i="47"/>
  <c r="Z43" i="45"/>
  <c r="S42" i="45"/>
  <c r="K54" i="47"/>
  <c r="K61" i="47" s="1"/>
  <c r="K63" i="47" s="1"/>
  <c r="K64" i="47" s="1"/>
  <c r="E38" i="45"/>
  <c r="C59" i="47"/>
  <c r="D39" i="47"/>
  <c r="Z41" i="45"/>
  <c r="S41" i="45"/>
  <c r="C56" i="47"/>
  <c r="Z37" i="45"/>
  <c r="L41" i="45"/>
  <c r="E44" i="45"/>
  <c r="D60" i="47"/>
  <c r="D55" i="47"/>
  <c r="L39" i="47"/>
  <c r="J40" i="45"/>
  <c r="J57" i="45"/>
  <c r="J58" i="45"/>
  <c r="L58" i="45" s="1"/>
  <c r="K57" i="45"/>
  <c r="J42" i="45"/>
  <c r="L42" i="45" s="1"/>
  <c r="K43" i="45"/>
  <c r="L43" i="45" s="1"/>
  <c r="K60" i="45"/>
  <c r="L60" i="45" s="1"/>
  <c r="K40" i="45"/>
  <c r="J71" i="45"/>
  <c r="R59" i="45"/>
  <c r="S59" i="45" s="1"/>
  <c r="R56" i="45"/>
  <c r="S56" i="45" s="1"/>
  <c r="Z41" i="52"/>
  <c r="L40" i="47"/>
  <c r="E42" i="52"/>
  <c r="E56" i="52"/>
  <c r="E59" i="52"/>
  <c r="L56" i="47"/>
  <c r="E43" i="52"/>
  <c r="K46" i="47"/>
  <c r="Z39" i="52"/>
  <c r="J44" i="52"/>
  <c r="Z57" i="52"/>
  <c r="L59" i="47"/>
  <c r="D58" i="47"/>
  <c r="E58" i="47" s="1"/>
  <c r="C40" i="47"/>
  <c r="C45" i="47"/>
  <c r="E45" i="47" s="1"/>
  <c r="C43" i="47"/>
  <c r="D57" i="47"/>
  <c r="C55" i="47"/>
  <c r="D37" i="47"/>
  <c r="E37" i="47" s="1"/>
  <c r="D38" i="47"/>
  <c r="E38" i="47" s="1"/>
  <c r="E60" i="52"/>
  <c r="C3" i="47"/>
  <c r="C42" i="47"/>
  <c r="D43" i="47"/>
  <c r="D61" i="52"/>
  <c r="D63" i="52" s="1"/>
  <c r="D64" i="52" s="1"/>
  <c r="E57" i="52"/>
  <c r="C71" i="47"/>
  <c r="C41" i="47"/>
  <c r="D59" i="47"/>
  <c r="C39" i="47"/>
  <c r="C32" i="47"/>
  <c r="D40" i="47"/>
  <c r="D42" i="47"/>
  <c r="D56" i="47"/>
  <c r="D41" i="47"/>
  <c r="C57" i="47"/>
  <c r="AG39" i="52"/>
  <c r="BH46" i="52"/>
  <c r="BH48" i="52" s="1"/>
  <c r="BH50" i="52" s="1"/>
  <c r="BH51" i="52" s="1"/>
  <c r="L55" i="47"/>
  <c r="X29" i="51"/>
  <c r="X4" i="51"/>
  <c r="J60" i="52"/>
  <c r="BB42" i="52"/>
  <c r="BB31" i="47"/>
  <c r="AN44" i="52"/>
  <c r="AE4" i="51"/>
  <c r="AF29" i="51"/>
  <c r="AE29" i="51"/>
  <c r="J45" i="52"/>
  <c r="X44" i="51"/>
  <c r="Z44" i="51" s="1"/>
  <c r="Y39" i="51"/>
  <c r="Y45" i="51"/>
  <c r="S60" i="51"/>
  <c r="S40" i="51"/>
  <c r="H65" i="24"/>
  <c r="AG45" i="51"/>
  <c r="F48" i="24"/>
  <c r="BP45" i="51"/>
  <c r="AG41" i="52"/>
  <c r="R60" i="52"/>
  <c r="Q58" i="52"/>
  <c r="Q55" i="52"/>
  <c r="R57" i="52"/>
  <c r="R40" i="52"/>
  <c r="R37" i="52"/>
  <c r="Q44" i="52"/>
  <c r="R43" i="52"/>
  <c r="Q39" i="52"/>
  <c r="Q71" i="52"/>
  <c r="Q40" i="52"/>
  <c r="Q43" i="52"/>
  <c r="Q3" i="52"/>
  <c r="R44" i="52"/>
  <c r="R58" i="52"/>
  <c r="R55" i="52"/>
  <c r="Q41" i="52"/>
  <c r="S41" i="52" s="1"/>
  <c r="R39" i="52"/>
  <c r="Q59" i="52"/>
  <c r="S59" i="52" s="1"/>
  <c r="R42" i="52"/>
  <c r="Q30" i="52"/>
  <c r="Q32" i="52" s="1"/>
  <c r="Q37" i="52"/>
  <c r="S37" i="52" s="1"/>
  <c r="R45" i="52"/>
  <c r="Q38" i="52"/>
  <c r="R30" i="52"/>
  <c r="R32" i="52" s="1"/>
  <c r="R56" i="52"/>
  <c r="Q56" i="52"/>
  <c r="E41" i="45"/>
  <c r="BB31" i="45"/>
  <c r="E54" i="47"/>
  <c r="BP58" i="52"/>
  <c r="BP59" i="52"/>
  <c r="J54" i="45"/>
  <c r="K54" i="45"/>
  <c r="J29" i="45"/>
  <c r="J4" i="45"/>
  <c r="L45" i="47"/>
  <c r="L30" i="47"/>
  <c r="J7" i="47" s="1"/>
  <c r="G50" i="24"/>
  <c r="N50" i="24"/>
  <c r="F50" i="24"/>
  <c r="AF29" i="52"/>
  <c r="AF32" i="52" s="1"/>
  <c r="BI29" i="52"/>
  <c r="BG6" i="52" s="1"/>
  <c r="AU59" i="52"/>
  <c r="AG45" i="52"/>
  <c r="X71" i="51"/>
  <c r="X59" i="51"/>
  <c r="Z59" i="51" s="1"/>
  <c r="X41" i="51"/>
  <c r="X56" i="51"/>
  <c r="Y60" i="51"/>
  <c r="Y56" i="51"/>
  <c r="Y59" i="51"/>
  <c r="X42" i="51"/>
  <c r="Z42" i="51" s="1"/>
  <c r="X3" i="51"/>
  <c r="BP57" i="52"/>
  <c r="K57" i="52"/>
  <c r="BN46" i="52"/>
  <c r="E44" i="52"/>
  <c r="Y43" i="51"/>
  <c r="Y41" i="51"/>
  <c r="X57" i="51"/>
  <c r="Z57" i="51" s="1"/>
  <c r="BB58" i="51"/>
  <c r="BI60" i="51"/>
  <c r="S42" i="51"/>
  <c r="C63" i="45"/>
  <c r="AN40" i="51"/>
  <c r="AU60" i="52"/>
  <c r="AG59" i="51"/>
  <c r="AG58" i="51"/>
  <c r="M48" i="24"/>
  <c r="AU43" i="51"/>
  <c r="L42" i="24"/>
  <c r="L65" i="24"/>
  <c r="AG59" i="52"/>
  <c r="AE46" i="52"/>
  <c r="BP31" i="47"/>
  <c r="AF61" i="52"/>
  <c r="AG55" i="52"/>
  <c r="K29" i="51"/>
  <c r="J4" i="51"/>
  <c r="R29" i="45"/>
  <c r="Q4" i="45"/>
  <c r="Q54" i="45"/>
  <c r="R54" i="45"/>
  <c r="R61" i="45" s="1"/>
  <c r="R63" i="45" s="1"/>
  <c r="R64" i="45" s="1"/>
  <c r="E54" i="45"/>
  <c r="L39" i="45"/>
  <c r="Q29" i="45"/>
  <c r="S29" i="45" s="1"/>
  <c r="Q6" i="45" s="1"/>
  <c r="Y29" i="52"/>
  <c r="Y32" i="52" s="1"/>
  <c r="X4" i="52"/>
  <c r="X29" i="52"/>
  <c r="AL29" i="51"/>
  <c r="AN29" i="51" s="1"/>
  <c r="AL6" i="51" s="1"/>
  <c r="AL4" i="51"/>
  <c r="AS29" i="51"/>
  <c r="AU29" i="51" s="1"/>
  <c r="AS6" i="51" s="1"/>
  <c r="AS4" i="51"/>
  <c r="R32" i="45"/>
  <c r="Z44" i="45"/>
  <c r="BB56" i="52"/>
  <c r="AF61" i="51"/>
  <c r="AF63" i="51" s="1"/>
  <c r="AF64" i="51" s="1"/>
  <c r="AM48" i="52"/>
  <c r="AM50" i="52" s="1"/>
  <c r="AM51" i="52" s="1"/>
  <c r="E59" i="51"/>
  <c r="D46" i="51"/>
  <c r="E39" i="52"/>
  <c r="Y40" i="51"/>
  <c r="Z40" i="51" s="1"/>
  <c r="X37" i="51"/>
  <c r="X30" i="51"/>
  <c r="S57" i="45"/>
  <c r="AG60" i="51"/>
  <c r="L48" i="24"/>
  <c r="I48" i="24"/>
  <c r="BP42" i="51"/>
  <c r="AT46" i="51"/>
  <c r="AT32" i="51"/>
  <c r="J71" i="51"/>
  <c r="J44" i="51"/>
  <c r="K57" i="51"/>
  <c r="J3" i="51"/>
  <c r="K38" i="51"/>
  <c r="J43" i="51"/>
  <c r="J55" i="51"/>
  <c r="J39" i="51"/>
  <c r="J60" i="51"/>
  <c r="K44" i="51"/>
  <c r="K37" i="51"/>
  <c r="J58" i="51"/>
  <c r="K43" i="51"/>
  <c r="K56" i="51"/>
  <c r="K39" i="51"/>
  <c r="K45" i="51"/>
  <c r="J37" i="51"/>
  <c r="J42" i="51"/>
  <c r="K40" i="51"/>
  <c r="K59" i="51"/>
  <c r="K55" i="51"/>
  <c r="J56" i="51"/>
  <c r="L56" i="51" s="1"/>
  <c r="J30" i="51"/>
  <c r="J45" i="51"/>
  <c r="K41" i="51"/>
  <c r="J57" i="51"/>
  <c r="K58" i="51"/>
  <c r="J38" i="51"/>
  <c r="J41" i="51"/>
  <c r="K30" i="51"/>
  <c r="J59" i="51"/>
  <c r="L59" i="51" s="1"/>
  <c r="K60" i="51"/>
  <c r="J40" i="51"/>
  <c r="K42" i="51"/>
  <c r="K32" i="45"/>
  <c r="AG30" i="52"/>
  <c r="AE7" i="52" s="1"/>
  <c r="J45" i="24"/>
  <c r="E45" i="24"/>
  <c r="G45" i="24"/>
  <c r="M45" i="24"/>
  <c r="H45" i="24"/>
  <c r="D45" i="24"/>
  <c r="C32" i="45"/>
  <c r="BN61" i="52"/>
  <c r="K29" i="52"/>
  <c r="J29" i="52"/>
  <c r="L29" i="52" s="1"/>
  <c r="J6" i="52" s="1"/>
  <c r="J4" i="52"/>
  <c r="L30" i="45"/>
  <c r="J7" i="45" s="1"/>
  <c r="L58" i="47"/>
  <c r="BO29" i="51"/>
  <c r="BO32" i="51" s="1"/>
  <c r="BN29" i="51"/>
  <c r="BN4" i="51"/>
  <c r="BG4" i="51"/>
  <c r="BG29" i="51"/>
  <c r="BI29" i="51" s="1"/>
  <c r="BG6" i="51" s="1"/>
  <c r="K59" i="52"/>
  <c r="K44" i="52"/>
  <c r="K30" i="52"/>
  <c r="J58" i="52"/>
  <c r="J55" i="52"/>
  <c r="J42" i="52"/>
  <c r="K40" i="52"/>
  <c r="K60" i="52"/>
  <c r="K55" i="52"/>
  <c r="K45" i="52"/>
  <c r="J39" i="52"/>
  <c r="K56" i="52"/>
  <c r="J59" i="52"/>
  <c r="J57" i="52"/>
  <c r="K41" i="52"/>
  <c r="L41" i="52" s="1"/>
  <c r="J43" i="52"/>
  <c r="K38" i="52"/>
  <c r="K39" i="52"/>
  <c r="K43" i="52"/>
  <c r="J71" i="52"/>
  <c r="K58" i="52"/>
  <c r="J37" i="52"/>
  <c r="J40" i="52"/>
  <c r="L40" i="52" s="1"/>
  <c r="J56" i="52"/>
  <c r="K42" i="52"/>
  <c r="K37" i="52"/>
  <c r="BI39" i="52"/>
  <c r="BP61" i="52"/>
  <c r="BA32" i="51"/>
  <c r="Y46" i="45"/>
  <c r="Z40" i="45"/>
  <c r="Y58" i="51"/>
  <c r="Z58" i="51" s="1"/>
  <c r="X45" i="51"/>
  <c r="X60" i="51"/>
  <c r="Z60" i="51" s="1"/>
  <c r="AN56" i="51"/>
  <c r="AU56" i="52"/>
  <c r="BB45" i="52"/>
  <c r="AF32" i="51"/>
  <c r="K48" i="24"/>
  <c r="AU56" i="51"/>
  <c r="J77" i="25"/>
  <c r="J93" i="25"/>
  <c r="J94" i="25" s="1"/>
  <c r="J49" i="25"/>
  <c r="J69" i="25"/>
  <c r="Z58" i="52"/>
  <c r="AL57" i="51"/>
  <c r="AL30" i="51"/>
  <c r="AM57" i="51"/>
  <c r="AM61" i="51" s="1"/>
  <c r="AL42" i="51"/>
  <c r="AN42" i="51" s="1"/>
  <c r="AM45" i="51"/>
  <c r="AM46" i="51" s="1"/>
  <c r="AM48" i="51" s="1"/>
  <c r="AL37" i="51"/>
  <c r="AM59" i="51"/>
  <c r="AN59" i="51" s="1"/>
  <c r="BP39" i="52"/>
  <c r="BP46" i="52" s="1"/>
  <c r="BG40" i="51"/>
  <c r="BH39" i="51"/>
  <c r="BI39" i="51" s="1"/>
  <c r="BG57" i="51"/>
  <c r="BG61" i="51" s="1"/>
  <c r="BG37" i="51"/>
  <c r="BH40" i="51"/>
  <c r="BH56" i="51"/>
  <c r="BG38" i="51"/>
  <c r="BI38" i="51" s="1"/>
  <c r="BH37" i="51"/>
  <c r="BH57" i="51"/>
  <c r="BG44" i="51"/>
  <c r="BI44" i="51" s="1"/>
  <c r="L38" i="47"/>
  <c r="L42" i="47"/>
  <c r="AZ4" i="52"/>
  <c r="BA29" i="52"/>
  <c r="BA32" i="52" s="1"/>
  <c r="AZ29" i="52"/>
  <c r="J30" i="52"/>
  <c r="AE4" i="52"/>
  <c r="J3" i="52"/>
  <c r="Y61" i="52"/>
  <c r="Y63" i="52" s="1"/>
  <c r="Y64" i="52" s="1"/>
  <c r="J38" i="52"/>
  <c r="J46" i="47"/>
  <c r="Z57" i="45"/>
  <c r="X39" i="51"/>
  <c r="Z39" i="51" s="1"/>
  <c r="X55" i="51"/>
  <c r="Y30" i="51"/>
  <c r="Y32" i="51" s="1"/>
  <c r="Z42" i="45"/>
  <c r="S45" i="51"/>
  <c r="J48" i="24"/>
  <c r="AE61" i="52"/>
  <c r="Y29" i="51"/>
  <c r="BP30" i="52"/>
  <c r="BN7" i="52" s="1"/>
  <c r="E56" i="51"/>
  <c r="L59" i="45"/>
  <c r="L44" i="45"/>
  <c r="L57" i="47"/>
  <c r="L60" i="47"/>
  <c r="L44" i="47"/>
  <c r="BN32" i="52"/>
  <c r="AT29" i="52"/>
  <c r="AT32" i="52" s="1"/>
  <c r="AS29" i="52"/>
  <c r="AU29" i="52" s="1"/>
  <c r="AS6" i="52" s="1"/>
  <c r="AS4" i="52"/>
  <c r="BP29" i="52"/>
  <c r="BO32" i="52"/>
  <c r="E38" i="51"/>
  <c r="C46" i="51"/>
  <c r="AD14" i="47"/>
  <c r="AA14" i="47"/>
  <c r="AA17" i="47"/>
  <c r="H77" i="25"/>
  <c r="H69" i="25"/>
  <c r="H93" i="25"/>
  <c r="H94" i="25" s="1"/>
  <c r="H49" i="25"/>
  <c r="AM61" i="52"/>
  <c r="AN56" i="52"/>
  <c r="E57" i="51"/>
  <c r="Q61" i="45"/>
  <c r="S55" i="45"/>
  <c r="BB44" i="51"/>
  <c r="BI55" i="51"/>
  <c r="M53" i="24"/>
  <c r="I53" i="24"/>
  <c r="E53" i="24"/>
  <c r="H53" i="24"/>
  <c r="F53" i="24"/>
  <c r="L53" i="24"/>
  <c r="K53" i="24"/>
  <c r="J53" i="24"/>
  <c r="N53" i="24"/>
  <c r="G53" i="24"/>
  <c r="D53" i="24"/>
  <c r="L54" i="47"/>
  <c r="J61" i="47"/>
  <c r="AU38" i="52"/>
  <c r="AG41" i="51"/>
  <c r="BN61" i="51"/>
  <c r="BP55" i="51"/>
  <c r="BO46" i="51"/>
  <c r="BP58" i="51"/>
  <c r="AS46" i="51"/>
  <c r="AU37" i="51"/>
  <c r="AT61" i="51"/>
  <c r="AU55" i="51"/>
  <c r="AS61" i="51"/>
  <c r="AU57" i="51"/>
  <c r="BI37" i="52"/>
  <c r="BG46" i="52"/>
  <c r="D46" i="52"/>
  <c r="D48" i="52" s="1"/>
  <c r="X46" i="45"/>
  <c r="Z38" i="45"/>
  <c r="R46" i="45"/>
  <c r="E28" i="41"/>
  <c r="E71" i="41" s="1"/>
  <c r="AU30" i="52"/>
  <c r="AG37" i="51"/>
  <c r="AE46" i="51"/>
  <c r="AS32" i="51"/>
  <c r="AS48" i="51" s="1"/>
  <c r="AU30" i="51"/>
  <c r="K52" i="16"/>
  <c r="Z38" i="52"/>
  <c r="X46" i="52"/>
  <c r="Z30" i="52"/>
  <c r="BI58" i="52"/>
  <c r="S58" i="45"/>
  <c r="S44" i="45"/>
  <c r="BA61" i="51"/>
  <c r="S56" i="51"/>
  <c r="R46" i="51"/>
  <c r="AN41" i="51"/>
  <c r="F28" i="41"/>
  <c r="AN29" i="52"/>
  <c r="AU57" i="52"/>
  <c r="AU55" i="52"/>
  <c r="AS61" i="52"/>
  <c r="AZ61" i="52"/>
  <c r="BB55" i="52"/>
  <c r="C78" i="16"/>
  <c r="C76" i="16"/>
  <c r="C37" i="41"/>
  <c r="G20" i="41"/>
  <c r="G25" i="41" s="1"/>
  <c r="G26" i="41" s="1"/>
  <c r="L20" i="41"/>
  <c r="L25" i="41" s="1"/>
  <c r="E20" i="41"/>
  <c r="E25" i="41" s="1"/>
  <c r="H20" i="41"/>
  <c r="H25" i="41" s="1"/>
  <c r="H26" i="41" s="1"/>
  <c r="C13" i="41"/>
  <c r="E37" i="41"/>
  <c r="I20" i="41"/>
  <c r="I25" i="41" s="1"/>
  <c r="I26" i="41" s="1"/>
  <c r="J20" i="41"/>
  <c r="J25" i="41" s="1"/>
  <c r="J26" i="41" s="1"/>
  <c r="C20" i="41"/>
  <c r="C25" i="41" s="1"/>
  <c r="D20" i="41"/>
  <c r="D25" i="41" s="1"/>
  <c r="D26" i="41" s="1"/>
  <c r="F20" i="41"/>
  <c r="F25" i="41" s="1"/>
  <c r="F37" i="41"/>
  <c r="D37" i="41"/>
  <c r="K20" i="41"/>
  <c r="K25" i="41" s="1"/>
  <c r="AE32" i="52"/>
  <c r="AG29" i="52"/>
  <c r="J32" i="51"/>
  <c r="R32" i="51"/>
  <c r="BH61" i="52"/>
  <c r="BI38" i="52"/>
  <c r="BB29" i="51"/>
  <c r="AZ32" i="51"/>
  <c r="E40" i="51"/>
  <c r="E40" i="52"/>
  <c r="C61" i="52"/>
  <c r="E55" i="52"/>
  <c r="Z56" i="45"/>
  <c r="Z39" i="45"/>
  <c r="Z58" i="45"/>
  <c r="Z37" i="51"/>
  <c r="X32" i="51"/>
  <c r="Z30" i="51"/>
  <c r="Z38" i="51"/>
  <c r="S30" i="45"/>
  <c r="BB42" i="51"/>
  <c r="BB37" i="51"/>
  <c r="AZ46" i="51"/>
  <c r="BB30" i="51"/>
  <c r="AZ7" i="51" s="1"/>
  <c r="BI45" i="51"/>
  <c r="BI43" i="51"/>
  <c r="S37" i="51"/>
  <c r="Q46" i="51"/>
  <c r="S59" i="51"/>
  <c r="S58" i="51"/>
  <c r="S39" i="51"/>
  <c r="S44" i="51"/>
  <c r="AN43" i="51"/>
  <c r="BB41" i="51"/>
  <c r="BI59" i="51"/>
  <c r="C28" i="41"/>
  <c r="C71" i="41"/>
  <c r="C26" i="41"/>
  <c r="Q54" i="47"/>
  <c r="R54" i="47"/>
  <c r="Q4" i="47"/>
  <c r="R29" i="47"/>
  <c r="Q29" i="47"/>
  <c r="D9" i="25"/>
  <c r="E8" i="25"/>
  <c r="AU37" i="52"/>
  <c r="AS46" i="52"/>
  <c r="AU41" i="52"/>
  <c r="AT46" i="52"/>
  <c r="AU40" i="52"/>
  <c r="AU58" i="52"/>
  <c r="BA46" i="52"/>
  <c r="BB44" i="52"/>
  <c r="BB57" i="52"/>
  <c r="BB40" i="52"/>
  <c r="BB39" i="52"/>
  <c r="AF46" i="51"/>
  <c r="AF48" i="51" s="1"/>
  <c r="AG55" i="51"/>
  <c r="AE61" i="51"/>
  <c r="BP41" i="51"/>
  <c r="BN46" i="51"/>
  <c r="BP37" i="51"/>
  <c r="E46" i="24"/>
  <c r="L46" i="24"/>
  <c r="K46" i="24"/>
  <c r="D46" i="24"/>
  <c r="I46" i="24"/>
  <c r="G46" i="24"/>
  <c r="J46" i="24"/>
  <c r="N46" i="24"/>
  <c r="F46" i="24"/>
  <c r="M46" i="24"/>
  <c r="H46" i="24"/>
  <c r="Y54" i="45"/>
  <c r="Y61" i="45" s="1"/>
  <c r="X4" i="45"/>
  <c r="X54" i="45"/>
  <c r="Y29" i="45"/>
  <c r="Y32" i="45" s="1"/>
  <c r="X29" i="45"/>
  <c r="AN57" i="52"/>
  <c r="AL61" i="52"/>
  <c r="C46" i="52"/>
  <c r="E38" i="52"/>
  <c r="C32" i="52"/>
  <c r="E30" i="52"/>
  <c r="BI30" i="51"/>
  <c r="BB55" i="51"/>
  <c r="BB61" i="51" s="1"/>
  <c r="AZ61" i="51"/>
  <c r="Q61" i="51"/>
  <c r="S55" i="51"/>
  <c r="Q6" i="51"/>
  <c r="S32" i="51"/>
  <c r="BB30" i="52"/>
  <c r="BP43" i="51"/>
  <c r="BP30" i="51"/>
  <c r="BN32" i="51"/>
  <c r="X61" i="52"/>
  <c r="Z55" i="52"/>
  <c r="BI44" i="52"/>
  <c r="Z60" i="45"/>
  <c r="L26" i="41"/>
  <c r="Q46" i="45"/>
  <c r="S37" i="45"/>
  <c r="S38" i="45"/>
  <c r="AT61" i="52"/>
  <c r="BB37" i="52"/>
  <c r="AZ46" i="52"/>
  <c r="BB43" i="52"/>
  <c r="BB41" i="52"/>
  <c r="AG38" i="51"/>
  <c r="J53" i="16"/>
  <c r="K53" i="16" s="1"/>
  <c r="C54" i="16"/>
  <c r="J54" i="16" s="1"/>
  <c r="K54" i="16" s="1"/>
  <c r="C14" i="41"/>
  <c r="AK14" i="45"/>
  <c r="AH14" i="45"/>
  <c r="AH17" i="45"/>
  <c r="D46" i="16"/>
  <c r="D47" i="16" s="1"/>
  <c r="C59" i="41"/>
  <c r="Y46" i="52"/>
  <c r="Z37" i="52"/>
  <c r="Z44" i="52"/>
  <c r="C32" i="51"/>
  <c r="E29" i="51"/>
  <c r="AL46" i="52"/>
  <c r="AL48" i="52" s="1"/>
  <c r="AN37" i="52"/>
  <c r="BI41" i="52"/>
  <c r="BI30" i="52"/>
  <c r="BG32" i="52"/>
  <c r="BG61" i="52"/>
  <c r="BI55" i="52"/>
  <c r="S29" i="52"/>
  <c r="E55" i="51"/>
  <c r="C61" i="51"/>
  <c r="D61" i="51"/>
  <c r="C7" i="51"/>
  <c r="BO63" i="52"/>
  <c r="Z45" i="51"/>
  <c r="Z43" i="51"/>
  <c r="AN58" i="51"/>
  <c r="S43" i="45"/>
  <c r="S40" i="45"/>
  <c r="S45" i="45"/>
  <c r="BA46" i="51"/>
  <c r="BB45" i="51"/>
  <c r="BI41" i="51"/>
  <c r="BI58" i="51"/>
  <c r="S38" i="51"/>
  <c r="R61" i="51"/>
  <c r="AL61" i="51"/>
  <c r="AN55" i="51"/>
  <c r="AN60" i="51"/>
  <c r="AN38" i="51"/>
  <c r="AN39" i="51"/>
  <c r="AN44" i="51"/>
  <c r="BI42" i="51"/>
  <c r="K26" i="41"/>
  <c r="D28" i="41"/>
  <c r="C75" i="16"/>
  <c r="C77" i="16" s="1"/>
  <c r="Q45" i="47"/>
  <c r="Q41" i="47"/>
  <c r="Q58" i="47"/>
  <c r="R57" i="47"/>
  <c r="R30" i="47"/>
  <c r="R42" i="47"/>
  <c r="Q39" i="47"/>
  <c r="R55" i="47"/>
  <c r="R58" i="47"/>
  <c r="R59" i="47"/>
  <c r="R39" i="47"/>
  <c r="Q37" i="47"/>
  <c r="R44" i="47"/>
  <c r="R45" i="47"/>
  <c r="R41" i="47"/>
  <c r="Q43" i="47"/>
  <c r="R37" i="47"/>
  <c r="R56" i="47"/>
  <c r="R38" i="47"/>
  <c r="R43" i="47"/>
  <c r="Q40" i="47"/>
  <c r="Q3" i="47"/>
  <c r="Q44" i="47"/>
  <c r="Q55" i="47"/>
  <c r="S55" i="47" s="1"/>
  <c r="Q57" i="47"/>
  <c r="R40" i="47"/>
  <c r="Q30" i="47"/>
  <c r="Q56" i="47"/>
  <c r="Q38" i="47"/>
  <c r="R60" i="47"/>
  <c r="Q60" i="47"/>
  <c r="Q42" i="47"/>
  <c r="Q71" i="47"/>
  <c r="Q59" i="47"/>
  <c r="S59" i="47" s="1"/>
  <c r="Q32" i="51"/>
  <c r="AU43" i="52"/>
  <c r="AU45" i="52"/>
  <c r="AU44" i="52"/>
  <c r="BA61" i="52"/>
  <c r="BB38" i="52"/>
  <c r="AE32" i="51"/>
  <c r="AG30" i="51"/>
  <c r="AG44" i="51"/>
  <c r="BO61" i="51"/>
  <c r="AU60" i="51"/>
  <c r="AU40" i="51"/>
  <c r="AU41" i="51"/>
  <c r="BP59" i="51"/>
  <c r="D61" i="45" l="1"/>
  <c r="D46" i="45"/>
  <c r="D48" i="45" s="1"/>
  <c r="D50" i="45" s="1"/>
  <c r="D51" i="45" s="1"/>
  <c r="AN46" i="52"/>
  <c r="L57" i="51"/>
  <c r="L57" i="45"/>
  <c r="BH61" i="51"/>
  <c r="AL46" i="51"/>
  <c r="L40" i="45"/>
  <c r="L46" i="45" s="1"/>
  <c r="D48" i="51"/>
  <c r="D50" i="51" s="1"/>
  <c r="D51" i="51" s="1"/>
  <c r="BA48" i="51"/>
  <c r="AT48" i="51"/>
  <c r="BO48" i="51"/>
  <c r="AG29" i="51"/>
  <c r="AE6" i="51" s="1"/>
  <c r="E46" i="45"/>
  <c r="S60" i="52"/>
  <c r="L30" i="51"/>
  <c r="J7" i="51" s="1"/>
  <c r="Z56" i="51"/>
  <c r="Z61" i="51" s="1"/>
  <c r="K32" i="51"/>
  <c r="L38" i="51"/>
  <c r="E60" i="45"/>
  <c r="Y61" i="51"/>
  <c r="X61" i="51"/>
  <c r="L60" i="51"/>
  <c r="AU61" i="51"/>
  <c r="AN57" i="51"/>
  <c r="AN61" i="51" s="1"/>
  <c r="J61" i="45"/>
  <c r="J63" i="45" s="1"/>
  <c r="E61" i="51"/>
  <c r="K46" i="45"/>
  <c r="AF48" i="52"/>
  <c r="AF50" i="52" s="1"/>
  <c r="AF51" i="52" s="1"/>
  <c r="C48" i="45"/>
  <c r="E48" i="45" s="1"/>
  <c r="BO48" i="52"/>
  <c r="Z41" i="51"/>
  <c r="Z46" i="51" s="1"/>
  <c r="AG46" i="52"/>
  <c r="L40" i="51"/>
  <c r="BG46" i="51"/>
  <c r="BH46" i="51"/>
  <c r="BH48" i="51" s="1"/>
  <c r="L39" i="51"/>
  <c r="Q48" i="51"/>
  <c r="Q50" i="51" s="1"/>
  <c r="Q51" i="51" s="1"/>
  <c r="AE48" i="52"/>
  <c r="AE50" i="52" s="1"/>
  <c r="Y48" i="45"/>
  <c r="Y50" i="45" s="1"/>
  <c r="Y51" i="45" s="1"/>
  <c r="BI37" i="51"/>
  <c r="AT48" i="52"/>
  <c r="AT50" i="52" s="1"/>
  <c r="AT51" i="52" s="1"/>
  <c r="BA48" i="52"/>
  <c r="R48" i="51"/>
  <c r="AE48" i="51"/>
  <c r="AE50" i="51" s="1"/>
  <c r="AE51" i="51" s="1"/>
  <c r="BG48" i="52"/>
  <c r="BI48" i="52" s="1"/>
  <c r="BN48" i="51"/>
  <c r="BP48" i="51" s="1"/>
  <c r="L30" i="52"/>
  <c r="L32" i="52" s="1"/>
  <c r="L43" i="52"/>
  <c r="S45" i="52"/>
  <c r="E44" i="47"/>
  <c r="E56" i="47"/>
  <c r="D46" i="47"/>
  <c r="D48" i="47" s="1"/>
  <c r="D50" i="47" s="1"/>
  <c r="D51" i="47" s="1"/>
  <c r="E60" i="47"/>
  <c r="S42" i="52"/>
  <c r="E59" i="47"/>
  <c r="S38" i="52"/>
  <c r="L29" i="47"/>
  <c r="L32" i="47" s="1"/>
  <c r="J32" i="47"/>
  <c r="J48" i="47" s="1"/>
  <c r="J50" i="47" s="1"/>
  <c r="E57" i="47"/>
  <c r="K48" i="47"/>
  <c r="K50" i="47" s="1"/>
  <c r="K51" i="47" s="1"/>
  <c r="K66" i="47" s="1"/>
  <c r="E55" i="47"/>
  <c r="K48" i="45"/>
  <c r="K50" i="45" s="1"/>
  <c r="K51" i="45" s="1"/>
  <c r="E39" i="47"/>
  <c r="S54" i="45"/>
  <c r="S61" i="45" s="1"/>
  <c r="J46" i="45"/>
  <c r="R48" i="45"/>
  <c r="R50" i="45" s="1"/>
  <c r="R51" i="45" s="1"/>
  <c r="R66" i="45" s="1"/>
  <c r="S44" i="47"/>
  <c r="S39" i="52"/>
  <c r="C46" i="47"/>
  <c r="C48" i="47" s="1"/>
  <c r="L38" i="52"/>
  <c r="L59" i="52"/>
  <c r="K61" i="52"/>
  <c r="K63" i="52" s="1"/>
  <c r="L55" i="52"/>
  <c r="J46" i="52"/>
  <c r="Z61" i="52"/>
  <c r="L57" i="52"/>
  <c r="L42" i="52"/>
  <c r="K32" i="52"/>
  <c r="E43" i="47"/>
  <c r="E30" i="47"/>
  <c r="C7" i="47" s="1"/>
  <c r="L46" i="47"/>
  <c r="L44" i="52"/>
  <c r="S30" i="52"/>
  <c r="Q7" i="52" s="1"/>
  <c r="D61" i="47"/>
  <c r="D63" i="47" s="1"/>
  <c r="D64" i="47" s="1"/>
  <c r="S43" i="52"/>
  <c r="S56" i="52"/>
  <c r="S55" i="52"/>
  <c r="S58" i="52"/>
  <c r="L45" i="52"/>
  <c r="R61" i="52"/>
  <c r="R63" i="52" s="1"/>
  <c r="R64" i="52" s="1"/>
  <c r="S40" i="52"/>
  <c r="L61" i="47"/>
  <c r="L37" i="52"/>
  <c r="S38" i="47"/>
  <c r="S56" i="47"/>
  <c r="E61" i="52"/>
  <c r="C61" i="47"/>
  <c r="C63" i="47" s="1"/>
  <c r="E42" i="47"/>
  <c r="E46" i="52"/>
  <c r="E41" i="47"/>
  <c r="E40" i="47"/>
  <c r="R46" i="52"/>
  <c r="R48" i="52" s="1"/>
  <c r="R50" i="52" s="1"/>
  <c r="R51" i="52" s="1"/>
  <c r="J32" i="52"/>
  <c r="BB29" i="52"/>
  <c r="AZ6" i="52" s="1"/>
  <c r="L42" i="51"/>
  <c r="L44" i="51"/>
  <c r="AF63" i="52"/>
  <c r="AF64" i="52" s="1"/>
  <c r="AF66" i="52" s="1"/>
  <c r="J32" i="45"/>
  <c r="L29" i="45"/>
  <c r="S57" i="52"/>
  <c r="BG32" i="51"/>
  <c r="AG61" i="51"/>
  <c r="Q61" i="52"/>
  <c r="Q63" i="52" s="1"/>
  <c r="Q64" i="52" s="1"/>
  <c r="Z55" i="51"/>
  <c r="L58" i="52"/>
  <c r="J61" i="51"/>
  <c r="L55" i="51"/>
  <c r="AN45" i="51"/>
  <c r="C6" i="47"/>
  <c r="L60" i="52"/>
  <c r="S30" i="47"/>
  <c r="Q7" i="47" s="1"/>
  <c r="Q32" i="45"/>
  <c r="Q48" i="45" s="1"/>
  <c r="X46" i="51"/>
  <c r="X48" i="51" s="1"/>
  <c r="AN37" i="51"/>
  <c r="Q46" i="52"/>
  <c r="Q48" i="52" s="1"/>
  <c r="Q50" i="52" s="1"/>
  <c r="BI57" i="51"/>
  <c r="L39" i="52"/>
  <c r="BP29" i="51"/>
  <c r="BN6" i="51" s="1"/>
  <c r="BN63" i="52"/>
  <c r="BP63" i="52" s="1"/>
  <c r="BP64" i="52" s="1"/>
  <c r="L43" i="51"/>
  <c r="BI56" i="51"/>
  <c r="L45" i="51"/>
  <c r="S41" i="47"/>
  <c r="J61" i="52"/>
  <c r="J63" i="52" s="1"/>
  <c r="AE63" i="52"/>
  <c r="AE64" i="52" s="1"/>
  <c r="AL32" i="51"/>
  <c r="AL48" i="51" s="1"/>
  <c r="AN30" i="51"/>
  <c r="K46" i="52"/>
  <c r="L41" i="51"/>
  <c r="K61" i="51"/>
  <c r="N52" i="24"/>
  <c r="G52" i="24"/>
  <c r="L52" i="24"/>
  <c r="H52" i="24"/>
  <c r="D52" i="24"/>
  <c r="K52" i="24"/>
  <c r="M52" i="24"/>
  <c r="I52" i="24"/>
  <c r="E52" i="24"/>
  <c r="J52" i="24"/>
  <c r="F52" i="24"/>
  <c r="BN48" i="52"/>
  <c r="Z29" i="51"/>
  <c r="X6" i="51" s="1"/>
  <c r="L54" i="45"/>
  <c r="L61" i="45" s="1"/>
  <c r="K61" i="45"/>
  <c r="AZ32" i="52"/>
  <c r="AZ48" i="52" s="1"/>
  <c r="BB48" i="52" s="1"/>
  <c r="Y46" i="51"/>
  <c r="Y48" i="51" s="1"/>
  <c r="Y50" i="51" s="1"/>
  <c r="Y51" i="51" s="1"/>
  <c r="L29" i="51"/>
  <c r="J6" i="51" s="1"/>
  <c r="BI40" i="51"/>
  <c r="BI46" i="51" s="1"/>
  <c r="L58" i="51"/>
  <c r="D63" i="45"/>
  <c r="D64" i="45" s="1"/>
  <c r="D66" i="45" s="1"/>
  <c r="D67" i="45" s="1"/>
  <c r="D68" i="45" s="1"/>
  <c r="S44" i="52"/>
  <c r="L37" i="51"/>
  <c r="J46" i="51"/>
  <c r="J48" i="51" s="1"/>
  <c r="J50" i="51" s="1"/>
  <c r="S42" i="47"/>
  <c r="BI61" i="52"/>
  <c r="BP46" i="51"/>
  <c r="AS32" i="52"/>
  <c r="L56" i="52"/>
  <c r="K46" i="51"/>
  <c r="K48" i="51" s="1"/>
  <c r="X32" i="52"/>
  <c r="X48" i="52" s="1"/>
  <c r="X50" i="52" s="1"/>
  <c r="X51" i="52" s="1"/>
  <c r="Z29" i="52"/>
  <c r="X6" i="52" s="1"/>
  <c r="AG61" i="52"/>
  <c r="BA50" i="51"/>
  <c r="BA51" i="51" s="1"/>
  <c r="AL50" i="52"/>
  <c r="AN50" i="52" s="1"/>
  <c r="AN48" i="52"/>
  <c r="J29" i="41"/>
  <c r="J32" i="41" s="1"/>
  <c r="H29" i="41"/>
  <c r="H32" i="41" s="1"/>
  <c r="I29" i="41"/>
  <c r="I32" i="41" s="1"/>
  <c r="AF50" i="51"/>
  <c r="AF51" i="51" s="1"/>
  <c r="AF66" i="51" s="1"/>
  <c r="C40" i="41"/>
  <c r="D50" i="52"/>
  <c r="D51" i="52" s="1"/>
  <c r="D66" i="52" s="1"/>
  <c r="BA63" i="52"/>
  <c r="BA64" i="52" s="1"/>
  <c r="S43" i="47"/>
  <c r="AT63" i="52"/>
  <c r="AT64" i="52" s="1"/>
  <c r="S29" i="47"/>
  <c r="Q32" i="47"/>
  <c r="BB46" i="51"/>
  <c r="E29" i="41"/>
  <c r="E70" i="41" s="1"/>
  <c r="AT50" i="51"/>
  <c r="AT51" i="51" s="1"/>
  <c r="AG46" i="51"/>
  <c r="BI46" i="52"/>
  <c r="Q63" i="45"/>
  <c r="S63" i="45" s="1"/>
  <c r="X57" i="47"/>
  <c r="X37" i="47"/>
  <c r="X71" i="47"/>
  <c r="X60" i="47"/>
  <c r="X45" i="47"/>
  <c r="X59" i="47"/>
  <c r="Y58" i="47"/>
  <c r="Y38" i="47"/>
  <c r="X55" i="47"/>
  <c r="Y44" i="47"/>
  <c r="X44" i="47"/>
  <c r="Y42" i="47"/>
  <c r="Y45" i="47"/>
  <c r="Y60" i="47"/>
  <c r="Y43" i="47"/>
  <c r="X3" i="47"/>
  <c r="X42" i="47"/>
  <c r="X38" i="47"/>
  <c r="Y57" i="47"/>
  <c r="X58" i="47"/>
  <c r="Y40" i="47"/>
  <c r="Y55" i="47"/>
  <c r="X40" i="47"/>
  <c r="X43" i="47"/>
  <c r="X56" i="47"/>
  <c r="Y30" i="47"/>
  <c r="Y37" i="47"/>
  <c r="X41" i="47"/>
  <c r="X30" i="47"/>
  <c r="Y39" i="47"/>
  <c r="Y59" i="47"/>
  <c r="Y56" i="47"/>
  <c r="X39" i="47"/>
  <c r="Y41" i="47"/>
  <c r="AG32" i="51"/>
  <c r="AE7" i="51"/>
  <c r="S60" i="47"/>
  <c r="S39" i="47"/>
  <c r="S58" i="47"/>
  <c r="BO64" i="52"/>
  <c r="BG7" i="52"/>
  <c r="BI32" i="52"/>
  <c r="C6" i="51"/>
  <c r="E32" i="51"/>
  <c r="Z46" i="52"/>
  <c r="AF37" i="45"/>
  <c r="AE43" i="45"/>
  <c r="AE55" i="45"/>
  <c r="AF41" i="45"/>
  <c r="AF55" i="45"/>
  <c r="AF38" i="45"/>
  <c r="AE56" i="45"/>
  <c r="AF43" i="45"/>
  <c r="AF39" i="45"/>
  <c r="AE41" i="45"/>
  <c r="AE37" i="45"/>
  <c r="AE3" i="45"/>
  <c r="AE60" i="45"/>
  <c r="AF56" i="45"/>
  <c r="AE44" i="45"/>
  <c r="AE30" i="45"/>
  <c r="AE58" i="45"/>
  <c r="AF44" i="45"/>
  <c r="AF40" i="45"/>
  <c r="AF60" i="45"/>
  <c r="AE42" i="45"/>
  <c r="AE38" i="45"/>
  <c r="AG38" i="45" s="1"/>
  <c r="AF45" i="45"/>
  <c r="AE59" i="45"/>
  <c r="AF57" i="45"/>
  <c r="AF58" i="45"/>
  <c r="AF42" i="45"/>
  <c r="AE57" i="45"/>
  <c r="AE40" i="45"/>
  <c r="AF30" i="45"/>
  <c r="AE71" i="45"/>
  <c r="AF59" i="45"/>
  <c r="AE39" i="45"/>
  <c r="AG39" i="45" s="1"/>
  <c r="AE45" i="45"/>
  <c r="C59" i="16"/>
  <c r="S46" i="45"/>
  <c r="BN7" i="51"/>
  <c r="BP32" i="51"/>
  <c r="AZ63" i="51"/>
  <c r="E32" i="52"/>
  <c r="C7" i="52"/>
  <c r="R32" i="47"/>
  <c r="AM50" i="51"/>
  <c r="AM51" i="51" s="1"/>
  <c r="C64" i="45"/>
  <c r="BH50" i="51"/>
  <c r="BH51" i="51" s="1"/>
  <c r="J64" i="45"/>
  <c r="X7" i="51"/>
  <c r="AZ48" i="51"/>
  <c r="BH63" i="52"/>
  <c r="BH64" i="52" s="1"/>
  <c r="BH66" i="52" s="1"/>
  <c r="D29" i="41"/>
  <c r="D70" i="41" s="1"/>
  <c r="C41" i="41"/>
  <c r="AZ63" i="52"/>
  <c r="AL6" i="52"/>
  <c r="AN32" i="52"/>
  <c r="BA63" i="51"/>
  <c r="BA64" i="51" s="1"/>
  <c r="AU32" i="51"/>
  <c r="AS7" i="51"/>
  <c r="AS7" i="52"/>
  <c r="AU32" i="52"/>
  <c r="X63" i="51"/>
  <c r="AT63" i="51"/>
  <c r="AT64" i="51" s="1"/>
  <c r="J63" i="47"/>
  <c r="L63" i="47" s="1"/>
  <c r="Y54" i="47"/>
  <c r="Y29" i="47"/>
  <c r="X54" i="47"/>
  <c r="X4" i="47"/>
  <c r="X29" i="47"/>
  <c r="E46" i="51"/>
  <c r="BA50" i="52"/>
  <c r="BA51" i="52" s="1"/>
  <c r="AU46" i="52"/>
  <c r="F29" i="41"/>
  <c r="F30" i="41" s="1"/>
  <c r="BH63" i="51"/>
  <c r="BH64" i="51" s="1"/>
  <c r="R63" i="51"/>
  <c r="R64" i="51" s="1"/>
  <c r="AE54" i="45"/>
  <c r="AF54" i="45"/>
  <c r="AF29" i="45"/>
  <c r="AE29" i="45"/>
  <c r="AE4" i="45"/>
  <c r="C48" i="52"/>
  <c r="Z54" i="45"/>
  <c r="Z61" i="45" s="1"/>
  <c r="X61" i="45"/>
  <c r="E9" i="25"/>
  <c r="F8" i="25"/>
  <c r="J6" i="47"/>
  <c r="G29" i="41"/>
  <c r="G32" i="41" s="1"/>
  <c r="AM63" i="51"/>
  <c r="AM64" i="51" s="1"/>
  <c r="C63" i="52"/>
  <c r="E63" i="52" s="1"/>
  <c r="AZ6" i="51"/>
  <c r="BB32" i="51"/>
  <c r="R50" i="51"/>
  <c r="R51" i="51" s="1"/>
  <c r="C29" i="41"/>
  <c r="AS63" i="52"/>
  <c r="F71" i="41"/>
  <c r="X7" i="52"/>
  <c r="AS50" i="51"/>
  <c r="AU48" i="51"/>
  <c r="AS48" i="52"/>
  <c r="Z46" i="45"/>
  <c r="AU46" i="51"/>
  <c r="BP61" i="51"/>
  <c r="AN61" i="52"/>
  <c r="AK14" i="47"/>
  <c r="AH14" i="47"/>
  <c r="AH17" i="47"/>
  <c r="BO50" i="52"/>
  <c r="BO51" i="52" s="1"/>
  <c r="Q46" i="47"/>
  <c r="S37" i="47"/>
  <c r="K29" i="41"/>
  <c r="K32" i="41" s="1"/>
  <c r="AL63" i="51"/>
  <c r="C39" i="41"/>
  <c r="D14" i="41"/>
  <c r="D40" i="41" s="1"/>
  <c r="C38" i="41"/>
  <c r="C75" i="41" s="1"/>
  <c r="C93" i="41" s="1"/>
  <c r="F94" i="41" s="1"/>
  <c r="Q63" i="51"/>
  <c r="Q64" i="51" s="1"/>
  <c r="AL63" i="52"/>
  <c r="AL64" i="52" s="1"/>
  <c r="Z29" i="45"/>
  <c r="X32" i="45"/>
  <c r="X48" i="45" s="1"/>
  <c r="Y63" i="45"/>
  <c r="Y64" i="45" s="1"/>
  <c r="S54" i="47"/>
  <c r="Q61" i="47"/>
  <c r="Q7" i="45"/>
  <c r="S32" i="45"/>
  <c r="BB61" i="52"/>
  <c r="BO50" i="51"/>
  <c r="BO51" i="51" s="1"/>
  <c r="D63" i="51"/>
  <c r="D64" i="51" s="1"/>
  <c r="C48" i="51"/>
  <c r="BO63" i="51"/>
  <c r="BO64" i="51" s="1"/>
  <c r="S57" i="47"/>
  <c r="S40" i="47"/>
  <c r="R46" i="47"/>
  <c r="S45" i="47"/>
  <c r="D71" i="41"/>
  <c r="C88" i="41" s="1"/>
  <c r="C63" i="51"/>
  <c r="C64" i="51" s="1"/>
  <c r="Q6" i="52"/>
  <c r="BG63" i="52"/>
  <c r="BG64" i="52" s="1"/>
  <c r="B39" i="25"/>
  <c r="AR14" i="45"/>
  <c r="AO14" i="45"/>
  <c r="AO17" i="45"/>
  <c r="BB46" i="52"/>
  <c r="L29" i="41"/>
  <c r="L32" i="41" s="1"/>
  <c r="X63" i="52"/>
  <c r="Z63" i="52" s="1"/>
  <c r="BB32" i="52"/>
  <c r="AZ7" i="52"/>
  <c r="S61" i="51"/>
  <c r="BI32" i="51"/>
  <c r="BG7" i="51"/>
  <c r="AE63" i="51"/>
  <c r="AG63" i="51" s="1"/>
  <c r="R61" i="47"/>
  <c r="S46" i="51"/>
  <c r="Y63" i="51"/>
  <c r="Y64" i="51" s="1"/>
  <c r="AE6" i="52"/>
  <c r="AG32" i="52"/>
  <c r="AU61" i="52"/>
  <c r="F26" i="41"/>
  <c r="Y48" i="52"/>
  <c r="E26" i="41"/>
  <c r="AS63" i="51"/>
  <c r="AS64" i="51" s="1"/>
  <c r="BN63" i="51"/>
  <c r="BG63" i="51"/>
  <c r="BG64" i="51" s="1"/>
  <c r="AM63" i="52"/>
  <c r="AM64" i="52" s="1"/>
  <c r="AM66" i="52" s="1"/>
  <c r="BN6" i="52"/>
  <c r="BP32" i="52"/>
  <c r="C50" i="45" l="1"/>
  <c r="C51" i="45" s="1"/>
  <c r="C66" i="45" s="1"/>
  <c r="C67" i="45" s="1"/>
  <c r="E67" i="45" s="1"/>
  <c r="C7" i="45"/>
  <c r="E32" i="45"/>
  <c r="E64" i="52"/>
  <c r="AG50" i="52"/>
  <c r="J7" i="52"/>
  <c r="L32" i="51"/>
  <c r="AE64" i="51"/>
  <c r="AE66" i="51" s="1"/>
  <c r="AG44" i="45"/>
  <c r="AG56" i="45"/>
  <c r="BG48" i="51"/>
  <c r="BI48" i="51" s="1"/>
  <c r="AN63" i="51"/>
  <c r="AN64" i="51" s="1"/>
  <c r="Z64" i="52"/>
  <c r="X73" i="52" s="1"/>
  <c r="E61" i="47"/>
  <c r="BN64" i="52"/>
  <c r="BI61" i="51"/>
  <c r="S64" i="45"/>
  <c r="Q73" i="45" s="1"/>
  <c r="BI63" i="52"/>
  <c r="BI64" i="52" s="1"/>
  <c r="BG8" i="52" s="1"/>
  <c r="AU63" i="52"/>
  <c r="AU64" i="52" s="1"/>
  <c r="BO66" i="52"/>
  <c r="BO67" i="52" s="1"/>
  <c r="BO68" i="52" s="1"/>
  <c r="Q64" i="45"/>
  <c r="AG42" i="45"/>
  <c r="AG48" i="51"/>
  <c r="AG48" i="52"/>
  <c r="AU50" i="51"/>
  <c r="AG40" i="45"/>
  <c r="S48" i="51"/>
  <c r="AZ50" i="52"/>
  <c r="AZ51" i="52" s="1"/>
  <c r="BN50" i="51"/>
  <c r="BP50" i="51" s="1"/>
  <c r="BP51" i="51" s="1"/>
  <c r="AN46" i="51"/>
  <c r="AL51" i="52"/>
  <c r="AL66" i="52" s="1"/>
  <c r="J48" i="52"/>
  <c r="J50" i="52" s="1"/>
  <c r="BG50" i="52"/>
  <c r="BI50" i="52" s="1"/>
  <c r="BI51" i="52" s="1"/>
  <c r="AN51" i="52"/>
  <c r="AL74" i="52" s="1"/>
  <c r="J48" i="45"/>
  <c r="L48" i="45" s="1"/>
  <c r="K48" i="52"/>
  <c r="S61" i="52"/>
  <c r="S32" i="52"/>
  <c r="S46" i="52"/>
  <c r="K64" i="52"/>
  <c r="AG30" i="45"/>
  <c r="AE7" i="45" s="1"/>
  <c r="AG60" i="45"/>
  <c r="L48" i="47"/>
  <c r="C50" i="47"/>
  <c r="E50" i="47" s="1"/>
  <c r="E48" i="47"/>
  <c r="E32" i="47"/>
  <c r="D30" i="41"/>
  <c r="D32" i="41" s="1"/>
  <c r="L63" i="52"/>
  <c r="L61" i="52"/>
  <c r="L64" i="47"/>
  <c r="J8" i="47" s="1"/>
  <c r="S50" i="52"/>
  <c r="L46" i="52"/>
  <c r="E46" i="47"/>
  <c r="E63" i="47"/>
  <c r="E64" i="47" s="1"/>
  <c r="C73" i="47" s="1"/>
  <c r="D66" i="47"/>
  <c r="D67" i="47" s="1"/>
  <c r="Z58" i="47"/>
  <c r="Z57" i="47"/>
  <c r="Z43" i="47"/>
  <c r="L50" i="47"/>
  <c r="L51" i="47" s="1"/>
  <c r="E30" i="41"/>
  <c r="E32" i="41" s="1"/>
  <c r="K50" i="51"/>
  <c r="K51" i="51" s="1"/>
  <c r="AL50" i="51"/>
  <c r="AL51" i="51" s="1"/>
  <c r="AN48" i="51"/>
  <c r="BN8" i="52"/>
  <c r="BN73" i="52"/>
  <c r="AF67" i="52"/>
  <c r="AF68" i="52" s="1"/>
  <c r="S48" i="52"/>
  <c r="L61" i="51"/>
  <c r="Z48" i="52"/>
  <c r="L48" i="51"/>
  <c r="BB63" i="52"/>
  <c r="BB64" i="52" s="1"/>
  <c r="J63" i="51"/>
  <c r="J64" i="51" s="1"/>
  <c r="J51" i="51"/>
  <c r="Z32" i="52"/>
  <c r="C64" i="52"/>
  <c r="BA66" i="52"/>
  <c r="BA67" i="52" s="1"/>
  <c r="BA68" i="52" s="1"/>
  <c r="Y61" i="47"/>
  <c r="Y63" i="47" s="1"/>
  <c r="Z59" i="47"/>
  <c r="AN32" i="51"/>
  <c r="AL7" i="51"/>
  <c r="E63" i="45"/>
  <c r="E64" i="45" s="1"/>
  <c r="BP63" i="51"/>
  <c r="BP64" i="51" s="1"/>
  <c r="AF32" i="45"/>
  <c r="Z32" i="51"/>
  <c r="AG58" i="45"/>
  <c r="BP48" i="52"/>
  <c r="BN50" i="52"/>
  <c r="BN51" i="52" s="1"/>
  <c r="BN66" i="52" s="1"/>
  <c r="K63" i="45"/>
  <c r="L63" i="45" s="1"/>
  <c r="L64" i="45" s="1"/>
  <c r="K63" i="51"/>
  <c r="K64" i="51" s="1"/>
  <c r="E50" i="45"/>
  <c r="E51" i="45" s="1"/>
  <c r="AF61" i="45"/>
  <c r="AF63" i="45" s="1"/>
  <c r="AF64" i="45" s="1"/>
  <c r="L46" i="51"/>
  <c r="C64" i="47"/>
  <c r="AG63" i="52"/>
  <c r="AG64" i="52" s="1"/>
  <c r="J6" i="45"/>
  <c r="L32" i="45"/>
  <c r="AG64" i="51"/>
  <c r="AE8" i="51" s="1"/>
  <c r="R66" i="51"/>
  <c r="R67" i="51" s="1"/>
  <c r="F70" i="41"/>
  <c r="F72" i="41" s="1"/>
  <c r="Z38" i="47"/>
  <c r="C72" i="41"/>
  <c r="BH67" i="52"/>
  <c r="BH68" i="52" s="1"/>
  <c r="AF67" i="51"/>
  <c r="AF68" i="51" s="1"/>
  <c r="X8" i="52"/>
  <c r="AM67" i="52"/>
  <c r="AM68" i="52" s="1"/>
  <c r="BO66" i="51"/>
  <c r="R67" i="45"/>
  <c r="R68" i="45" s="1"/>
  <c r="S61" i="47"/>
  <c r="AE54" i="47"/>
  <c r="AE4" i="47"/>
  <c r="AF54" i="47"/>
  <c r="AF29" i="47"/>
  <c r="AE29" i="47"/>
  <c r="X32" i="47"/>
  <c r="Z29" i="47"/>
  <c r="BB63" i="51"/>
  <c r="BB64" i="51" s="1"/>
  <c r="D66" i="51"/>
  <c r="Z37" i="47"/>
  <c r="X46" i="47"/>
  <c r="AT66" i="51"/>
  <c r="E72" i="41"/>
  <c r="Q48" i="47"/>
  <c r="Y66" i="51"/>
  <c r="BN64" i="51"/>
  <c r="AL3" i="45"/>
  <c r="AM59" i="45"/>
  <c r="AL39" i="45"/>
  <c r="AM57" i="45"/>
  <c r="AM60" i="45"/>
  <c r="AL58" i="45"/>
  <c r="AM44" i="45"/>
  <c r="AL59" i="45"/>
  <c r="AL42" i="45"/>
  <c r="AL38" i="45"/>
  <c r="AL71" i="45"/>
  <c r="AL41" i="45"/>
  <c r="AL44" i="45"/>
  <c r="AM30" i="45"/>
  <c r="AL30" i="45"/>
  <c r="AM37" i="45"/>
  <c r="AM55" i="45"/>
  <c r="AM40" i="45"/>
  <c r="AL37" i="45"/>
  <c r="AM56" i="45"/>
  <c r="AL60" i="45"/>
  <c r="AN60" i="45" s="1"/>
  <c r="AM43" i="45"/>
  <c r="AL45" i="45"/>
  <c r="AM41" i="45"/>
  <c r="AM58" i="45"/>
  <c r="AM39" i="45"/>
  <c r="AL55" i="45"/>
  <c r="AL40" i="45"/>
  <c r="AM38" i="45"/>
  <c r="AL56" i="45"/>
  <c r="AL57" i="45"/>
  <c r="AL43" i="45"/>
  <c r="AM42" i="45"/>
  <c r="AM45" i="45"/>
  <c r="E63" i="51"/>
  <c r="E64" i="51" s="1"/>
  <c r="Q51" i="52"/>
  <c r="Q66" i="52" s="1"/>
  <c r="X6" i="45"/>
  <c r="Z32" i="45"/>
  <c r="S63" i="51"/>
  <c r="S64" i="51" s="1"/>
  <c r="J64" i="52"/>
  <c r="AO14" i="47"/>
  <c r="AR14" i="47"/>
  <c r="AO17" i="47"/>
  <c r="AS50" i="52"/>
  <c r="AU50" i="52" s="1"/>
  <c r="AU48" i="52"/>
  <c r="AS64" i="52"/>
  <c r="G8" i="25"/>
  <c r="F9" i="25"/>
  <c r="AG54" i="45"/>
  <c r="AE61" i="45"/>
  <c r="J64" i="47"/>
  <c r="S63" i="52"/>
  <c r="D41" i="41"/>
  <c r="AZ50" i="51"/>
  <c r="BB50" i="51" s="1"/>
  <c r="BB48" i="51"/>
  <c r="C30" i="41"/>
  <c r="R48" i="47"/>
  <c r="AG57" i="45"/>
  <c r="AG59" i="45"/>
  <c r="Z39" i="47"/>
  <c r="Z30" i="47"/>
  <c r="X7" i="47" s="1"/>
  <c r="Z56" i="47"/>
  <c r="Z42" i="47"/>
  <c r="Z55" i="47"/>
  <c r="Z45" i="47"/>
  <c r="Q6" i="47"/>
  <c r="S32" i="47"/>
  <c r="BA66" i="51"/>
  <c r="Z48" i="45"/>
  <c r="X50" i="45"/>
  <c r="Z50" i="45" s="1"/>
  <c r="Z48" i="51"/>
  <c r="X50" i="51"/>
  <c r="Z50" i="51" s="1"/>
  <c r="AM66" i="51"/>
  <c r="Q66" i="51"/>
  <c r="F32" i="41"/>
  <c r="R63" i="47"/>
  <c r="R64" i="47" s="1"/>
  <c r="R66" i="52"/>
  <c r="AU51" i="51"/>
  <c r="E48" i="52"/>
  <c r="C50" i="52"/>
  <c r="E50" i="52" s="1"/>
  <c r="AG29" i="45"/>
  <c r="AE32" i="45"/>
  <c r="AT66" i="52"/>
  <c r="K67" i="47"/>
  <c r="K68" i="47" s="1"/>
  <c r="Z54" i="47"/>
  <c r="X61" i="47"/>
  <c r="Z63" i="51"/>
  <c r="Z64" i="51" s="1"/>
  <c r="D72" i="41"/>
  <c r="C73" i="52"/>
  <c r="C8" i="52"/>
  <c r="Y66" i="45"/>
  <c r="J59" i="16"/>
  <c r="C57" i="41"/>
  <c r="C61" i="41" s="1"/>
  <c r="AE46" i="45"/>
  <c r="AG37" i="45"/>
  <c r="AG55" i="45"/>
  <c r="Z41" i="47"/>
  <c r="Z60" i="47"/>
  <c r="AE51" i="52"/>
  <c r="AE66" i="52" s="1"/>
  <c r="D67" i="52"/>
  <c r="D68" i="52" s="1"/>
  <c r="Y50" i="52"/>
  <c r="Y51" i="52" s="1"/>
  <c r="Y66" i="52" s="1"/>
  <c r="D39" i="41"/>
  <c r="D38" i="41"/>
  <c r="E14" i="41"/>
  <c r="BH66" i="51"/>
  <c r="AF46" i="45"/>
  <c r="AL29" i="45"/>
  <c r="AL4" i="45"/>
  <c r="AM29" i="45"/>
  <c r="AL54" i="45"/>
  <c r="AM54" i="45"/>
  <c r="BI63" i="51"/>
  <c r="AU63" i="51"/>
  <c r="AU64" i="51" s="1"/>
  <c r="Q50" i="45"/>
  <c r="S50" i="45" s="1"/>
  <c r="S48" i="45"/>
  <c r="X64" i="52"/>
  <c r="X66" i="52" s="1"/>
  <c r="AY14" i="45"/>
  <c r="AV14" i="45"/>
  <c r="AV17" i="45"/>
  <c r="C50" i="51"/>
  <c r="E50" i="51" s="1"/>
  <c r="E48" i="51"/>
  <c r="AG50" i="51"/>
  <c r="AG51" i="51" s="1"/>
  <c r="Q63" i="47"/>
  <c r="AN63" i="52"/>
  <c r="AN64" i="52" s="1"/>
  <c r="AL64" i="51"/>
  <c r="S46" i="47"/>
  <c r="AE59" i="47"/>
  <c r="AE43" i="47"/>
  <c r="AF38" i="47"/>
  <c r="AF57" i="47"/>
  <c r="AE55" i="47"/>
  <c r="AE37" i="47"/>
  <c r="AF59" i="47"/>
  <c r="AF39" i="47"/>
  <c r="AF60" i="47"/>
  <c r="AE39" i="47"/>
  <c r="AF55" i="47"/>
  <c r="AE30" i="47"/>
  <c r="AF41" i="47"/>
  <c r="AE38" i="47"/>
  <c r="AF40" i="47"/>
  <c r="AE45" i="47"/>
  <c r="AG45" i="47" s="1"/>
  <c r="AE40" i="47"/>
  <c r="AE56" i="47"/>
  <c r="AF44" i="47"/>
  <c r="AF43" i="47"/>
  <c r="AE71" i="47"/>
  <c r="AF45" i="47"/>
  <c r="AE41" i="47"/>
  <c r="AF58" i="47"/>
  <c r="AF30" i="47"/>
  <c r="AE57" i="47"/>
  <c r="AF37" i="47"/>
  <c r="AE58" i="47"/>
  <c r="AE60" i="47"/>
  <c r="AE44" i="47"/>
  <c r="AG44" i="47" s="1"/>
  <c r="AE42" i="47"/>
  <c r="AF56" i="47"/>
  <c r="AF42" i="47"/>
  <c r="AE3" i="47"/>
  <c r="AS51" i="51"/>
  <c r="AS66" i="51" s="1"/>
  <c r="X63" i="45"/>
  <c r="Z63" i="45" s="1"/>
  <c r="Z64" i="45" s="1"/>
  <c r="BG50" i="51"/>
  <c r="BI50" i="51" s="1"/>
  <c r="Y32" i="47"/>
  <c r="X64" i="51"/>
  <c r="AZ64" i="52"/>
  <c r="J51" i="47"/>
  <c r="AZ64" i="51"/>
  <c r="AG45" i="45"/>
  <c r="AG41" i="45"/>
  <c r="AG43" i="45"/>
  <c r="S50" i="51"/>
  <c r="Y46" i="47"/>
  <c r="Z40" i="47"/>
  <c r="Z44" i="47"/>
  <c r="AG51" i="52"/>
  <c r="AG55" i="47" l="1"/>
  <c r="BI64" i="51"/>
  <c r="BG73" i="52"/>
  <c r="BI66" i="52"/>
  <c r="X64" i="45"/>
  <c r="Q8" i="45"/>
  <c r="AL66" i="51"/>
  <c r="AL67" i="51" s="1"/>
  <c r="AL68" i="51" s="1"/>
  <c r="L63" i="51"/>
  <c r="AZ73" i="52"/>
  <c r="AZ8" i="52"/>
  <c r="K66" i="51"/>
  <c r="K67" i="51" s="1"/>
  <c r="K68" i="51" s="1"/>
  <c r="AE73" i="51"/>
  <c r="J66" i="51"/>
  <c r="J67" i="51" s="1"/>
  <c r="E66" i="45"/>
  <c r="E68" i="45" s="1"/>
  <c r="C70" i="45" s="1"/>
  <c r="C72" i="45" s="1"/>
  <c r="S51" i="51"/>
  <c r="S66" i="51" s="1"/>
  <c r="AN40" i="45"/>
  <c r="AG46" i="45"/>
  <c r="BG51" i="52"/>
  <c r="BG66" i="52" s="1"/>
  <c r="BG67" i="52" s="1"/>
  <c r="BI67" i="52" s="1"/>
  <c r="BG9" i="52" s="1"/>
  <c r="BG10" i="52" s="1"/>
  <c r="J12" i="48" s="1"/>
  <c r="BB50" i="52"/>
  <c r="BB51" i="52" s="1"/>
  <c r="J50" i="45"/>
  <c r="L50" i="45" s="1"/>
  <c r="L51" i="45" s="1"/>
  <c r="J74" i="45" s="1"/>
  <c r="AG38" i="47"/>
  <c r="L48" i="52"/>
  <c r="BP50" i="52"/>
  <c r="BP51" i="52" s="1"/>
  <c r="BN74" i="52" s="1"/>
  <c r="BN51" i="51"/>
  <c r="BN66" i="51" s="1"/>
  <c r="BN67" i="51" s="1"/>
  <c r="L50" i="51"/>
  <c r="L51" i="51" s="1"/>
  <c r="J74" i="51" s="1"/>
  <c r="BG74" i="52"/>
  <c r="AF48" i="45"/>
  <c r="AF50" i="45" s="1"/>
  <c r="AF51" i="45" s="1"/>
  <c r="AF66" i="45" s="1"/>
  <c r="BB51" i="51"/>
  <c r="BB66" i="51" s="1"/>
  <c r="K50" i="52"/>
  <c r="K51" i="52" s="1"/>
  <c r="K66" i="52" s="1"/>
  <c r="K67" i="52" s="1"/>
  <c r="K68" i="52" s="1"/>
  <c r="C74" i="45"/>
  <c r="C9" i="45"/>
  <c r="BN67" i="52"/>
  <c r="BP67" i="52" s="1"/>
  <c r="AN50" i="51"/>
  <c r="AN51" i="51" s="1"/>
  <c r="AN66" i="51" s="1"/>
  <c r="S64" i="52"/>
  <c r="Q73" i="52" s="1"/>
  <c r="S51" i="52"/>
  <c r="Q74" i="52" s="1"/>
  <c r="L64" i="52"/>
  <c r="J73" i="52" s="1"/>
  <c r="C51" i="47"/>
  <c r="C66" i="47" s="1"/>
  <c r="C67" i="47" s="1"/>
  <c r="C68" i="47" s="1"/>
  <c r="E51" i="47"/>
  <c r="C74" i="47" s="1"/>
  <c r="AG40" i="47"/>
  <c r="AG59" i="47"/>
  <c r="C68" i="45"/>
  <c r="X51" i="45"/>
  <c r="X66" i="45" s="1"/>
  <c r="Q51" i="45"/>
  <c r="Q66" i="45" s="1"/>
  <c r="Q67" i="45" s="1"/>
  <c r="S67" i="45" s="1"/>
  <c r="Q9" i="45" s="1"/>
  <c r="Q10" i="45" s="1"/>
  <c r="D20" i="48" s="1"/>
  <c r="D68" i="47"/>
  <c r="S51" i="45"/>
  <c r="S66" i="45" s="1"/>
  <c r="Z51" i="45"/>
  <c r="X74" i="45" s="1"/>
  <c r="AN58" i="45"/>
  <c r="J73" i="47"/>
  <c r="C8" i="47"/>
  <c r="J66" i="47"/>
  <c r="J67" i="47" s="1"/>
  <c r="L67" i="47" s="1"/>
  <c r="J9" i="47" s="1"/>
  <c r="J10" i="47" s="1"/>
  <c r="C25" i="48" s="1"/>
  <c r="C51" i="52"/>
  <c r="C66" i="52" s="1"/>
  <c r="C67" i="52" s="1"/>
  <c r="E67" i="52" s="1"/>
  <c r="C9" i="52" s="1"/>
  <c r="C10" i="52" s="1"/>
  <c r="Y64" i="47"/>
  <c r="AE73" i="52"/>
  <c r="AE8" i="52"/>
  <c r="J8" i="45"/>
  <c r="J73" i="45"/>
  <c r="C51" i="51"/>
  <c r="C66" i="51" s="1"/>
  <c r="C67" i="51" s="1"/>
  <c r="K64" i="45"/>
  <c r="K66" i="45" s="1"/>
  <c r="K67" i="45" s="1"/>
  <c r="K68" i="45" s="1"/>
  <c r="Z50" i="52"/>
  <c r="Z51" i="52" s="1"/>
  <c r="Z66" i="52" s="1"/>
  <c r="AG61" i="45"/>
  <c r="R68" i="51"/>
  <c r="C87" i="41"/>
  <c r="C89" i="41" s="1"/>
  <c r="L64" i="51"/>
  <c r="AE48" i="45"/>
  <c r="AG60" i="47"/>
  <c r="AM32" i="45"/>
  <c r="AG58" i="47"/>
  <c r="AG30" i="47"/>
  <c r="AE7" i="47" s="1"/>
  <c r="S63" i="47"/>
  <c r="S64" i="47" s="1"/>
  <c r="AN38" i="45"/>
  <c r="AF32" i="47"/>
  <c r="AN44" i="45"/>
  <c r="X48" i="47"/>
  <c r="C8" i="45"/>
  <c r="C10" i="45" s="1"/>
  <c r="E51" i="51"/>
  <c r="C74" i="51" s="1"/>
  <c r="D75" i="41"/>
  <c r="D93" i="41" s="1"/>
  <c r="E51" i="52"/>
  <c r="C74" i="52" s="1"/>
  <c r="M71" i="41"/>
  <c r="AN43" i="45"/>
  <c r="AN59" i="45"/>
  <c r="Y67" i="52"/>
  <c r="Y68" i="52" s="1"/>
  <c r="Q8" i="51"/>
  <c r="Q73" i="51"/>
  <c r="X67" i="52"/>
  <c r="AL8" i="52"/>
  <c r="AL73" i="52"/>
  <c r="AN66" i="52"/>
  <c r="X73" i="45"/>
  <c r="X8" i="45"/>
  <c r="X73" i="51"/>
  <c r="X8" i="51"/>
  <c r="BN8" i="51"/>
  <c r="BN73" i="51"/>
  <c r="AE6" i="45"/>
  <c r="AG32" i="45"/>
  <c r="G9" i="25"/>
  <c r="H8" i="25"/>
  <c r="AM46" i="45"/>
  <c r="AN41" i="45"/>
  <c r="AT67" i="51"/>
  <c r="AT68" i="51" s="1"/>
  <c r="AZ8" i="51"/>
  <c r="AZ73" i="51"/>
  <c r="Y48" i="47"/>
  <c r="BI51" i="51"/>
  <c r="AS67" i="51"/>
  <c r="AG42" i="47"/>
  <c r="AF46" i="47"/>
  <c r="AG41" i="47"/>
  <c r="Q64" i="47"/>
  <c r="AT43" i="45"/>
  <c r="AT58" i="45"/>
  <c r="AS30" i="45"/>
  <c r="AS60" i="45"/>
  <c r="AS43" i="45"/>
  <c r="AS44" i="45"/>
  <c r="AT40" i="45"/>
  <c r="AT60" i="45"/>
  <c r="AS41" i="45"/>
  <c r="AT38" i="45"/>
  <c r="AT41" i="45"/>
  <c r="AT45" i="45"/>
  <c r="AS45" i="45"/>
  <c r="AU45" i="45" s="1"/>
  <c r="AS57" i="45"/>
  <c r="AS37" i="45"/>
  <c r="AS58" i="45"/>
  <c r="AS40" i="45"/>
  <c r="AS39" i="45"/>
  <c r="AS59" i="45"/>
  <c r="AT30" i="45"/>
  <c r="AT57" i="45"/>
  <c r="AT56" i="45"/>
  <c r="AT42" i="45"/>
  <c r="AS55" i="45"/>
  <c r="AS42" i="45"/>
  <c r="AT44" i="45"/>
  <c r="AT59" i="45"/>
  <c r="AT39" i="45"/>
  <c r="AS3" i="45"/>
  <c r="AS71" i="45"/>
  <c r="AS56" i="45"/>
  <c r="AS38" i="45"/>
  <c r="AT37" i="45"/>
  <c r="AT55" i="45"/>
  <c r="AE67" i="51"/>
  <c r="AG67" i="51" s="1"/>
  <c r="AE9" i="51" s="1"/>
  <c r="AE10" i="51" s="1"/>
  <c r="F7" i="48" s="1"/>
  <c r="E38" i="41"/>
  <c r="F14" i="41"/>
  <c r="E39" i="41"/>
  <c r="E41" i="41"/>
  <c r="E40" i="41"/>
  <c r="Y67" i="45"/>
  <c r="Y68" i="45" s="1"/>
  <c r="AS74" i="51"/>
  <c r="AU66" i="51"/>
  <c r="R67" i="52"/>
  <c r="R68" i="52" s="1"/>
  <c r="Z51" i="51"/>
  <c r="R50" i="47"/>
  <c r="R51" i="47" s="1"/>
  <c r="R66" i="47" s="1"/>
  <c r="AZ51" i="51"/>
  <c r="AZ66" i="51" s="1"/>
  <c r="AL45" i="47"/>
  <c r="AM59" i="47"/>
  <c r="AL3" i="47"/>
  <c r="AL55" i="47"/>
  <c r="AL59" i="47"/>
  <c r="AN59" i="47" s="1"/>
  <c r="AL38" i="47"/>
  <c r="AL71" i="47"/>
  <c r="AL41" i="47"/>
  <c r="AL56" i="47"/>
  <c r="AL42" i="47"/>
  <c r="AL60" i="47"/>
  <c r="AM37" i="47"/>
  <c r="AM30" i="47"/>
  <c r="AL39" i="47"/>
  <c r="AM38" i="47"/>
  <c r="AM41" i="47"/>
  <c r="AM42" i="47"/>
  <c r="AL44" i="47"/>
  <c r="AM40" i="47"/>
  <c r="AL30" i="47"/>
  <c r="AM39" i="47"/>
  <c r="AL57" i="47"/>
  <c r="AM45" i="47"/>
  <c r="AM43" i="47"/>
  <c r="AL40" i="47"/>
  <c r="AL37" i="47"/>
  <c r="AM56" i="47"/>
  <c r="AL58" i="47"/>
  <c r="AM60" i="47"/>
  <c r="AL43" i="47"/>
  <c r="AM58" i="47"/>
  <c r="AM55" i="47"/>
  <c r="AM44" i="47"/>
  <c r="AM57" i="47"/>
  <c r="AN57" i="45"/>
  <c r="AN55" i="45"/>
  <c r="AN45" i="45"/>
  <c r="AL46" i="45"/>
  <c r="AN37" i="45"/>
  <c r="AN30" i="45"/>
  <c r="AL7" i="45" s="1"/>
  <c r="AN39" i="45"/>
  <c r="Q50" i="47"/>
  <c r="S48" i="47"/>
  <c r="AF61" i="47"/>
  <c r="BO67" i="51"/>
  <c r="BO68" i="51" s="1"/>
  <c r="BG73" i="51"/>
  <c r="BG8" i="51"/>
  <c r="B38" i="25"/>
  <c r="B40" i="25" s="1"/>
  <c r="L66" i="47"/>
  <c r="J74" i="47"/>
  <c r="X63" i="47"/>
  <c r="Z63" i="47" s="1"/>
  <c r="Q67" i="51"/>
  <c r="S67" i="51" s="1"/>
  <c r="Q9" i="51" s="1"/>
  <c r="BB66" i="52"/>
  <c r="AZ74" i="52"/>
  <c r="AS51" i="52"/>
  <c r="AS66" i="52" s="1"/>
  <c r="AY14" i="47"/>
  <c r="AV14" i="47"/>
  <c r="AV17" i="47"/>
  <c r="Q67" i="52"/>
  <c r="Q68" i="52" s="1"/>
  <c r="AN56" i="45"/>
  <c r="AL67" i="52"/>
  <c r="AN67" i="52" s="1"/>
  <c r="AL9" i="52" s="1"/>
  <c r="Z46" i="47"/>
  <c r="X6" i="47"/>
  <c r="Z32" i="47"/>
  <c r="AE74" i="51"/>
  <c r="AG66" i="51"/>
  <c r="AT67" i="52"/>
  <c r="AT68" i="52" s="1"/>
  <c r="AZ66" i="52"/>
  <c r="AG57" i="47"/>
  <c r="AG56" i="47"/>
  <c r="AG39" i="47"/>
  <c r="AG37" i="47"/>
  <c r="AE46" i="47"/>
  <c r="AG43" i="47"/>
  <c r="AT29" i="45"/>
  <c r="AS4" i="45"/>
  <c r="AS29" i="45"/>
  <c r="AT54" i="45"/>
  <c r="AS54" i="45"/>
  <c r="AS73" i="52"/>
  <c r="AS8" i="52"/>
  <c r="AM61" i="45"/>
  <c r="AN29" i="45"/>
  <c r="AL32" i="45"/>
  <c r="AE74" i="52"/>
  <c r="AG66" i="52"/>
  <c r="BG51" i="51"/>
  <c r="BG66" i="51" s="1"/>
  <c r="AL8" i="51"/>
  <c r="AL73" i="51"/>
  <c r="BF14" i="45"/>
  <c r="BC14" i="45"/>
  <c r="BC17" i="45"/>
  <c r="AS73" i="51"/>
  <c r="AS8" i="51"/>
  <c r="J68" i="51"/>
  <c r="AN54" i="45"/>
  <c r="AL61" i="45"/>
  <c r="BH67" i="51"/>
  <c r="BH68" i="51" s="1"/>
  <c r="AE67" i="52"/>
  <c r="AG67" i="52" s="1"/>
  <c r="AE9" i="52" s="1"/>
  <c r="AE10" i="52" s="1"/>
  <c r="F12" i="48" s="1"/>
  <c r="K59" i="16"/>
  <c r="K60" i="16" s="1"/>
  <c r="J60" i="16"/>
  <c r="Z61" i="47"/>
  <c r="AM67" i="51"/>
  <c r="AM68" i="51" s="1"/>
  <c r="X51" i="51"/>
  <c r="X66" i="51" s="1"/>
  <c r="BA67" i="51"/>
  <c r="BA68" i="51" s="1"/>
  <c r="BN74" i="51"/>
  <c r="BP66" i="51"/>
  <c r="J51" i="52"/>
  <c r="J66" i="52" s="1"/>
  <c r="AE63" i="45"/>
  <c r="AG63" i="45" s="1"/>
  <c r="AU51" i="52"/>
  <c r="AL4" i="47"/>
  <c r="AL54" i="47"/>
  <c r="AM54" i="47"/>
  <c r="AL29" i="47"/>
  <c r="AM29" i="47"/>
  <c r="C73" i="51"/>
  <c r="C8" i="51"/>
  <c r="AN42" i="45"/>
  <c r="Y67" i="51"/>
  <c r="Y68" i="51" s="1"/>
  <c r="D67" i="51"/>
  <c r="D68" i="51" s="1"/>
  <c r="AE32" i="47"/>
  <c r="AG29" i="47"/>
  <c r="AG54" i="47"/>
  <c r="AE61" i="47"/>
  <c r="Q74" i="51" l="1"/>
  <c r="AU42" i="45"/>
  <c r="E75" i="41"/>
  <c r="E93" i="41" s="1"/>
  <c r="AM48" i="45"/>
  <c r="J8" i="52"/>
  <c r="AG64" i="45"/>
  <c r="L67" i="51"/>
  <c r="J9" i="51" s="1"/>
  <c r="E66" i="51"/>
  <c r="BP66" i="52"/>
  <c r="BP68" i="52" s="1"/>
  <c r="BN70" i="52" s="1"/>
  <c r="BN72" i="52" s="1"/>
  <c r="J51" i="45"/>
  <c r="J66" i="45" s="1"/>
  <c r="J67" i="45" s="1"/>
  <c r="L67" i="45" s="1"/>
  <c r="AU40" i="45"/>
  <c r="AL74" i="51"/>
  <c r="Q74" i="45"/>
  <c r="BI68" i="52"/>
  <c r="BG70" i="52" s="1"/>
  <c r="BG72" i="52" s="1"/>
  <c r="BN9" i="52"/>
  <c r="BN10" i="52" s="1"/>
  <c r="K12" i="48" s="1"/>
  <c r="B20" i="48"/>
  <c r="AZ74" i="51"/>
  <c r="BG68" i="52"/>
  <c r="L66" i="45"/>
  <c r="AE68" i="51"/>
  <c r="L50" i="52"/>
  <c r="L51" i="52" s="1"/>
  <c r="J74" i="52" s="1"/>
  <c r="Z66" i="45"/>
  <c r="E67" i="51"/>
  <c r="C9" i="51" s="1"/>
  <c r="C10" i="51" s="1"/>
  <c r="B7" i="48" s="1"/>
  <c r="AL68" i="52"/>
  <c r="BN68" i="52"/>
  <c r="S68" i="45"/>
  <c r="Q70" i="45" s="1"/>
  <c r="Q72" i="45" s="1"/>
  <c r="Q8" i="52"/>
  <c r="S66" i="52"/>
  <c r="E66" i="47"/>
  <c r="AU43" i="45"/>
  <c r="Q68" i="45"/>
  <c r="AE48" i="47"/>
  <c r="AE50" i="47" s="1"/>
  <c r="Z48" i="47"/>
  <c r="E66" i="52"/>
  <c r="E68" i="52" s="1"/>
  <c r="C70" i="52" s="1"/>
  <c r="C72" i="52" s="1"/>
  <c r="S50" i="47"/>
  <c r="S51" i="47" s="1"/>
  <c r="X74" i="52"/>
  <c r="E67" i="47"/>
  <c r="C9" i="47" s="1"/>
  <c r="C10" i="47" s="1"/>
  <c r="N2" i="48" s="1"/>
  <c r="C68" i="52"/>
  <c r="X50" i="47"/>
  <c r="X51" i="47" s="1"/>
  <c r="L68" i="47"/>
  <c r="J70" i="47" s="1"/>
  <c r="J72" i="47" s="1"/>
  <c r="Z64" i="47"/>
  <c r="X8" i="47" s="1"/>
  <c r="X64" i="47"/>
  <c r="J68" i="47"/>
  <c r="J8" i="51"/>
  <c r="J73" i="51"/>
  <c r="AM61" i="47"/>
  <c r="AM63" i="47" s="1"/>
  <c r="AM64" i="47" s="1"/>
  <c r="C68" i="51"/>
  <c r="AN58" i="47"/>
  <c r="AU39" i="45"/>
  <c r="Z67" i="52"/>
  <c r="X9" i="52" s="1"/>
  <c r="X10" i="52" s="1"/>
  <c r="E12" i="48" s="1"/>
  <c r="AT32" i="45"/>
  <c r="AL10" i="52"/>
  <c r="G12" i="48" s="1"/>
  <c r="AG48" i="45"/>
  <c r="AE50" i="45"/>
  <c r="AG50" i="45" s="1"/>
  <c r="BN68" i="51"/>
  <c r="AG68" i="51"/>
  <c r="AE70" i="51" s="1"/>
  <c r="AE72" i="51" s="1"/>
  <c r="S67" i="52"/>
  <c r="Q9" i="52" s="1"/>
  <c r="L66" i="51"/>
  <c r="AU41" i="45"/>
  <c r="AG61" i="47"/>
  <c r="AN40" i="47"/>
  <c r="AN56" i="47"/>
  <c r="AN45" i="47"/>
  <c r="AE64" i="45"/>
  <c r="AG68" i="52"/>
  <c r="AE70" i="52" s="1"/>
  <c r="AE72" i="52" s="1"/>
  <c r="AT61" i="45"/>
  <c r="AT63" i="45" s="1"/>
  <c r="AG46" i="47"/>
  <c r="S68" i="51"/>
  <c r="Q70" i="51" s="1"/>
  <c r="Q72" i="51" s="1"/>
  <c r="Q68" i="51"/>
  <c r="AU57" i="45"/>
  <c r="AF48" i="47"/>
  <c r="AF50" i="47" s="1"/>
  <c r="AF51" i="47" s="1"/>
  <c r="Q10" i="51"/>
  <c r="D7" i="48" s="1"/>
  <c r="E35" i="41" s="1"/>
  <c r="AE8" i="45"/>
  <c r="AE73" i="45"/>
  <c r="BG74" i="51"/>
  <c r="BI66" i="51"/>
  <c r="H9" i="25"/>
  <c r="I8" i="25"/>
  <c r="AU29" i="45"/>
  <c r="AS32" i="45"/>
  <c r="BF14" i="47"/>
  <c r="BC14" i="47"/>
  <c r="BC17" i="47"/>
  <c r="X67" i="45"/>
  <c r="Z67" i="45" s="1"/>
  <c r="X9" i="45" s="1"/>
  <c r="X10" i="45" s="1"/>
  <c r="E20" i="48" s="1"/>
  <c r="AF63" i="47"/>
  <c r="AF64" i="47" s="1"/>
  <c r="AN30" i="47"/>
  <c r="AL7" i="47" s="1"/>
  <c r="AM46" i="47"/>
  <c r="AN41" i="47"/>
  <c r="AN55" i="47"/>
  <c r="AT46" i="45"/>
  <c r="AF67" i="45"/>
  <c r="AF68" i="45" s="1"/>
  <c r="AM50" i="45"/>
  <c r="AM51" i="45" s="1"/>
  <c r="AU44" i="45"/>
  <c r="AL63" i="45"/>
  <c r="AL64" i="45" s="1"/>
  <c r="AZ54" i="45"/>
  <c r="AZ4" i="45"/>
  <c r="BA29" i="45"/>
  <c r="AZ29" i="45"/>
  <c r="BA54" i="45"/>
  <c r="BG67" i="51"/>
  <c r="BI67" i="51" s="1"/>
  <c r="BG9" i="51" s="1"/>
  <c r="BG10" i="51" s="1"/>
  <c r="J7" i="48" s="1"/>
  <c r="AL48" i="45"/>
  <c r="BP67" i="51"/>
  <c r="BN9" i="51" s="1"/>
  <c r="BN10" i="51" s="1"/>
  <c r="K7" i="48" s="1"/>
  <c r="Q8" i="47"/>
  <c r="Q73" i="47"/>
  <c r="AS67" i="52"/>
  <c r="AU67" i="52" s="1"/>
  <c r="AS9" i="52" s="1"/>
  <c r="AS10" i="52" s="1"/>
  <c r="H12" i="48" s="1"/>
  <c r="C64" i="41"/>
  <c r="D64" i="41" s="1"/>
  <c r="E64" i="41" s="1"/>
  <c r="F64" i="41" s="1"/>
  <c r="G64" i="41" s="1"/>
  <c r="H64" i="41" s="1"/>
  <c r="I64" i="41" s="1"/>
  <c r="J64" i="41" s="1"/>
  <c r="K64" i="41" s="1"/>
  <c r="L64" i="41" s="1"/>
  <c r="C62" i="41"/>
  <c r="M78" i="41" s="1"/>
  <c r="Q51" i="47"/>
  <c r="Q66" i="47" s="1"/>
  <c r="AN60" i="47"/>
  <c r="AU38" i="45"/>
  <c r="AU55" i="45"/>
  <c r="AU58" i="45"/>
  <c r="AU60" i="45"/>
  <c r="AU67" i="51"/>
  <c r="AS9" i="51" s="1"/>
  <c r="AS10" i="51" s="1"/>
  <c r="H7" i="48" s="1"/>
  <c r="AN68" i="52"/>
  <c r="AL70" i="52" s="1"/>
  <c r="AL72" i="52" s="1"/>
  <c r="X68" i="52"/>
  <c r="AM63" i="45"/>
  <c r="AM64" i="45"/>
  <c r="AZ67" i="52"/>
  <c r="BB67" i="52" s="1"/>
  <c r="AZ9" i="52" s="1"/>
  <c r="AZ10" i="52" s="1"/>
  <c r="I12" i="48" s="1"/>
  <c r="AS29" i="47"/>
  <c r="AS54" i="47"/>
  <c r="AT29" i="47"/>
  <c r="AT54" i="47"/>
  <c r="AS4" i="47"/>
  <c r="R67" i="47"/>
  <c r="R68" i="47" s="1"/>
  <c r="Z66" i="51"/>
  <c r="X74" i="51"/>
  <c r="AE6" i="47"/>
  <c r="AG32" i="47"/>
  <c r="AL61" i="47"/>
  <c r="AN54" i="47"/>
  <c r="AZ71" i="45"/>
  <c r="AZ58" i="45"/>
  <c r="BA42" i="45"/>
  <c r="BA41" i="45"/>
  <c r="AZ59" i="45"/>
  <c r="BA37" i="45"/>
  <c r="BA43" i="45"/>
  <c r="AZ60" i="45"/>
  <c r="BA44" i="45"/>
  <c r="BA60" i="45"/>
  <c r="AZ41" i="45"/>
  <c r="AZ56" i="45"/>
  <c r="AZ55" i="45"/>
  <c r="BA38" i="45"/>
  <c r="AZ57" i="45"/>
  <c r="BA58" i="45"/>
  <c r="BA59" i="45"/>
  <c r="BA39" i="45"/>
  <c r="AZ38" i="45"/>
  <c r="AZ43" i="45"/>
  <c r="AZ37" i="45"/>
  <c r="BA45" i="45"/>
  <c r="BA55" i="45"/>
  <c r="AZ3" i="45"/>
  <c r="AZ42" i="45"/>
  <c r="BA57" i="45"/>
  <c r="AZ44" i="45"/>
  <c r="BA30" i="45"/>
  <c r="BA56" i="45"/>
  <c r="AZ45" i="45"/>
  <c r="BB45" i="45" s="1"/>
  <c r="BA40" i="45"/>
  <c r="AZ39" i="45"/>
  <c r="AZ30" i="45"/>
  <c r="AZ40" i="45"/>
  <c r="AM32" i="47"/>
  <c r="J67" i="52"/>
  <c r="L67" i="52" s="1"/>
  <c r="AE63" i="47"/>
  <c r="AL32" i="47"/>
  <c r="AN29" i="47"/>
  <c r="AS74" i="52"/>
  <c r="AU66" i="52"/>
  <c r="X67" i="51"/>
  <c r="Z67" i="51" s="1"/>
  <c r="X9" i="51" s="1"/>
  <c r="X10" i="51" s="1"/>
  <c r="E7" i="48" s="1"/>
  <c r="AE68" i="52"/>
  <c r="AN61" i="45"/>
  <c r="BJ14" i="45"/>
  <c r="BM14" i="45"/>
  <c r="BJ17" i="45"/>
  <c r="AL6" i="45"/>
  <c r="AN32" i="45"/>
  <c r="AU54" i="45"/>
  <c r="AS61" i="45"/>
  <c r="AT38" i="47"/>
  <c r="AT42" i="47"/>
  <c r="AS42" i="47"/>
  <c r="AU42" i="47" s="1"/>
  <c r="AT39" i="47"/>
  <c r="AT60" i="47"/>
  <c r="AT57" i="47"/>
  <c r="AS44" i="47"/>
  <c r="AT41" i="47"/>
  <c r="AS56" i="47"/>
  <c r="AT56" i="47"/>
  <c r="AT40" i="47"/>
  <c r="AT59" i="47"/>
  <c r="AS57" i="47"/>
  <c r="AS58" i="47"/>
  <c r="AT37" i="47"/>
  <c r="AT43" i="47"/>
  <c r="AS3" i="47"/>
  <c r="AS59" i="47"/>
  <c r="AT45" i="47"/>
  <c r="AS55" i="47"/>
  <c r="AS30" i="47"/>
  <c r="AT55" i="47"/>
  <c r="AS41" i="47"/>
  <c r="AS60" i="47"/>
  <c r="AS39" i="47"/>
  <c r="AS40" i="47"/>
  <c r="AS43" i="47"/>
  <c r="AS71" i="47"/>
  <c r="AS45" i="47"/>
  <c r="AS38" i="47"/>
  <c r="AT44" i="47"/>
  <c r="AT30" i="47"/>
  <c r="AS37" i="47"/>
  <c r="AT58" i="47"/>
  <c r="B42" i="25"/>
  <c r="B69" i="25"/>
  <c r="B77" i="25" s="1"/>
  <c r="B93" i="25"/>
  <c r="B94" i="25" s="1"/>
  <c r="B49" i="25"/>
  <c r="AN46" i="45"/>
  <c r="AN43" i="47"/>
  <c r="AL46" i="47"/>
  <c r="AN37" i="47"/>
  <c r="AN57" i="47"/>
  <c r="AN44" i="47"/>
  <c r="AN39" i="47"/>
  <c r="AN42" i="47"/>
  <c r="AN38" i="47"/>
  <c r="AZ67" i="51"/>
  <c r="BB67" i="51" s="1"/>
  <c r="AZ9" i="51" s="1"/>
  <c r="AZ10" i="51" s="1"/>
  <c r="I7" i="48" s="1"/>
  <c r="F39" i="41"/>
  <c r="G14" i="41"/>
  <c r="F38" i="41"/>
  <c r="F75" i="41" s="1"/>
  <c r="F41" i="41"/>
  <c r="F40" i="41"/>
  <c r="AU56" i="45"/>
  <c r="AU59" i="45"/>
  <c r="AU37" i="45"/>
  <c r="AS46" i="45"/>
  <c r="AU30" i="45"/>
  <c r="AS7" i="45" s="1"/>
  <c r="AS68" i="51"/>
  <c r="Y50" i="47"/>
  <c r="AN67" i="51"/>
  <c r="AL9" i="51" s="1"/>
  <c r="AL10" i="51" s="1"/>
  <c r="G7" i="48" s="1"/>
  <c r="L68" i="51" l="1"/>
  <c r="J70" i="51" s="1"/>
  <c r="J72" i="51" s="1"/>
  <c r="BB44" i="45"/>
  <c r="AU30" i="47"/>
  <c r="AS7" i="47" s="1"/>
  <c r="AU55" i="47"/>
  <c r="J68" i="45"/>
  <c r="AU57" i="47"/>
  <c r="AM66" i="45"/>
  <c r="AM67" i="45" s="1"/>
  <c r="AM68" i="45" s="1"/>
  <c r="Q10" i="52"/>
  <c r="D12" i="48" s="1"/>
  <c r="AU43" i="47"/>
  <c r="J9" i="52"/>
  <c r="J10" i="52" s="1"/>
  <c r="C12" i="48" s="1"/>
  <c r="D36" i="41" s="1"/>
  <c r="AU41" i="47"/>
  <c r="Z50" i="47"/>
  <c r="Z51" i="47" s="1"/>
  <c r="Z66" i="47" s="1"/>
  <c r="J10" i="51"/>
  <c r="C7" i="48" s="1"/>
  <c r="C35" i="41"/>
  <c r="E68" i="51"/>
  <c r="C70" i="51" s="1"/>
  <c r="C72" i="51" s="1"/>
  <c r="N1" i="48"/>
  <c r="BB38" i="45"/>
  <c r="L66" i="52"/>
  <c r="L68" i="52" s="1"/>
  <c r="J70" i="52" s="1"/>
  <c r="J72" i="52" s="1"/>
  <c r="X68" i="45"/>
  <c r="AS68" i="52"/>
  <c r="AT48" i="45"/>
  <c r="AT50" i="45" s="1"/>
  <c r="AT51" i="45" s="1"/>
  <c r="BP68" i="51"/>
  <c r="BN70" i="51" s="1"/>
  <c r="BN72" i="51" s="1"/>
  <c r="Z68" i="51"/>
  <c r="X70" i="51" s="1"/>
  <c r="X72" i="51" s="1"/>
  <c r="BG68" i="51"/>
  <c r="X68" i="51"/>
  <c r="E68" i="47"/>
  <c r="C70" i="47" s="1"/>
  <c r="C72" i="47" s="1"/>
  <c r="B25" i="48"/>
  <c r="C36" i="41" s="1"/>
  <c r="BB41" i="45"/>
  <c r="AU46" i="45"/>
  <c r="BB58" i="45"/>
  <c r="Z68" i="45"/>
  <c r="X70" i="45" s="1"/>
  <c r="X72" i="45" s="1"/>
  <c r="BB30" i="45"/>
  <c r="AZ7" i="45" s="1"/>
  <c r="X66" i="47"/>
  <c r="X67" i="47" s="1"/>
  <c r="X68" i="47" s="1"/>
  <c r="X73" i="47"/>
  <c r="S68" i="52"/>
  <c r="Q70" i="52" s="1"/>
  <c r="Q72" i="52" s="1"/>
  <c r="Z68" i="52"/>
  <c r="X70" i="52" s="1"/>
  <c r="X72" i="52" s="1"/>
  <c r="AG48" i="47"/>
  <c r="AG50" i="47"/>
  <c r="AG63" i="47"/>
  <c r="AG64" i="47" s="1"/>
  <c r="AE73" i="47" s="1"/>
  <c r="BB68" i="52"/>
  <c r="AZ70" i="52" s="1"/>
  <c r="AZ72" i="52" s="1"/>
  <c r="J9" i="45"/>
  <c r="J10" i="45" s="1"/>
  <c r="C20" i="48" s="1"/>
  <c r="L68" i="45"/>
  <c r="J70" i="45" s="1"/>
  <c r="J72" i="45" s="1"/>
  <c r="AG51" i="45"/>
  <c r="AU39" i="47"/>
  <c r="AU56" i="47"/>
  <c r="AE64" i="47"/>
  <c r="AT61" i="47"/>
  <c r="AT63" i="47" s="1"/>
  <c r="AT64" i="47" s="1"/>
  <c r="BB68" i="51"/>
  <c r="AZ70" i="51" s="1"/>
  <c r="AZ72" i="51" s="1"/>
  <c r="Y51" i="47"/>
  <c r="Y66" i="47" s="1"/>
  <c r="Y67" i="47" s="1"/>
  <c r="Y68" i="47" s="1"/>
  <c r="AU68" i="52"/>
  <c r="AS70" i="52" s="1"/>
  <c r="AS72" i="52" s="1"/>
  <c r="BB57" i="45"/>
  <c r="AT64" i="45"/>
  <c r="AE51" i="47"/>
  <c r="AZ68" i="52"/>
  <c r="AE51" i="45"/>
  <c r="AE66" i="45" s="1"/>
  <c r="AE67" i="45" s="1"/>
  <c r="AG67" i="45" s="1"/>
  <c r="AE9" i="45" s="1"/>
  <c r="AE10" i="45" s="1"/>
  <c r="F20" i="48" s="1"/>
  <c r="G35" i="41" s="1"/>
  <c r="AU44" i="47"/>
  <c r="F35" i="41"/>
  <c r="BA43" i="47"/>
  <c r="BA58" i="47"/>
  <c r="AZ44" i="47"/>
  <c r="BA42" i="47"/>
  <c r="AZ30" i="47"/>
  <c r="BA45" i="47"/>
  <c r="AZ42" i="47"/>
  <c r="BA44" i="47"/>
  <c r="BA55" i="47"/>
  <c r="BA40" i="47"/>
  <c r="AZ37" i="47"/>
  <c r="BA39" i="47"/>
  <c r="AZ57" i="47"/>
  <c r="AZ45" i="47"/>
  <c r="BB45" i="47" s="1"/>
  <c r="AZ3" i="47"/>
  <c r="BA37" i="47"/>
  <c r="AZ56" i="47"/>
  <c r="BA60" i="47"/>
  <c r="BA56" i="47"/>
  <c r="AZ59" i="47"/>
  <c r="AZ43" i="47"/>
  <c r="AZ39" i="47"/>
  <c r="AZ60" i="47"/>
  <c r="AZ55" i="47"/>
  <c r="BA57" i="47"/>
  <c r="AZ58" i="47"/>
  <c r="BB58" i="47" s="1"/>
  <c r="AZ40" i="47"/>
  <c r="BA41" i="47"/>
  <c r="BA30" i="47"/>
  <c r="BA59" i="47"/>
  <c r="AZ38" i="47"/>
  <c r="AZ41" i="47"/>
  <c r="AZ71" i="47"/>
  <c r="BA38" i="47"/>
  <c r="AS6" i="45"/>
  <c r="AU32" i="45"/>
  <c r="AF66" i="47"/>
  <c r="AN46" i="47"/>
  <c r="Q74" i="47"/>
  <c r="S66" i="47"/>
  <c r="AU38" i="47"/>
  <c r="AU40" i="47"/>
  <c r="AU59" i="47"/>
  <c r="AU58" i="47"/>
  <c r="AS63" i="45"/>
  <c r="AU63" i="45" s="1"/>
  <c r="BH41" i="45"/>
  <c r="BG43" i="45"/>
  <c r="BG57" i="45"/>
  <c r="BG60" i="45"/>
  <c r="BH56" i="45"/>
  <c r="BH42" i="45"/>
  <c r="BH40" i="45"/>
  <c r="BG39" i="45"/>
  <c r="BG38" i="45"/>
  <c r="BG41" i="45"/>
  <c r="BH55" i="45"/>
  <c r="BH59" i="45"/>
  <c r="BG55" i="45"/>
  <c r="BH44" i="45"/>
  <c r="BH39" i="45"/>
  <c r="BG56" i="45"/>
  <c r="BH57" i="45"/>
  <c r="BG40" i="45"/>
  <c r="BH30" i="45"/>
  <c r="BG30" i="45"/>
  <c r="BI30" i="45" s="1"/>
  <c r="BG7" i="45" s="1"/>
  <c r="BG59" i="45"/>
  <c r="BG37" i="45"/>
  <c r="BH38" i="45"/>
  <c r="BG71" i="45"/>
  <c r="BH43" i="45"/>
  <c r="BH60" i="45"/>
  <c r="BG58" i="45"/>
  <c r="BG44" i="45"/>
  <c r="BG45" i="45"/>
  <c r="BH45" i="45"/>
  <c r="BG3" i="45"/>
  <c r="BH37" i="45"/>
  <c r="BG42" i="45"/>
  <c r="BH58" i="45"/>
  <c r="AL6" i="47"/>
  <c r="AN32" i="47"/>
  <c r="AM48" i="47"/>
  <c r="BB40" i="45"/>
  <c r="BA46" i="45"/>
  <c r="AT32" i="47"/>
  <c r="AN68" i="51"/>
  <c r="AL70" i="51" s="1"/>
  <c r="AL72" i="51" s="1"/>
  <c r="Q67" i="47"/>
  <c r="S67" i="47" s="1"/>
  <c r="Q9" i="47" s="1"/>
  <c r="Q10" i="47" s="1"/>
  <c r="D25" i="48" s="1"/>
  <c r="BA61" i="45"/>
  <c r="BB54" i="45"/>
  <c r="AZ61" i="45"/>
  <c r="AZ54" i="47"/>
  <c r="BA54" i="47"/>
  <c r="AZ29" i="47"/>
  <c r="BA29" i="47"/>
  <c r="AZ4" i="47"/>
  <c r="J8" i="25"/>
  <c r="I9" i="25"/>
  <c r="AT46" i="47"/>
  <c r="AU37" i="47"/>
  <c r="AS46" i="47"/>
  <c r="AU61" i="45"/>
  <c r="BQ14" i="45"/>
  <c r="BQ17" i="45"/>
  <c r="AL48" i="47"/>
  <c r="BB42" i="45"/>
  <c r="AZ46" i="45"/>
  <c r="BB37" i="45"/>
  <c r="BB55" i="45"/>
  <c r="BB59" i="45"/>
  <c r="AS61" i="47"/>
  <c r="AU54" i="47"/>
  <c r="D10" i="24"/>
  <c r="M80" i="41"/>
  <c r="AN48" i="45"/>
  <c r="AL50" i="45"/>
  <c r="AN50" i="45" s="1"/>
  <c r="BB29" i="45"/>
  <c r="AZ32" i="45"/>
  <c r="BM14" i="47"/>
  <c r="BJ17" i="47"/>
  <c r="BJ14" i="47"/>
  <c r="G39" i="41"/>
  <c r="G38" i="41"/>
  <c r="H14" i="41"/>
  <c r="G40" i="41"/>
  <c r="AL63" i="47"/>
  <c r="AN63" i="47" s="1"/>
  <c r="AU45" i="47"/>
  <c r="F93" i="41"/>
  <c r="D88" i="41"/>
  <c r="AZ68" i="51"/>
  <c r="C42" i="25"/>
  <c r="AU60" i="47"/>
  <c r="BG29" i="45"/>
  <c r="BG54" i="45"/>
  <c r="BG4" i="45"/>
  <c r="BH29" i="45"/>
  <c r="BH54" i="45"/>
  <c r="J68" i="52"/>
  <c r="BB39" i="45"/>
  <c r="BB43" i="45"/>
  <c r="BB56" i="45"/>
  <c r="BB60" i="45"/>
  <c r="AN61" i="47"/>
  <c r="AS32" i="47"/>
  <c r="AU29" i="47"/>
  <c r="BA32" i="45"/>
  <c r="AN63" i="45"/>
  <c r="AN64" i="45" s="1"/>
  <c r="AU68" i="51"/>
  <c r="AS70" i="51" s="1"/>
  <c r="AS72" i="51" s="1"/>
  <c r="AS48" i="45"/>
  <c r="BI68" i="51"/>
  <c r="BG70" i="51" s="1"/>
  <c r="BG72" i="51" s="1"/>
  <c r="E36" i="41" l="1"/>
  <c r="BI55" i="45"/>
  <c r="AT66" i="45"/>
  <c r="C43" i="41"/>
  <c r="C45" i="41" s="1"/>
  <c r="D35" i="41"/>
  <c r="D43" i="41" s="1"/>
  <c r="D45" i="41" s="1"/>
  <c r="C14" i="25" s="1"/>
  <c r="BI41" i="45"/>
  <c r="AE68" i="45"/>
  <c r="X74" i="47"/>
  <c r="AS48" i="47"/>
  <c r="AS50" i="47" s="1"/>
  <c r="AS51" i="47" s="1"/>
  <c r="C74" i="41"/>
  <c r="C83" i="41" s="1"/>
  <c r="BI39" i="45"/>
  <c r="AS64" i="45"/>
  <c r="BB39" i="47"/>
  <c r="BI40" i="45"/>
  <c r="BB41" i="47"/>
  <c r="BA48" i="45"/>
  <c r="BA50" i="45" s="1"/>
  <c r="BA51" i="45" s="1"/>
  <c r="AU64" i="45"/>
  <c r="AS8" i="45" s="1"/>
  <c r="BA32" i="47"/>
  <c r="AL64" i="47"/>
  <c r="AE66" i="47"/>
  <c r="AE67" i="47" s="1"/>
  <c r="AN64" i="47"/>
  <c r="AL73" i="47" s="1"/>
  <c r="AG51" i="47"/>
  <c r="AE74" i="47" s="1"/>
  <c r="BB56" i="47"/>
  <c r="AL51" i="45"/>
  <c r="AL66" i="45" s="1"/>
  <c r="AL67" i="45" s="1"/>
  <c r="AN67" i="45" s="1"/>
  <c r="AL9" i="45" s="1"/>
  <c r="BI43" i="45"/>
  <c r="S68" i="47"/>
  <c r="Q70" i="47" s="1"/>
  <c r="Q72" i="47" s="1"/>
  <c r="BB55" i="47"/>
  <c r="AE8" i="47"/>
  <c r="AG66" i="45"/>
  <c r="AG68" i="45" s="1"/>
  <c r="AE70" i="45" s="1"/>
  <c r="AE72" i="45" s="1"/>
  <c r="AE74" i="45"/>
  <c r="AN51" i="45"/>
  <c r="AL74" i="45" s="1"/>
  <c r="AU46" i="47"/>
  <c r="BI38" i="45"/>
  <c r="BI56" i="45"/>
  <c r="BA61" i="47"/>
  <c r="BA63" i="47" s="1"/>
  <c r="BA64" i="47" s="1"/>
  <c r="BB43" i="47"/>
  <c r="BB61" i="45"/>
  <c r="BH32" i="45"/>
  <c r="E74" i="41"/>
  <c r="E43" i="41"/>
  <c r="E45" i="41" s="1"/>
  <c r="AL8" i="45"/>
  <c r="AL73" i="45"/>
  <c r="BI54" i="45"/>
  <c r="BG61" i="45"/>
  <c r="K8" i="25"/>
  <c r="K9" i="25" s="1"/>
  <c r="J9" i="25"/>
  <c r="BI37" i="45"/>
  <c r="BG46" i="45"/>
  <c r="AF67" i="47"/>
  <c r="AF68" i="47" s="1"/>
  <c r="AT67" i="45"/>
  <c r="AT68" i="45" s="1"/>
  <c r="AL8" i="47"/>
  <c r="BH61" i="45"/>
  <c r="BI29" i="45"/>
  <c r="BG32" i="45"/>
  <c r="BQ17" i="47"/>
  <c r="BQ14" i="47"/>
  <c r="F12" i="24"/>
  <c r="F32" i="24" s="1"/>
  <c r="M12" i="24"/>
  <c r="M32" i="24" s="1"/>
  <c r="E12" i="24"/>
  <c r="E32" i="24" s="1"/>
  <c r="L12" i="24"/>
  <c r="L32" i="24" s="1"/>
  <c r="N12" i="24"/>
  <c r="N32" i="24" s="1"/>
  <c r="D37" i="24"/>
  <c r="D39" i="24" s="1"/>
  <c r="H12" i="24"/>
  <c r="H32" i="24" s="1"/>
  <c r="J12" i="24"/>
  <c r="J32" i="24" s="1"/>
  <c r="D12" i="24"/>
  <c r="D32" i="24" s="1"/>
  <c r="K12" i="24"/>
  <c r="K32" i="24" s="1"/>
  <c r="G12" i="24"/>
  <c r="G32" i="24" s="1"/>
  <c r="I12" i="24"/>
  <c r="I32" i="24" s="1"/>
  <c r="BO54" i="45"/>
  <c r="BN29" i="45"/>
  <c r="BO29" i="45"/>
  <c r="BN4" i="45"/>
  <c r="BN54" i="45"/>
  <c r="BB54" i="47"/>
  <c r="AZ61" i="47"/>
  <c r="BA63" i="45"/>
  <c r="BA64" i="45" s="1"/>
  <c r="AM50" i="47"/>
  <c r="AM51" i="47" s="1"/>
  <c r="AM66" i="47" s="1"/>
  <c r="BI42" i="45"/>
  <c r="BI45" i="45"/>
  <c r="BI59" i="45"/>
  <c r="BB57" i="47"/>
  <c r="BB30" i="47"/>
  <c r="AZ7" i="47" s="1"/>
  <c r="D42" i="25"/>
  <c r="BH45" i="47"/>
  <c r="BG56" i="47"/>
  <c r="BG58" i="47"/>
  <c r="BG41" i="47"/>
  <c r="BG60" i="47"/>
  <c r="BH57" i="47"/>
  <c r="BG40" i="47"/>
  <c r="BG59" i="47"/>
  <c r="BG71" i="47"/>
  <c r="BH38" i="47"/>
  <c r="BG39" i="47"/>
  <c r="BH41" i="47"/>
  <c r="BG3" i="47"/>
  <c r="BH39" i="47"/>
  <c r="BG42" i="47"/>
  <c r="BH60" i="47"/>
  <c r="BH55" i="47"/>
  <c r="BG45" i="47"/>
  <c r="BI45" i="47" s="1"/>
  <c r="BG37" i="47"/>
  <c r="BH59" i="47"/>
  <c r="BG44" i="47"/>
  <c r="BH56" i="47"/>
  <c r="BH43" i="47"/>
  <c r="BH40" i="47"/>
  <c r="BH37" i="47"/>
  <c r="BG57" i="47"/>
  <c r="BG43" i="47"/>
  <c r="BH58" i="47"/>
  <c r="BG38" i="47"/>
  <c r="BH42" i="47"/>
  <c r="BH44" i="47"/>
  <c r="BG30" i="47"/>
  <c r="BG55" i="47"/>
  <c r="BI55" i="47" s="1"/>
  <c r="BH30" i="47"/>
  <c r="BN60" i="45"/>
  <c r="BN30" i="45"/>
  <c r="BN42" i="45"/>
  <c r="BO42" i="45"/>
  <c r="BO37" i="45"/>
  <c r="BO55" i="45"/>
  <c r="BN57" i="45"/>
  <c r="BN38" i="45"/>
  <c r="BN41" i="45"/>
  <c r="BN45" i="45"/>
  <c r="BP45" i="45" s="1"/>
  <c r="BN56" i="45"/>
  <c r="BN44" i="45"/>
  <c r="BN55" i="45"/>
  <c r="BO60" i="45"/>
  <c r="BO57" i="45"/>
  <c r="BN3" i="45"/>
  <c r="BN58" i="45"/>
  <c r="BO41" i="45"/>
  <c r="BN59" i="45"/>
  <c r="BO59" i="45"/>
  <c r="BN37" i="45"/>
  <c r="BN40" i="45"/>
  <c r="BO30" i="45"/>
  <c r="BN71" i="45"/>
  <c r="BO38" i="45"/>
  <c r="BO40" i="45"/>
  <c r="BN39" i="45"/>
  <c r="BN43" i="45"/>
  <c r="BO44" i="45"/>
  <c r="BO43" i="45"/>
  <c r="BO39" i="45"/>
  <c r="BO58" i="45"/>
  <c r="BO45" i="45"/>
  <c r="BO56" i="45"/>
  <c r="AU48" i="45"/>
  <c r="AS50" i="45"/>
  <c r="AU50" i="45" s="1"/>
  <c r="AU61" i="47"/>
  <c r="AT48" i="47"/>
  <c r="BH46" i="45"/>
  <c r="BI44" i="45"/>
  <c r="BI60" i="45"/>
  <c r="BB59" i="47"/>
  <c r="BA46" i="47"/>
  <c r="AZ6" i="45"/>
  <c r="BB32" i="45"/>
  <c r="AU32" i="47"/>
  <c r="AS6" i="47"/>
  <c r="I14" i="41"/>
  <c r="H38" i="41"/>
  <c r="H39" i="41"/>
  <c r="H40" i="41"/>
  <c r="BH29" i="47"/>
  <c r="BG54" i="47"/>
  <c r="BH54" i="47"/>
  <c r="BG4" i="47"/>
  <c r="BG29" i="47"/>
  <c r="AZ48" i="45"/>
  <c r="AS63" i="47"/>
  <c r="AU63" i="47" s="1"/>
  <c r="BB46" i="45"/>
  <c r="AN48" i="47"/>
  <c r="AL50" i="47"/>
  <c r="Z67" i="47"/>
  <c r="X9" i="47" s="1"/>
  <c r="X10" i="47" s="1"/>
  <c r="E25" i="48" s="1"/>
  <c r="F36" i="41" s="1"/>
  <c r="F74" i="41" s="1"/>
  <c r="BB29" i="47"/>
  <c r="AZ32" i="47"/>
  <c r="AZ63" i="45"/>
  <c r="Q68" i="47"/>
  <c r="BI58" i="45"/>
  <c r="BI57" i="45"/>
  <c r="BB38" i="47"/>
  <c r="BB40" i="47"/>
  <c r="BB60" i="47"/>
  <c r="AZ46" i="47"/>
  <c r="BB37" i="47"/>
  <c r="BB42" i="47"/>
  <c r="BB44" i="47"/>
  <c r="D74" i="41" l="1"/>
  <c r="D76" i="41" s="1"/>
  <c r="B14" i="25"/>
  <c r="B18" i="25" s="1"/>
  <c r="B48" i="25" s="1"/>
  <c r="C76" i="41"/>
  <c r="BP30" i="45"/>
  <c r="BN7" i="45" s="1"/>
  <c r="BH48" i="45"/>
  <c r="BG48" i="45"/>
  <c r="BA48" i="47"/>
  <c r="BA50" i="47" s="1"/>
  <c r="BA51" i="47" s="1"/>
  <c r="BA66" i="47" s="1"/>
  <c r="BI46" i="45"/>
  <c r="AU51" i="45"/>
  <c r="AS74" i="45" s="1"/>
  <c r="AS73" i="45"/>
  <c r="AN66" i="45"/>
  <c r="AN68" i="45" s="1"/>
  <c r="AL70" i="45" s="1"/>
  <c r="AL72" i="45" s="1"/>
  <c r="BO32" i="45"/>
  <c r="AG67" i="47"/>
  <c r="AE9" i="47" s="1"/>
  <c r="AE10" i="47" s="1"/>
  <c r="F25" i="48" s="1"/>
  <c r="G36" i="41" s="1"/>
  <c r="G43" i="41" s="1"/>
  <c r="G45" i="41" s="1"/>
  <c r="F14" i="25" s="1"/>
  <c r="AS64" i="47"/>
  <c r="AS66" i="47" s="1"/>
  <c r="AN50" i="47"/>
  <c r="AN51" i="47" s="1"/>
  <c r="AG66" i="47"/>
  <c r="BP44" i="45"/>
  <c r="F43" i="41"/>
  <c r="F45" i="41" s="1"/>
  <c r="E14" i="25" s="1"/>
  <c r="BI44" i="47"/>
  <c r="BI43" i="47"/>
  <c r="BB63" i="45"/>
  <c r="BB64" i="45" s="1"/>
  <c r="AZ8" i="45" s="1"/>
  <c r="AL68" i="45"/>
  <c r="BP38" i="45"/>
  <c r="BI57" i="47"/>
  <c r="BP40" i="45"/>
  <c r="BI30" i="47"/>
  <c r="BG7" i="47" s="1"/>
  <c r="BA66" i="45"/>
  <c r="BA67" i="45" s="1"/>
  <c r="K46" i="41"/>
  <c r="J89" i="25" s="1"/>
  <c r="H46" i="41"/>
  <c r="G89" i="25" s="1"/>
  <c r="F46" i="41"/>
  <c r="E89" i="25" s="1"/>
  <c r="D46" i="41"/>
  <c r="C89" i="25" s="1"/>
  <c r="J46" i="41"/>
  <c r="I89" i="25" s="1"/>
  <c r="I46" i="41"/>
  <c r="H89" i="25" s="1"/>
  <c r="L46" i="41"/>
  <c r="K89" i="25" s="1"/>
  <c r="E46" i="41"/>
  <c r="D89" i="25" s="1"/>
  <c r="G46" i="41"/>
  <c r="F89" i="25" s="1"/>
  <c r="BH50" i="45"/>
  <c r="BH51" i="45" s="1"/>
  <c r="F76" i="41"/>
  <c r="F83" i="41"/>
  <c r="BI54" i="47"/>
  <c r="BG61" i="47"/>
  <c r="BI41" i="47"/>
  <c r="AM67" i="47"/>
  <c r="AM68" i="47" s="1"/>
  <c r="BO57" i="47"/>
  <c r="BN38" i="47"/>
  <c r="BO37" i="47"/>
  <c r="BN60" i="47"/>
  <c r="BO60" i="47"/>
  <c r="BO59" i="47"/>
  <c r="BO56" i="47"/>
  <c r="BO40" i="47"/>
  <c r="BN42" i="47"/>
  <c r="BP42" i="47" s="1"/>
  <c r="BN55" i="47"/>
  <c r="BO43" i="47"/>
  <c r="BN40" i="47"/>
  <c r="BP40" i="47" s="1"/>
  <c r="BN58" i="47"/>
  <c r="BN56" i="47"/>
  <c r="BO58" i="47"/>
  <c r="BN45" i="47"/>
  <c r="BO41" i="47"/>
  <c r="BN3" i="47"/>
  <c r="BO30" i="47"/>
  <c r="BO45" i="47"/>
  <c r="BO44" i="47"/>
  <c r="BN44" i="47"/>
  <c r="BO42" i="47"/>
  <c r="BN71" i="47"/>
  <c r="BN30" i="47"/>
  <c r="BN59" i="47"/>
  <c r="BP59" i="47" s="1"/>
  <c r="BN41" i="47"/>
  <c r="BO39" i="47"/>
  <c r="BO55" i="47"/>
  <c r="BN39" i="47"/>
  <c r="BN57" i="47"/>
  <c r="BN43" i="47"/>
  <c r="BO38" i="47"/>
  <c r="BN37" i="47"/>
  <c r="BG6" i="45"/>
  <c r="BI32" i="45"/>
  <c r="BI61" i="45"/>
  <c r="BB46" i="47"/>
  <c r="AZ48" i="47"/>
  <c r="BI29" i="47"/>
  <c r="BG32" i="47"/>
  <c r="BH32" i="47"/>
  <c r="I38" i="41"/>
  <c r="J14" i="41"/>
  <c r="I39" i="41"/>
  <c r="I40" i="41"/>
  <c r="AT50" i="47"/>
  <c r="AT51" i="47" s="1"/>
  <c r="AT66" i="47" s="1"/>
  <c r="AE68" i="47"/>
  <c r="AS51" i="45"/>
  <c r="AS66" i="45" s="1"/>
  <c r="BN46" i="45"/>
  <c r="BP37" i="45"/>
  <c r="BP58" i="45"/>
  <c r="BP55" i="45"/>
  <c r="BP41" i="45"/>
  <c r="BO46" i="45"/>
  <c r="BP60" i="45"/>
  <c r="BG46" i="47"/>
  <c r="BI37" i="47"/>
  <c r="BI42" i="47"/>
  <c r="BI39" i="47"/>
  <c r="BI40" i="47"/>
  <c r="BI58" i="47"/>
  <c r="E42" i="25"/>
  <c r="BB61" i="47"/>
  <c r="BP29" i="45"/>
  <c r="BN32" i="45"/>
  <c r="D65" i="24"/>
  <c r="D42" i="24"/>
  <c r="BH63" i="45"/>
  <c r="BH64" i="45"/>
  <c r="AL10" i="45"/>
  <c r="G20" i="48" s="1"/>
  <c r="H35" i="41" s="1"/>
  <c r="AZ63" i="47"/>
  <c r="BB63" i="47" s="1"/>
  <c r="AZ6" i="47"/>
  <c r="BB32" i="47"/>
  <c r="AL51" i="47"/>
  <c r="AL66" i="47" s="1"/>
  <c r="BP43" i="45"/>
  <c r="BI56" i="47"/>
  <c r="BP54" i="45"/>
  <c r="BN61" i="45"/>
  <c r="BO61" i="45"/>
  <c r="B43" i="25"/>
  <c r="C46" i="41"/>
  <c r="C16" i="25"/>
  <c r="C18" i="25"/>
  <c r="C48" i="25" s="1"/>
  <c r="C28" i="25"/>
  <c r="Z68" i="47"/>
  <c r="X70" i="47" s="1"/>
  <c r="X72" i="47" s="1"/>
  <c r="D14" i="25"/>
  <c r="BB48" i="45"/>
  <c r="AZ50" i="45"/>
  <c r="BB50" i="45" s="1"/>
  <c r="BI59" i="47"/>
  <c r="AZ64" i="45"/>
  <c r="BH61" i="47"/>
  <c r="AU64" i="47"/>
  <c r="BP39" i="45"/>
  <c r="BP59" i="45"/>
  <c r="BP56" i="45"/>
  <c r="BP57" i="45"/>
  <c r="BP42" i="45"/>
  <c r="BI38" i="47"/>
  <c r="BH46" i="47"/>
  <c r="BI60" i="47"/>
  <c r="BN54" i="47"/>
  <c r="BO29" i="47"/>
  <c r="BN29" i="47"/>
  <c r="BO54" i="47"/>
  <c r="BN4" i="47"/>
  <c r="BI48" i="45"/>
  <c r="BG50" i="45"/>
  <c r="BG63" i="45"/>
  <c r="BI63" i="45" s="1"/>
  <c r="AU48" i="47"/>
  <c r="E76" i="41"/>
  <c r="E83" i="41"/>
  <c r="D87" i="41" l="1"/>
  <c r="D89" i="41" s="1"/>
  <c r="E88" i="41" s="1"/>
  <c r="D83" i="41"/>
  <c r="F84" i="41" s="1"/>
  <c r="B28" i="25"/>
  <c r="B16" i="25"/>
  <c r="BP60" i="47"/>
  <c r="AU66" i="45"/>
  <c r="BI50" i="45"/>
  <c r="BO48" i="45"/>
  <c r="BO50" i="45" s="1"/>
  <c r="BO51" i="45" s="1"/>
  <c r="AZ73" i="45"/>
  <c r="BP55" i="47"/>
  <c r="BP38" i="47"/>
  <c r="BG48" i="47"/>
  <c r="BG50" i="47" s="1"/>
  <c r="BG51" i="47" s="1"/>
  <c r="BP57" i="47"/>
  <c r="BA68" i="45"/>
  <c r="BP44" i="47"/>
  <c r="AG68" i="47"/>
  <c r="AE70" i="47" s="1"/>
  <c r="AE72" i="47" s="1"/>
  <c r="M75" i="41"/>
  <c r="AZ64" i="47"/>
  <c r="G47" i="41"/>
  <c r="BP30" i="47"/>
  <c r="BN7" i="47" s="1"/>
  <c r="AZ51" i="45"/>
  <c r="AZ66" i="45" s="1"/>
  <c r="BB51" i="45"/>
  <c r="BB66" i="45" s="1"/>
  <c r="BP43" i="47"/>
  <c r="BO32" i="47"/>
  <c r="AU50" i="47"/>
  <c r="AU51" i="47" s="1"/>
  <c r="BP39" i="47"/>
  <c r="BP56" i="47"/>
  <c r="BP58" i="47"/>
  <c r="F47" i="41"/>
  <c r="D47" i="41"/>
  <c r="E47" i="41"/>
  <c r="AT67" i="47"/>
  <c r="AT68" i="47" s="1"/>
  <c r="BH66" i="45"/>
  <c r="BG51" i="45"/>
  <c r="BO61" i="47"/>
  <c r="F16" i="25"/>
  <c r="F18" i="25"/>
  <c r="F48" i="25" s="1"/>
  <c r="F28" i="25"/>
  <c r="C65" i="41"/>
  <c r="B89" i="25"/>
  <c r="C47" i="41"/>
  <c r="C49" i="41" s="1"/>
  <c r="BP61" i="45"/>
  <c r="AL67" i="47"/>
  <c r="AN67" i="47" s="1"/>
  <c r="AL9" i="47" s="1"/>
  <c r="AL10" i="47" s="1"/>
  <c r="G25" i="48" s="1"/>
  <c r="H36" i="41" s="1"/>
  <c r="H43" i="41" s="1"/>
  <c r="H45" i="41" s="1"/>
  <c r="BN48" i="45"/>
  <c r="F42" i="25"/>
  <c r="BP46" i="45"/>
  <c r="B65" i="25"/>
  <c r="B50" i="25"/>
  <c r="B52" i="25" s="1"/>
  <c r="B54" i="25" s="1"/>
  <c r="B58" i="25" s="1"/>
  <c r="J38" i="41"/>
  <c r="K14" i="41"/>
  <c r="J39" i="41"/>
  <c r="J40" i="41"/>
  <c r="BG6" i="47"/>
  <c r="BI32" i="47"/>
  <c r="BI64" i="45"/>
  <c r="BG63" i="47"/>
  <c r="BG64" i="47" s="1"/>
  <c r="M74" i="41"/>
  <c r="BN46" i="47"/>
  <c r="BP37" i="47"/>
  <c r="BN6" i="45"/>
  <c r="BP32" i="45"/>
  <c r="BI46" i="47"/>
  <c r="AL74" i="47"/>
  <c r="AN66" i="47"/>
  <c r="BP45" i="47"/>
  <c r="BI61" i="47"/>
  <c r="BA67" i="47"/>
  <c r="BA68" i="47" s="1"/>
  <c r="BP54" i="47"/>
  <c r="BN61" i="47"/>
  <c r="BN63" i="45"/>
  <c r="BP29" i="47"/>
  <c r="BN32" i="47"/>
  <c r="AS73" i="47"/>
  <c r="AS8" i="47"/>
  <c r="E16" i="25"/>
  <c r="E18" i="25"/>
  <c r="E48" i="25" s="1"/>
  <c r="E28" i="25"/>
  <c r="C43" i="25"/>
  <c r="B44" i="25"/>
  <c r="B113" i="25" s="1"/>
  <c r="BG64" i="45"/>
  <c r="BI51" i="45"/>
  <c r="BH63" i="47"/>
  <c r="BH64" i="47" s="1"/>
  <c r="D16" i="25"/>
  <c r="D18" i="25"/>
  <c r="D48" i="25" s="1"/>
  <c r="D28" i="25"/>
  <c r="C65" i="25"/>
  <c r="C50" i="25"/>
  <c r="C52" i="25" s="1"/>
  <c r="BO63" i="45"/>
  <c r="BO64" i="45" s="1"/>
  <c r="AS67" i="47"/>
  <c r="L44" i="24"/>
  <c r="L64" i="24" s="1"/>
  <c r="L66" i="24" s="1"/>
  <c r="J19" i="25" s="1"/>
  <c r="M44" i="24"/>
  <c r="M64" i="24" s="1"/>
  <c r="M66" i="24" s="1"/>
  <c r="K19" i="25" s="1"/>
  <c r="E44" i="24"/>
  <c r="E64" i="24" s="1"/>
  <c r="E66" i="24" s="1"/>
  <c r="C19" i="25" s="1"/>
  <c r="K44" i="24"/>
  <c r="K64" i="24" s="1"/>
  <c r="K66" i="24" s="1"/>
  <c r="I19" i="25" s="1"/>
  <c r="J44" i="24"/>
  <c r="J64" i="24" s="1"/>
  <c r="J66" i="24" s="1"/>
  <c r="H19" i="25" s="1"/>
  <c r="N44" i="24"/>
  <c r="N64" i="24" s="1"/>
  <c r="N66" i="24" s="1"/>
  <c r="G44" i="24"/>
  <c r="G64" i="24" s="1"/>
  <c r="G66" i="24" s="1"/>
  <c r="E19" i="25" s="1"/>
  <c r="I44" i="24"/>
  <c r="I64" i="24" s="1"/>
  <c r="I66" i="24" s="1"/>
  <c r="G19" i="25" s="1"/>
  <c r="F44" i="24"/>
  <c r="F64" i="24" s="1"/>
  <c r="F66" i="24" s="1"/>
  <c r="D19" i="25" s="1"/>
  <c r="H44" i="24"/>
  <c r="H64" i="24" s="1"/>
  <c r="H66" i="24" s="1"/>
  <c r="F19" i="25" s="1"/>
  <c r="D44" i="24"/>
  <c r="D64" i="24" s="1"/>
  <c r="D66" i="24" s="1"/>
  <c r="B19" i="25" s="1"/>
  <c r="B21" i="25" s="1"/>
  <c r="BB64" i="47"/>
  <c r="AS67" i="45"/>
  <c r="AU67" i="45" s="1"/>
  <c r="AS9" i="45" s="1"/>
  <c r="AS10" i="45" s="1"/>
  <c r="H20" i="48" s="1"/>
  <c r="I35" i="41" s="1"/>
  <c r="BH48" i="47"/>
  <c r="AZ50" i="47"/>
  <c r="BB50" i="47" s="1"/>
  <c r="BB48" i="47"/>
  <c r="BP41" i="47"/>
  <c r="BO46" i="47"/>
  <c r="BP61" i="47" l="1"/>
  <c r="AS68" i="45"/>
  <c r="AZ74" i="45"/>
  <c r="BO66" i="45"/>
  <c r="BO67" i="45" s="1"/>
  <c r="BO68" i="45" s="1"/>
  <c r="AU68" i="45"/>
  <c r="AS70" i="45" s="1"/>
  <c r="AS72" i="45" s="1"/>
  <c r="BG66" i="47"/>
  <c r="BG67" i="47" s="1"/>
  <c r="BG68" i="47" s="1"/>
  <c r="AL68" i="47"/>
  <c r="BO48" i="47"/>
  <c r="BO50" i="47" s="1"/>
  <c r="BO51" i="47" s="1"/>
  <c r="AN68" i="47"/>
  <c r="AL70" i="47" s="1"/>
  <c r="AL72" i="47" s="1"/>
  <c r="AU67" i="47"/>
  <c r="AS9" i="47" s="1"/>
  <c r="AS10" i="47" s="1"/>
  <c r="H25" i="48" s="1"/>
  <c r="I36" i="41" s="1"/>
  <c r="I43" i="41" s="1"/>
  <c r="I45" i="41" s="1"/>
  <c r="AS68" i="47"/>
  <c r="BN48" i="47"/>
  <c r="E87" i="41"/>
  <c r="AZ51" i="47"/>
  <c r="AZ66" i="47" s="1"/>
  <c r="AZ67" i="47" s="1"/>
  <c r="BB67" i="47" s="1"/>
  <c r="AZ9" i="47" s="1"/>
  <c r="BB51" i="47"/>
  <c r="AZ74" i="47" s="1"/>
  <c r="BP63" i="45"/>
  <c r="BP64" i="45" s="1"/>
  <c r="G14" i="25"/>
  <c r="H47" i="41"/>
  <c r="K38" i="41"/>
  <c r="L14" i="41"/>
  <c r="K39" i="41"/>
  <c r="K40" i="41"/>
  <c r="BP32" i="47"/>
  <c r="BN6" i="47"/>
  <c r="AZ67" i="45"/>
  <c r="BB67" i="45" s="1"/>
  <c r="AZ9" i="45" s="1"/>
  <c r="AZ10" i="45" s="1"/>
  <c r="I20" i="48" s="1"/>
  <c r="J35" i="41" s="1"/>
  <c r="D65" i="41"/>
  <c r="C66" i="41"/>
  <c r="BG66" i="45"/>
  <c r="C78" i="25"/>
  <c r="C72" i="25"/>
  <c r="AZ8" i="47"/>
  <c r="AZ73" i="47"/>
  <c r="D50" i="25"/>
  <c r="D52" i="25" s="1"/>
  <c r="D65" i="25"/>
  <c r="D43" i="25"/>
  <c r="C44" i="25"/>
  <c r="C113" i="25" s="1"/>
  <c r="AS74" i="47"/>
  <c r="AU66" i="47"/>
  <c r="BN63" i="47"/>
  <c r="BN64" i="47" s="1"/>
  <c r="BP46" i="47"/>
  <c r="BI63" i="47"/>
  <c r="BI64" i="47" s="1"/>
  <c r="B66" i="25"/>
  <c r="B97" i="25"/>
  <c r="B79" i="25"/>
  <c r="G42" i="25"/>
  <c r="F65" i="25"/>
  <c r="F50" i="25"/>
  <c r="F52" i="25" s="1"/>
  <c r="BH67" i="45"/>
  <c r="BH68" i="45" s="1"/>
  <c r="E65" i="25"/>
  <c r="E50" i="25"/>
  <c r="E52" i="25" s="1"/>
  <c r="BO63" i="47"/>
  <c r="BO64" i="47" s="1"/>
  <c r="BH50" i="47"/>
  <c r="BI50" i="47" s="1"/>
  <c r="B22" i="25"/>
  <c r="B29" i="25" s="1"/>
  <c r="B30" i="25" s="1"/>
  <c r="C27" i="25" s="1"/>
  <c r="BI66" i="45"/>
  <c r="BG74" i="45"/>
  <c r="BN64" i="45"/>
  <c r="BG73" i="45"/>
  <c r="BG8" i="45"/>
  <c r="B78" i="25"/>
  <c r="B72" i="25"/>
  <c r="BP48" i="45"/>
  <c r="BN50" i="45"/>
  <c r="BP50" i="45" s="1"/>
  <c r="BI48" i="47"/>
  <c r="BB68" i="45" l="1"/>
  <c r="AZ70" i="45" s="1"/>
  <c r="AZ72" i="45" s="1"/>
  <c r="AU68" i="47"/>
  <c r="AS70" i="47" s="1"/>
  <c r="AS72" i="47" s="1"/>
  <c r="AZ68" i="45"/>
  <c r="BP48" i="47"/>
  <c r="BN50" i="47"/>
  <c r="BN51" i="47" s="1"/>
  <c r="BN66" i="47" s="1"/>
  <c r="BP63" i="47"/>
  <c r="BP64" i="47" s="1"/>
  <c r="BN73" i="47" s="1"/>
  <c r="H14" i="25"/>
  <c r="H28" i="25" s="1"/>
  <c r="I47" i="41"/>
  <c r="AZ68" i="47"/>
  <c r="BB66" i="47"/>
  <c r="BB68" i="47" s="1"/>
  <c r="AZ70" i="47" s="1"/>
  <c r="AZ72" i="47" s="1"/>
  <c r="AZ10" i="47"/>
  <c r="I25" i="48" s="1"/>
  <c r="J36" i="41" s="1"/>
  <c r="J43" i="41" s="1"/>
  <c r="J45" i="41" s="1"/>
  <c r="BO66" i="47"/>
  <c r="B23" i="25"/>
  <c r="B25" i="25" s="1"/>
  <c r="BG8" i="47"/>
  <c r="BG73" i="47"/>
  <c r="H42" i="25"/>
  <c r="E43" i="25"/>
  <c r="D44" i="25"/>
  <c r="D113" i="25" s="1"/>
  <c r="D66" i="41"/>
  <c r="E65" i="41"/>
  <c r="BP50" i="47"/>
  <c r="BN51" i="45"/>
  <c r="BN66" i="45" s="1"/>
  <c r="BH51" i="47"/>
  <c r="BH66" i="47" s="1"/>
  <c r="E78" i="25"/>
  <c r="E72" i="25"/>
  <c r="F78" i="25"/>
  <c r="F72" i="25"/>
  <c r="D78" i="25"/>
  <c r="D72" i="25"/>
  <c r="BI51" i="47"/>
  <c r="BP51" i="45"/>
  <c r="BN73" i="45"/>
  <c r="BN8" i="45"/>
  <c r="BG67" i="45"/>
  <c r="BI67" i="45" s="1"/>
  <c r="BG9" i="45" s="1"/>
  <c r="BG10" i="45" s="1"/>
  <c r="J20" i="48" s="1"/>
  <c r="K35" i="41" s="1"/>
  <c r="L38" i="41"/>
  <c r="L39" i="41"/>
  <c r="L40" i="41"/>
  <c r="G28" i="25"/>
  <c r="G18" i="25"/>
  <c r="G48" i="25" s="1"/>
  <c r="G16" i="25"/>
  <c r="BN8" i="47" l="1"/>
  <c r="BP51" i="47"/>
  <c r="H18" i="25"/>
  <c r="H48" i="25" s="1"/>
  <c r="H50" i="25" s="1"/>
  <c r="H52" i="25" s="1"/>
  <c r="H16" i="25"/>
  <c r="BO67" i="47"/>
  <c r="BO68" i="47" s="1"/>
  <c r="B80" i="25"/>
  <c r="C51" i="41"/>
  <c r="C52" i="41" s="1"/>
  <c r="C53" i="41" s="1"/>
  <c r="B33" i="25"/>
  <c r="B90" i="25" s="1"/>
  <c r="B68" i="25"/>
  <c r="B70" i="25" s="1"/>
  <c r="B74" i="25" s="1"/>
  <c r="B98" i="25" s="1"/>
  <c r="BN67" i="47"/>
  <c r="BP66" i="45"/>
  <c r="BN74" i="45"/>
  <c r="BH67" i="47"/>
  <c r="BI67" i="47" s="1"/>
  <c r="BG9" i="47" s="1"/>
  <c r="BG10" i="47" s="1"/>
  <c r="J25" i="48" s="1"/>
  <c r="K36" i="41" s="1"/>
  <c r="K43" i="41" s="1"/>
  <c r="K45" i="41" s="1"/>
  <c r="F65" i="41"/>
  <c r="E66" i="41"/>
  <c r="F43" i="25"/>
  <c r="E44" i="25"/>
  <c r="E113" i="25" s="1"/>
  <c r="BN74" i="47"/>
  <c r="BP66" i="47"/>
  <c r="I14" i="25"/>
  <c r="J47" i="41"/>
  <c r="BG74" i="47"/>
  <c r="BI66" i="47"/>
  <c r="I42" i="25"/>
  <c r="G65" i="25"/>
  <c r="G50" i="25"/>
  <c r="G52" i="25" s="1"/>
  <c r="BI68" i="45"/>
  <c r="BG70" i="45" s="1"/>
  <c r="BG72" i="45" s="1"/>
  <c r="BG68" i="45"/>
  <c r="BN67" i="45"/>
  <c r="BP67" i="45" s="1"/>
  <c r="BN9" i="45" s="1"/>
  <c r="BN10" i="45" s="1"/>
  <c r="K20" i="48" s="1"/>
  <c r="L35" i="41" s="1"/>
  <c r="H65" i="25" l="1"/>
  <c r="H78" i="25" s="1"/>
  <c r="BP67" i="47"/>
  <c r="BN9" i="47" s="1"/>
  <c r="BN10" i="47" s="1"/>
  <c r="K25" i="48" s="1"/>
  <c r="L36" i="41" s="1"/>
  <c r="L43" i="41" s="1"/>
  <c r="L45" i="41" s="1"/>
  <c r="B73" i="25"/>
  <c r="B75" i="25" s="1"/>
  <c r="B81" i="25"/>
  <c r="B109" i="25" s="1"/>
  <c r="B127" i="25" s="1"/>
  <c r="B34" i="25"/>
  <c r="C32" i="25" s="1"/>
  <c r="B88" i="25"/>
  <c r="B107" i="25" s="1"/>
  <c r="J14" i="25"/>
  <c r="K47" i="41"/>
  <c r="G65" i="41"/>
  <c r="F66" i="41"/>
  <c r="BP68" i="45"/>
  <c r="BN70" i="45" s="1"/>
  <c r="BN72" i="45" s="1"/>
  <c r="BN68" i="45"/>
  <c r="G78" i="25"/>
  <c r="G72" i="25"/>
  <c r="BH68" i="47"/>
  <c r="BN68" i="47"/>
  <c r="H72" i="25"/>
  <c r="J42" i="25"/>
  <c r="BI68" i="47"/>
  <c r="BG70" i="47" s="1"/>
  <c r="BG72" i="47" s="1"/>
  <c r="I28" i="25"/>
  <c r="I18" i="25"/>
  <c r="I48" i="25" s="1"/>
  <c r="I16" i="25"/>
  <c r="G43" i="25"/>
  <c r="F44" i="25"/>
  <c r="F113" i="25" s="1"/>
  <c r="K14" i="25" l="1"/>
  <c r="K18" i="25" s="1"/>
  <c r="K48" i="25" s="1"/>
  <c r="L47" i="41"/>
  <c r="BP68" i="47"/>
  <c r="BN70" i="47" s="1"/>
  <c r="BN72" i="47" s="1"/>
  <c r="B99" i="25"/>
  <c r="B114" i="25"/>
  <c r="B115" i="25" s="1"/>
  <c r="B91" i="25"/>
  <c r="B57" i="25"/>
  <c r="B59" i="25" s="1"/>
  <c r="B117" i="25" s="1"/>
  <c r="B96" i="25"/>
  <c r="B82" i="25"/>
  <c r="B84" i="25" s="1"/>
  <c r="B118" i="25"/>
  <c r="G66" i="41"/>
  <c r="H65" i="41"/>
  <c r="H43" i="25"/>
  <c r="G44" i="25"/>
  <c r="G113" i="25" s="1"/>
  <c r="K42" i="25"/>
  <c r="I50" i="25"/>
  <c r="I52" i="25" s="1"/>
  <c r="I65" i="25"/>
  <c r="J16" i="25"/>
  <c r="J28" i="25"/>
  <c r="J18" i="25"/>
  <c r="J48" i="25" s="1"/>
  <c r="K16" i="25" l="1"/>
  <c r="K28" i="25"/>
  <c r="B100" i="25"/>
  <c r="B102" i="25" s="1"/>
  <c r="B108" i="25" s="1"/>
  <c r="B126" i="25" s="1"/>
  <c r="B128" i="25" s="1"/>
  <c r="C56" i="25"/>
  <c r="C61" i="25" s="1"/>
  <c r="C20" i="25" s="1"/>
  <c r="B119" i="25"/>
  <c r="K65" i="25"/>
  <c r="K50" i="25"/>
  <c r="K52" i="25" s="1"/>
  <c r="J65" i="25"/>
  <c r="J50" i="25"/>
  <c r="J52" i="25" s="1"/>
  <c r="H66" i="41"/>
  <c r="I65" i="41"/>
  <c r="I72" i="25"/>
  <c r="I78" i="25"/>
  <c r="I43" i="25"/>
  <c r="H44" i="25"/>
  <c r="H113" i="25" s="1"/>
  <c r="C67" i="25" l="1"/>
  <c r="C53" i="25"/>
  <c r="C54" i="25" s="1"/>
  <c r="C58" i="25" s="1"/>
  <c r="C79" i="25" s="1"/>
  <c r="B110" i="25"/>
  <c r="C106" i="25" s="1"/>
  <c r="J78" i="25"/>
  <c r="J72" i="25"/>
  <c r="J43" i="25"/>
  <c r="I44" i="25"/>
  <c r="I113" i="25" s="1"/>
  <c r="J65" i="41"/>
  <c r="I66" i="41"/>
  <c r="D48" i="41"/>
  <c r="D49" i="41" s="1"/>
  <c r="C21" i="25"/>
  <c r="K72" i="25"/>
  <c r="K78" i="25"/>
  <c r="C97" i="25" l="1"/>
  <c r="C66" i="25"/>
  <c r="B121" i="25"/>
  <c r="B122" i="25" s="1"/>
  <c r="J66" i="41"/>
  <c r="K65" i="41"/>
  <c r="K43" i="25"/>
  <c r="K44" i="25" s="1"/>
  <c r="K113" i="25" s="1"/>
  <c r="J44" i="25"/>
  <c r="J113" i="25" s="1"/>
  <c r="C22" i="25"/>
  <c r="C29" i="25" s="1"/>
  <c r="C30" i="25" s="1"/>
  <c r="D27" i="25" s="1"/>
  <c r="C23" i="25" l="1"/>
  <c r="C25" i="25" s="1"/>
  <c r="K66" i="41"/>
  <c r="L65" i="41"/>
  <c r="L66" i="41" s="1"/>
  <c r="D51" i="41" l="1"/>
  <c r="D52" i="41" s="1"/>
  <c r="D53" i="41" s="1"/>
  <c r="C68" i="25"/>
  <c r="C70" i="25" s="1"/>
  <c r="C73" i="25" s="1"/>
  <c r="C80" i="25"/>
  <c r="C33" i="25"/>
  <c r="C90" i="25" s="1"/>
  <c r="C88" i="25" l="1"/>
  <c r="C107" i="25" s="1"/>
  <c r="C81" i="25"/>
  <c r="C109" i="25" s="1"/>
  <c r="C127" i="25" s="1"/>
  <c r="C74" i="25"/>
  <c r="C98" i="25" s="1"/>
  <c r="C34" i="25"/>
  <c r="C118" i="25" s="1"/>
  <c r="C96" i="25"/>
  <c r="C57" i="25"/>
  <c r="C59" i="25" s="1"/>
  <c r="C91" i="25" l="1"/>
  <c r="C99" i="25"/>
  <c r="C100" i="25" s="1"/>
  <c r="C75" i="25"/>
  <c r="C82" i="25"/>
  <c r="C108" i="25"/>
  <c r="C126" i="25" s="1"/>
  <c r="C128" i="25" s="1"/>
  <c r="D32" i="25"/>
  <c r="C114" i="25"/>
  <c r="D56" i="25"/>
  <c r="D61" i="25" s="1"/>
  <c r="C117" i="25"/>
  <c r="C119" i="25" s="1"/>
  <c r="C102" i="25" l="1"/>
  <c r="C112" i="25" s="1"/>
  <c r="C115" i="25" s="1"/>
  <c r="C84" i="25"/>
  <c r="C110" i="25"/>
  <c r="C121" i="25" s="1"/>
  <c r="D67" i="25"/>
  <c r="D53" i="25"/>
  <c r="D54" i="25" s="1"/>
  <c r="D58" i="25" s="1"/>
  <c r="D20" i="25"/>
  <c r="C122" i="25" l="1"/>
  <c r="D106" i="25"/>
  <c r="E48" i="41"/>
  <c r="E49" i="41" s="1"/>
  <c r="D21" i="25"/>
  <c r="D79" i="25"/>
  <c r="D97" i="25"/>
  <c r="D66" i="25"/>
  <c r="D22" i="25" l="1"/>
  <c r="D29" i="25" s="1"/>
  <c r="D30" i="25" s="1"/>
  <c r="E27" i="25" s="1"/>
  <c r="D23" i="25" l="1"/>
  <c r="D25" i="25" s="1"/>
  <c r="D68" i="25" l="1"/>
  <c r="D70" i="25" s="1"/>
  <c r="D73" i="25" s="1"/>
  <c r="E51" i="41"/>
  <c r="E52" i="41" s="1"/>
  <c r="D88" i="25" s="1"/>
  <c r="D80" i="25"/>
  <c r="D33" i="25"/>
  <c r="D34" i="25" s="1"/>
  <c r="D81" i="25" l="1"/>
  <c r="D99" i="25" s="1"/>
  <c r="D74" i="25"/>
  <c r="D108" i="25" s="1"/>
  <c r="D126" i="25" s="1"/>
  <c r="E53" i="41"/>
  <c r="D90" i="25"/>
  <c r="D91" i="25" s="1"/>
  <c r="E32" i="25"/>
  <c r="D114" i="25"/>
  <c r="D118" i="25"/>
  <c r="D57" i="25"/>
  <c r="D59" i="25" s="1"/>
  <c r="D96" i="25"/>
  <c r="D107" i="25"/>
  <c r="D98" i="25" l="1"/>
  <c r="D100" i="25" s="1"/>
  <c r="D102" i="25" s="1"/>
  <c r="D112" i="25" s="1"/>
  <c r="D115" i="25" s="1"/>
  <c r="D82" i="25"/>
  <c r="D109" i="25"/>
  <c r="D127" i="25" s="1"/>
  <c r="D128" i="25" s="1"/>
  <c r="D75" i="25"/>
  <c r="E56" i="25"/>
  <c r="E61" i="25" s="1"/>
  <c r="D117" i="25"/>
  <c r="D119" i="25" s="1"/>
  <c r="D84" i="25" l="1"/>
  <c r="D110" i="25"/>
  <c r="D121" i="25" s="1"/>
  <c r="D122" i="25" s="1"/>
  <c r="E20" i="25"/>
  <c r="E67" i="25"/>
  <c r="E53" i="25"/>
  <c r="E54" i="25" s="1"/>
  <c r="E58" i="25" s="1"/>
  <c r="E106" i="25" l="1"/>
  <c r="E97" i="25"/>
  <c r="E79" i="25"/>
  <c r="E66" i="25"/>
  <c r="F48" i="41"/>
  <c r="F49" i="41" s="1"/>
  <c r="E21" i="25"/>
  <c r="E22" i="25" l="1"/>
  <c r="E29" i="25" s="1"/>
  <c r="E30" i="25" s="1"/>
  <c r="F27" i="25" s="1"/>
  <c r="E23" i="25" l="1"/>
  <c r="E25" i="25" s="1"/>
  <c r="E33" i="25" l="1"/>
  <c r="E34" i="25" s="1"/>
  <c r="E80" i="25"/>
  <c r="E68" i="25"/>
  <c r="E70" i="25" s="1"/>
  <c r="E81" i="25" s="1"/>
  <c r="F51" i="41"/>
  <c r="F52" i="41" s="1"/>
  <c r="E88" i="25" s="1"/>
  <c r="E90" i="25" l="1"/>
  <c r="E91" i="25" s="1"/>
  <c r="E82" i="25"/>
  <c r="F53" i="41"/>
  <c r="E73" i="25"/>
  <c r="E96" i="25" s="1"/>
  <c r="E74" i="25"/>
  <c r="E98" i="25" s="1"/>
  <c r="E114" i="25"/>
  <c r="E118" i="25"/>
  <c r="F32" i="25"/>
  <c r="E107" i="25"/>
  <c r="E109" i="25"/>
  <c r="E127" i="25" s="1"/>
  <c r="E99" i="25"/>
  <c r="E57" i="25" l="1"/>
  <c r="E59" i="25" s="1"/>
  <c r="E117" i="25" s="1"/>
  <c r="E119" i="25" s="1"/>
  <c r="E108" i="25"/>
  <c r="E126" i="25" s="1"/>
  <c r="E128" i="25" s="1"/>
  <c r="E75" i="25"/>
  <c r="E84" i="25" s="1"/>
  <c r="E100" i="25"/>
  <c r="E102" i="25" s="1"/>
  <c r="E112" i="25" s="1"/>
  <c r="E115" i="25" s="1"/>
  <c r="E110" i="25" l="1"/>
  <c r="F106" i="25" s="1"/>
  <c r="F56" i="25"/>
  <c r="F61" i="25" s="1"/>
  <c r="F53" i="25" s="1"/>
  <c r="F54" i="25" s="1"/>
  <c r="F58" i="25" s="1"/>
  <c r="E121" i="25" l="1"/>
  <c r="E122" i="25" s="1"/>
  <c r="F67" i="25"/>
  <c r="F20" i="25"/>
  <c r="F66" i="25"/>
  <c r="F79" i="25"/>
  <c r="F97" i="25"/>
  <c r="F21" i="25" l="1"/>
  <c r="F22" i="25" s="1"/>
  <c r="F29" i="25" s="1"/>
  <c r="F30" i="25" s="1"/>
  <c r="G27" i="25" s="1"/>
  <c r="G48" i="41"/>
  <c r="G49" i="41" s="1"/>
  <c r="F23" i="25" l="1"/>
  <c r="F25" i="25" s="1"/>
  <c r="G51" i="41" l="1"/>
  <c r="G52" i="41" s="1"/>
  <c r="F88" i="25" s="1"/>
  <c r="F107" i="25" s="1"/>
  <c r="F68" i="25"/>
  <c r="F70" i="25" s="1"/>
  <c r="F81" i="25" s="1"/>
  <c r="F80" i="25"/>
  <c r="F33" i="25"/>
  <c r="F90" i="25" s="1"/>
  <c r="F91" i="25" l="1"/>
  <c r="F74" i="25"/>
  <c r="F108" i="25" s="1"/>
  <c r="F34" i="25"/>
  <c r="F114" i="25" s="1"/>
  <c r="F73" i="25"/>
  <c r="F96" i="25" s="1"/>
  <c r="F82" i="25"/>
  <c r="F99" i="25"/>
  <c r="F109" i="25"/>
  <c r="F127" i="25" s="1"/>
  <c r="F118" i="25" l="1"/>
  <c r="F98" i="25"/>
  <c r="F100" i="25" s="1"/>
  <c r="F102" i="25" s="1"/>
  <c r="F112" i="25" s="1"/>
  <c r="F115" i="25" s="1"/>
  <c r="G32" i="25"/>
  <c r="F75" i="25"/>
  <c r="F84" i="25" s="1"/>
  <c r="F57" i="25"/>
  <c r="F59" i="25" s="1"/>
  <c r="F117" i="25" s="1"/>
  <c r="F126" i="25"/>
  <c r="F128" i="25" s="1"/>
  <c r="F110" i="25"/>
  <c r="F119" i="25" l="1"/>
  <c r="G56" i="25"/>
  <c r="G61" i="25" s="1"/>
  <c r="G53" i="25" s="1"/>
  <c r="G54" i="25" s="1"/>
  <c r="G58" i="25" s="1"/>
  <c r="G79" i="25" s="1"/>
  <c r="G106" i="25"/>
  <c r="F121" i="25"/>
  <c r="F122" i="25" l="1"/>
  <c r="G66" i="25"/>
  <c r="G97" i="25"/>
  <c r="G67" i="25"/>
  <c r="G20" i="25"/>
  <c r="H48" i="41" l="1"/>
  <c r="H49" i="41" s="1"/>
  <c r="G21" i="25"/>
  <c r="G22" i="25" s="1"/>
  <c r="G29" i="25" s="1"/>
  <c r="G30" i="25" s="1"/>
  <c r="H27" i="25" s="1"/>
  <c r="G23" i="25" l="1"/>
  <c r="G25" i="25" s="1"/>
  <c r="G80" i="25" l="1"/>
  <c r="H51" i="41"/>
  <c r="H52" i="41" s="1"/>
  <c r="G88" i="25" s="1"/>
  <c r="G107" i="25" s="1"/>
  <c r="G33" i="25"/>
  <c r="G90" i="25" s="1"/>
  <c r="G68" i="25"/>
  <c r="G70" i="25" s="1"/>
  <c r="G81" i="25" s="1"/>
  <c r="G82" i="25" l="1"/>
  <c r="G74" i="25"/>
  <c r="G108" i="25" s="1"/>
  <c r="G126" i="25" s="1"/>
  <c r="G34" i="25"/>
  <c r="H32" i="25" s="1"/>
  <c r="G73" i="25"/>
  <c r="G96" i="25" s="1"/>
  <c r="G91" i="25"/>
  <c r="G99" i="25"/>
  <c r="G109" i="25"/>
  <c r="G127" i="25" s="1"/>
  <c r="G98" i="25" l="1"/>
  <c r="G100" i="25" s="1"/>
  <c r="G102" i="25" s="1"/>
  <c r="G112" i="25" s="1"/>
  <c r="G114" i="25"/>
  <c r="G118" i="25"/>
  <c r="G57" i="25"/>
  <c r="G59" i="25" s="1"/>
  <c r="H56" i="25" s="1"/>
  <c r="G75" i="25"/>
  <c r="G84" i="25" s="1"/>
  <c r="G128" i="25"/>
  <c r="G110" i="25"/>
  <c r="G117" i="25" l="1"/>
  <c r="G119" i="25" s="1"/>
  <c r="G115" i="25"/>
  <c r="H106" i="25"/>
  <c r="G121" i="25"/>
  <c r="H61" i="25"/>
  <c r="H53" i="25" l="1"/>
  <c r="H54" i="25" s="1"/>
  <c r="H58" i="25" s="1"/>
  <c r="H67" i="25"/>
  <c r="H20" i="25"/>
  <c r="G122" i="25"/>
  <c r="I48" i="41" l="1"/>
  <c r="I49" i="41" s="1"/>
  <c r="H21" i="25"/>
  <c r="H66" i="25"/>
  <c r="H79" i="25"/>
  <c r="H97" i="25"/>
  <c r="H22" i="25" l="1"/>
  <c r="H29" i="25" s="1"/>
  <c r="H30" i="25" s="1"/>
  <c r="I27" i="25" s="1"/>
  <c r="H23" i="25" l="1"/>
  <c r="H25" i="25" s="1"/>
  <c r="H33" i="25" l="1"/>
  <c r="H80" i="25"/>
  <c r="I51" i="41"/>
  <c r="I52" i="41" s="1"/>
  <c r="H88" i="25" s="1"/>
  <c r="H68" i="25"/>
  <c r="H70" i="25" s="1"/>
  <c r="H107" i="25" l="1"/>
  <c r="H73" i="25"/>
  <c r="H74" i="25"/>
  <c r="H81" i="25"/>
  <c r="H82" i="25" s="1"/>
  <c r="H90" i="25"/>
  <c r="H91" i="25" s="1"/>
  <c r="H34" i="25"/>
  <c r="H108" i="25" l="1"/>
  <c r="H126" i="25" s="1"/>
  <c r="H98" i="25"/>
  <c r="H75" i="25"/>
  <c r="H84" i="25" s="1"/>
  <c r="H57" i="25"/>
  <c r="H59" i="25" s="1"/>
  <c r="H96" i="25"/>
  <c r="H114" i="25"/>
  <c r="I32" i="25"/>
  <c r="H118" i="25"/>
  <c r="H99" i="25"/>
  <c r="H109" i="25"/>
  <c r="H127" i="25" s="1"/>
  <c r="H110" i="25" l="1"/>
  <c r="I106" i="25" s="1"/>
  <c r="H100" i="25"/>
  <c r="H102" i="25" s="1"/>
  <c r="H112" i="25" s="1"/>
  <c r="H128" i="25"/>
  <c r="H117" i="25"/>
  <c r="H119" i="25" s="1"/>
  <c r="I56" i="25"/>
  <c r="H121" i="25" l="1"/>
  <c r="H115" i="25"/>
  <c r="I61" i="25"/>
  <c r="H122" i="25" l="1"/>
  <c r="I20" i="25"/>
  <c r="I53" i="25"/>
  <c r="I54" i="25" s="1"/>
  <c r="I58" i="25" s="1"/>
  <c r="I67" i="25"/>
  <c r="I79" i="25" l="1"/>
  <c r="I66" i="25"/>
  <c r="I97" i="25"/>
  <c r="J48" i="41"/>
  <c r="J49" i="41" s="1"/>
  <c r="I21" i="25"/>
  <c r="I22" i="25" l="1"/>
  <c r="I29" i="25" s="1"/>
  <c r="I30" i="25" s="1"/>
  <c r="J27" i="25" s="1"/>
  <c r="I23" i="25" l="1"/>
  <c r="I25" i="25" s="1"/>
  <c r="J51" i="41" l="1"/>
  <c r="J52" i="41" s="1"/>
  <c r="I88" i="25" s="1"/>
  <c r="I68" i="25"/>
  <c r="I70" i="25" s="1"/>
  <c r="I80" i="25"/>
  <c r="I33" i="25"/>
  <c r="I73" i="25" l="1"/>
  <c r="I81" i="25"/>
  <c r="I74" i="25"/>
  <c r="I90" i="25"/>
  <c r="I91" i="25" s="1"/>
  <c r="I34" i="25"/>
  <c r="I107" i="25"/>
  <c r="I108" i="25" l="1"/>
  <c r="I126" i="25" s="1"/>
  <c r="I98" i="25"/>
  <c r="I109" i="25"/>
  <c r="I127" i="25" s="1"/>
  <c r="I99" i="25"/>
  <c r="I82" i="25"/>
  <c r="J32" i="25"/>
  <c r="I118" i="25"/>
  <c r="I114" i="25"/>
  <c r="I57" i="25"/>
  <c r="I59" i="25" s="1"/>
  <c r="I96" i="25"/>
  <c r="I75" i="25"/>
  <c r="I100" i="25" l="1"/>
  <c r="I102" i="25" s="1"/>
  <c r="I112" i="25" s="1"/>
  <c r="I115" i="25" s="1"/>
  <c r="I128" i="25"/>
  <c r="I110" i="25"/>
  <c r="J56" i="25"/>
  <c r="I117" i="25"/>
  <c r="I119" i="25" s="1"/>
  <c r="I84" i="25"/>
  <c r="I121" i="25" l="1"/>
  <c r="I122" i="25" s="1"/>
  <c r="J106" i="25"/>
  <c r="J61" i="25"/>
  <c r="J67" i="25" l="1"/>
  <c r="J53" i="25"/>
  <c r="J54" i="25" s="1"/>
  <c r="J58" i="25" s="1"/>
  <c r="J20" i="25"/>
  <c r="K48" i="41" l="1"/>
  <c r="K49" i="41" s="1"/>
  <c r="J21" i="25"/>
  <c r="J79" i="25"/>
  <c r="J97" i="25"/>
  <c r="J66" i="25"/>
  <c r="J22" i="25" l="1"/>
  <c r="J29" i="25" s="1"/>
  <c r="J30" i="25" s="1"/>
  <c r="K27" i="25" s="1"/>
  <c r="J23" i="25" l="1"/>
  <c r="J25" i="25" s="1"/>
  <c r="K51" i="41" l="1"/>
  <c r="K52" i="41" s="1"/>
  <c r="J88" i="25" s="1"/>
  <c r="J68" i="25"/>
  <c r="J70" i="25" s="1"/>
  <c r="J33" i="25"/>
  <c r="J80" i="25"/>
  <c r="J73" i="25" l="1"/>
  <c r="J74" i="25"/>
  <c r="J81" i="25"/>
  <c r="J82" i="25" s="1"/>
  <c r="J90" i="25"/>
  <c r="J91" i="25" s="1"/>
  <c r="J34" i="25"/>
  <c r="J107" i="25"/>
  <c r="J109" i="25" l="1"/>
  <c r="J127" i="25" s="1"/>
  <c r="J99" i="25"/>
  <c r="J114" i="25"/>
  <c r="J118" i="25"/>
  <c r="K32" i="25"/>
  <c r="J98" i="25"/>
  <c r="J108" i="25"/>
  <c r="J126" i="25" s="1"/>
  <c r="J57" i="25"/>
  <c r="J59" i="25" s="1"/>
  <c r="J75" i="25"/>
  <c r="J84" i="25" s="1"/>
  <c r="J96" i="25"/>
  <c r="J100" i="25" l="1"/>
  <c r="J102" i="25" s="1"/>
  <c r="J112" i="25" s="1"/>
  <c r="J115" i="25" s="1"/>
  <c r="J128" i="25"/>
  <c r="J117" i="25"/>
  <c r="J119" i="25" s="1"/>
  <c r="K56" i="25"/>
  <c r="J110" i="25"/>
  <c r="K61" i="25" l="1"/>
  <c r="K106" i="25"/>
  <c r="J121" i="25"/>
  <c r="J122" i="25" s="1"/>
  <c r="K53" i="25" l="1"/>
  <c r="K54" i="25" s="1"/>
  <c r="K58" i="25" s="1"/>
  <c r="K67" i="25"/>
  <c r="K20" i="25"/>
  <c r="K66" i="25" l="1"/>
  <c r="K97" i="25"/>
  <c r="K79" i="25"/>
  <c r="L48" i="41"/>
  <c r="L49" i="41" s="1"/>
  <c r="K21" i="25"/>
  <c r="K22" i="25" l="1"/>
  <c r="K29" i="25" s="1"/>
  <c r="K30" i="25" s="1"/>
  <c r="K23" i="25" l="1"/>
  <c r="K25" i="25" s="1"/>
  <c r="L51" i="41" l="1"/>
  <c r="L52" i="41" s="1"/>
  <c r="K88" i="25" s="1"/>
  <c r="K68" i="25"/>
  <c r="K70" i="25" s="1"/>
  <c r="K80" i="25"/>
  <c r="K33" i="25"/>
  <c r="K90" i="25" l="1"/>
  <c r="K91" i="25" s="1"/>
  <c r="K34" i="25"/>
  <c r="K74" i="25"/>
  <c r="K81" i="25"/>
  <c r="K73" i="25"/>
  <c r="K107" i="25"/>
  <c r="K108" i="25" l="1"/>
  <c r="K126" i="25" s="1"/>
  <c r="K98" i="25"/>
  <c r="K118" i="25"/>
  <c r="K114" i="25"/>
  <c r="K57" i="25"/>
  <c r="K59" i="25" s="1"/>
  <c r="K117" i="25" s="1"/>
  <c r="K75" i="25"/>
  <c r="K96" i="25"/>
  <c r="K109" i="25"/>
  <c r="K127" i="25" s="1"/>
  <c r="K99" i="25"/>
  <c r="K82" i="25"/>
  <c r="K119" i="25" l="1"/>
  <c r="K84" i="25"/>
  <c r="K128" i="25"/>
  <c r="E7" i="25" s="1"/>
  <c r="K100" i="25"/>
  <c r="K102" i="25" s="1"/>
  <c r="K112" i="25" s="1"/>
  <c r="K115" i="25" s="1"/>
  <c r="K110" i="25"/>
  <c r="K121" i="25" s="1"/>
  <c r="E6" i="25" l="1"/>
  <c r="K12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tc={61403067-FB2F-47F6-9388-B02CAC70040F}</author>
    <author>tc={F62149CB-A9EF-486C-9281-56239F8AB105}</author>
  </authors>
  <commentList>
    <comment ref="J93" authorId="0" shapeId="0" xr:uid="{61403067-FB2F-47F6-9388-B02CAC7004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monthly customer</t>
      </text>
    </comment>
    <comment ref="H96" authorId="1" shapeId="0" xr:uid="{F62149CB-A9EF-486C-9281-56239F8A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Energy Delivery Charges</t>
      </text>
    </comment>
  </commentList>
</comments>
</file>

<file path=xl/sharedStrings.xml><?xml version="1.0" encoding="utf-8"?>
<sst xmlns="http://schemas.openxmlformats.org/spreadsheetml/2006/main" count="3833" uniqueCount="354">
  <si>
    <t>Con Edison</t>
  </si>
  <si>
    <t>Curbside EV charging demonstration project -- demonstration pro forma financials</t>
  </si>
  <si>
    <t>DRAFT AND CONFIDENTIAL</t>
  </si>
  <si>
    <t>Project development</t>
  </si>
  <si>
    <t>*Note: The NYC DOT pilot agreement allows for three year term with option to add an additional year*</t>
  </si>
  <si>
    <t>Public sites</t>
  </si>
  <si>
    <t>City Sites</t>
  </si>
  <si>
    <t>cumulative</t>
  </si>
  <si>
    <t>Public chargers</t>
  </si>
  <si>
    <t>City chargers</t>
  </si>
  <si>
    <t>Public Utilization</t>
  </si>
  <si>
    <t>City fleet utilization</t>
  </si>
  <si>
    <t>Public hours (annual)</t>
  </si>
  <si>
    <t>City hours (annual)</t>
  </si>
  <si>
    <t>Income Statement</t>
  </si>
  <si>
    <t>Revenues</t>
  </si>
  <si>
    <t>Public charging sales</t>
  </si>
  <si>
    <t>City charging sales</t>
  </si>
  <si>
    <t>Gross Revenue</t>
  </si>
  <si>
    <t>Revenue Collection fee (public)</t>
  </si>
  <si>
    <t>Revenue Collection fee (City)</t>
  </si>
  <si>
    <t>Revenue collection fee</t>
  </si>
  <si>
    <t>Net sales revenue</t>
  </si>
  <si>
    <t>Costs</t>
  </si>
  <si>
    <t>Utility bills (Public)</t>
  </si>
  <si>
    <t>ConEd</t>
  </si>
  <si>
    <t>Utility bills (City)</t>
  </si>
  <si>
    <t>NYC Fleet payment</t>
  </si>
  <si>
    <t xml:space="preserve">Network services </t>
  </si>
  <si>
    <t>AE/Flo</t>
  </si>
  <si>
    <t>Support agreeement</t>
  </si>
  <si>
    <t>General Inspection and Maintenance</t>
  </si>
  <si>
    <t>Project management</t>
  </si>
  <si>
    <t>Marketing and outreach</t>
  </si>
  <si>
    <t>Operating Expense</t>
  </si>
  <si>
    <t>EBITDA</t>
  </si>
  <si>
    <t>Depreciation Expense</t>
  </si>
  <si>
    <t>EBIT</t>
  </si>
  <si>
    <t>Interest expense</t>
  </si>
  <si>
    <t>Pre-tax income</t>
  </si>
  <si>
    <t>Provision for tax</t>
  </si>
  <si>
    <t>Net Income</t>
  </si>
  <si>
    <t>Cumulative</t>
  </si>
  <si>
    <t>Capex</t>
  </si>
  <si>
    <t>Design / Construction / Installation</t>
  </si>
  <si>
    <t>EVSE - master</t>
  </si>
  <si>
    <t>EVSE - auxillary</t>
  </si>
  <si>
    <t>Charge Ready NY Rebate</t>
  </si>
  <si>
    <t>Capex Total</t>
  </si>
  <si>
    <t xml:space="preserve">Total capex </t>
  </si>
  <si>
    <t>PPE</t>
  </si>
  <si>
    <t>Accumulated Depreciation</t>
  </si>
  <si>
    <t>Net PPE</t>
  </si>
  <si>
    <t>Cost share</t>
  </si>
  <si>
    <t>Con Edison revenue (City + 50% Public)</t>
  </si>
  <si>
    <t>AddEnergie revenue (50% Public)</t>
  </si>
  <si>
    <t>Revenue Total</t>
  </si>
  <si>
    <t>Con Edison O&amp;M</t>
  </si>
  <si>
    <t>AddEnergie O&amp;M</t>
  </si>
  <si>
    <t>O&amp;M Total</t>
  </si>
  <si>
    <t>Con Edison capex</t>
  </si>
  <si>
    <t>AddEnergie capex</t>
  </si>
  <si>
    <t>Con Edison net gain (loss)</t>
  </si>
  <si>
    <t>4-yr total</t>
  </si>
  <si>
    <t>Con Ed</t>
  </si>
  <si>
    <t>AddEnergie</t>
  </si>
  <si>
    <t>Sum</t>
  </si>
  <si>
    <t>AddEnergie net gain (loss)</t>
  </si>
  <si>
    <t>Public EVSE</t>
  </si>
  <si>
    <t>Model utilization</t>
  </si>
  <si>
    <t>Lo</t>
  </si>
  <si>
    <t>I.</t>
  </si>
  <si>
    <t>Common</t>
  </si>
  <si>
    <t>Year</t>
  </si>
  <si>
    <t>Utilization</t>
  </si>
  <si>
    <t>Charger kW</t>
  </si>
  <si>
    <t>Diversity</t>
  </si>
  <si>
    <t>Public parking days</t>
  </si>
  <si>
    <t>City parking days</t>
  </si>
  <si>
    <t>"Lo" scenario utilization</t>
  </si>
  <si>
    <t xml:space="preserve">II. </t>
  </si>
  <si>
    <t>Demonstration deployment</t>
  </si>
  <si>
    <t>public sites</t>
  </si>
  <si>
    <t>City sites</t>
  </si>
  <si>
    <t>L2 per site</t>
  </si>
  <si>
    <t>Master</t>
  </si>
  <si>
    <t>Auxillary</t>
  </si>
  <si>
    <t>"Hi" scenario utilization</t>
  </si>
  <si>
    <t>total L2</t>
  </si>
  <si>
    <t>III.</t>
  </si>
  <si>
    <t>Pricing Assumptions</t>
  </si>
  <si>
    <t>City Fleet EVSE</t>
  </si>
  <si>
    <t>Public</t>
  </si>
  <si>
    <t>Charging $ / hr</t>
  </si>
  <si>
    <t>hr / session</t>
  </si>
  <si>
    <t>kWh dispensed</t>
  </si>
  <si>
    <t>$ / kWh</t>
  </si>
  <si>
    <t>$/gal equivalent</t>
  </si>
  <si>
    <t>&lt;--Chevy Bolt vs Chevy Cruze city mpg</t>
  </si>
  <si>
    <t>City</t>
  </si>
  <si>
    <t>Con Ed Revenue Share</t>
  </si>
  <si>
    <t>II.</t>
  </si>
  <si>
    <t>Design / Construction</t>
  </si>
  <si>
    <t>EVSE equipment</t>
  </si>
  <si>
    <t>Count</t>
  </si>
  <si>
    <t>Unit cost</t>
  </si>
  <si>
    <t>&lt;-- Draft term sheet</t>
  </si>
  <si>
    <t>total</t>
  </si>
  <si>
    <t>Installation</t>
  </si>
  <si>
    <t>&lt;--AE/Flo proposal</t>
  </si>
  <si>
    <t>Cost per dual-unit post DRAFT</t>
  </si>
  <si>
    <t>Total</t>
  </si>
  <si>
    <t>Master (36)</t>
  </si>
  <si>
    <t>Auxillary (24)</t>
  </si>
  <si>
    <t>Design / Engineering</t>
  </si>
  <si>
    <t>&lt;-- ED EVSE project 2x</t>
  </si>
  <si>
    <t>Construction contracts</t>
  </si>
  <si>
    <t>&lt;-- EV demo budget  Aug 2018</t>
  </si>
  <si>
    <t>Material and supplies</t>
  </si>
  <si>
    <t>&lt;-- EV demo budget  0.5x</t>
  </si>
  <si>
    <t>Permits</t>
  </si>
  <si>
    <t>Project and construction management</t>
  </si>
  <si>
    <t>Utility interconnection</t>
  </si>
  <si>
    <t>N/A</t>
  </si>
  <si>
    <t>EVSE installation</t>
  </si>
  <si>
    <t>See above per AE/Flo proposal</t>
  </si>
  <si>
    <t>Contingency</t>
  </si>
  <si>
    <t xml:space="preserve">&lt;-- per Central Engineering. </t>
  </si>
  <si>
    <t>Charge Ready NY Rebate (per unit)</t>
  </si>
  <si>
    <t>Public as %</t>
  </si>
  <si>
    <t>City as %</t>
  </si>
  <si>
    <t>IV.</t>
  </si>
  <si>
    <t>Operating Costs</t>
  </si>
  <si>
    <t>NYC Fleet payment (monthly)</t>
  </si>
  <si>
    <t>Network services (annual per EVSE)</t>
  </si>
  <si>
    <t>Support agreeement (annual per EVSE)</t>
  </si>
  <si>
    <t>Units</t>
  </si>
  <si>
    <t>* COSTS ARE CONFIDENTIAL*</t>
  </si>
  <si>
    <t>Replacement parts</t>
  </si>
  <si>
    <t>&lt;-----------------</t>
  </si>
  <si>
    <t>Master unit replacement (2)
Auxillary unit replacement (4)
TUXEDO Panel (2)
Charging head (5)
Hose clamp (25)
J1772 connector (25)
Counterweight (25)
Top head assembly (10)</t>
  </si>
  <si>
    <t>Marketing and outreach (annual)</t>
  </si>
  <si>
    <t>&lt;- per unit</t>
  </si>
  <si>
    <t>Internal O&amp;M</t>
  </si>
  <si>
    <t>External O&amp;M</t>
  </si>
  <si>
    <t>&lt;--physical inspection and maintenance</t>
  </si>
  <si>
    <t>&lt;--CECONY project management, engineering, internal resources</t>
  </si>
  <si>
    <t>1st year</t>
  </si>
  <si>
    <t>&lt;- Assume high at start</t>
  </si>
  <si>
    <t>2nd year</t>
  </si>
  <si>
    <t>/</t>
  </si>
  <si>
    <t>V</t>
  </si>
  <si>
    <t>CECONY Rates - SC9</t>
  </si>
  <si>
    <t>CECONY Rates - SC2</t>
  </si>
  <si>
    <t>years</t>
  </si>
  <si>
    <t>Metering charges</t>
  </si>
  <si>
    <t>Basis</t>
  </si>
  <si>
    <t>BPP</t>
  </si>
  <si>
    <t>monthly</t>
  </si>
  <si>
    <t>$</t>
  </si>
  <si>
    <t>Metering</t>
  </si>
  <si>
    <t>Customer charge</t>
  </si>
  <si>
    <t>Demand  charges</t>
  </si>
  <si>
    <t>JJAS</t>
  </si>
  <si>
    <t>Other</t>
  </si>
  <si>
    <t>first 5 kW</t>
  </si>
  <si>
    <t>next kW</t>
  </si>
  <si>
    <t>Delivery - ($/kWh)</t>
  </si>
  <si>
    <t>Other delivery charges</t>
  </si>
  <si>
    <t>RDM</t>
  </si>
  <si>
    <t>zero</t>
  </si>
  <si>
    <t>DRS</t>
  </si>
  <si>
    <t>MAC</t>
  </si>
  <si>
    <t>12-mo avg (ending June 18)</t>
  </si>
  <si>
    <t>$/kWh</t>
  </si>
  <si>
    <t>MAC Adj - MAC Rec</t>
  </si>
  <si>
    <t xml:space="preserve">        UB</t>
  </si>
  <si>
    <t xml:space="preserve">      Trans Adj</t>
  </si>
  <si>
    <t>SBC - EE Tracker</t>
  </si>
  <si>
    <t>current rate (June 18)</t>
  </si>
  <si>
    <t>SBC - CEF Surcharge</t>
  </si>
  <si>
    <t>TSAS</t>
  </si>
  <si>
    <t>Delivery GRT</t>
  </si>
  <si>
    <t>Supply charges</t>
  </si>
  <si>
    <t>MSC Demand (kW)</t>
  </si>
  <si>
    <t>$/kW</t>
  </si>
  <si>
    <t>MSC Energy (kWh)</t>
  </si>
  <si>
    <t>MSC I</t>
  </si>
  <si>
    <t>MSC II</t>
  </si>
  <si>
    <t>RECs and ACPs</t>
  </si>
  <si>
    <t>ZECs</t>
  </si>
  <si>
    <t>MFC</t>
  </si>
  <si>
    <t>Commodity GRT</t>
  </si>
  <si>
    <t>Sales Tax</t>
  </si>
  <si>
    <t>current rate (May'17)</t>
  </si>
  <si>
    <t>VI.</t>
  </si>
  <si>
    <t>Financing</t>
  </si>
  <si>
    <t>%</t>
  </si>
  <si>
    <t>ROI</t>
  </si>
  <si>
    <t>Equity</t>
  </si>
  <si>
    <t>Debt</t>
  </si>
  <si>
    <t>units per</t>
  </si>
  <si>
    <t>formula--&gt;</t>
  </si>
  <si>
    <t>Public stations</t>
  </si>
  <si>
    <t>Utility bill summary</t>
  </si>
  <si>
    <t>City stations</t>
  </si>
  <si>
    <t>kWh sold</t>
  </si>
  <si>
    <t>Peak kW</t>
  </si>
  <si>
    <t>Demand</t>
  </si>
  <si>
    <t>Energy</t>
  </si>
  <si>
    <t>Supply</t>
  </si>
  <si>
    <t>Other utility</t>
  </si>
  <si>
    <t>Billing determinants</t>
  </si>
  <si>
    <t>No. Chargers per site</t>
  </si>
  <si>
    <t>kW</t>
  </si>
  <si>
    <t>With Diversity</t>
  </si>
  <si>
    <t>Daily Utl</t>
  </si>
  <si>
    <t>Hrs</t>
  </si>
  <si>
    <t>Days</t>
  </si>
  <si>
    <t>Monthly kWh</t>
  </si>
  <si>
    <t>Rates</t>
  </si>
  <si>
    <t>Demand charge</t>
  </si>
  <si>
    <t>Meter charges ($/month)</t>
  </si>
  <si>
    <t>Bill Summary</t>
  </si>
  <si>
    <t>Monthly</t>
  </si>
  <si>
    <t>Summer</t>
  </si>
  <si>
    <t>Winter</t>
  </si>
  <si>
    <t>Annual</t>
  </si>
  <si>
    <t>Demand Charge</t>
  </si>
  <si>
    <t>Volume Charge</t>
  </si>
  <si>
    <t>Metering Services</t>
  </si>
  <si>
    <t>Delivery and metering</t>
  </si>
  <si>
    <t>Additional Delivery Charges</t>
  </si>
  <si>
    <t xml:space="preserve">Subtotal </t>
  </si>
  <si>
    <t>Subtotal Delivery before GRT</t>
  </si>
  <si>
    <t>current rate (July'17)</t>
  </si>
  <si>
    <t>Total Delivery</t>
  </si>
  <si>
    <t>Supply Charges</t>
  </si>
  <si>
    <t>Supply GRT</t>
  </si>
  <si>
    <t>Total Supply</t>
  </si>
  <si>
    <t>Total before sales tax</t>
  </si>
  <si>
    <t>Sales tax</t>
  </si>
  <si>
    <t>Total Bill</t>
  </si>
  <si>
    <t>Annualized Monthly Price</t>
  </si>
  <si>
    <t>Monthly usage</t>
  </si>
  <si>
    <t xml:space="preserve">Average price (cents per kWh) </t>
  </si>
  <si>
    <t xml:space="preserve">Average Supply Price (Dollars per kWh) </t>
  </si>
  <si>
    <t>Delivery Price (Dollars per kWh)</t>
  </si>
  <si>
    <t>Fixed charges ($/month)</t>
  </si>
  <si>
    <t>Income Tax %</t>
  </si>
  <si>
    <t>WACC (minimum return)</t>
  </si>
  <si>
    <t>Debt Service Coverage Ratio</t>
  </si>
  <si>
    <t>Returns</t>
  </si>
  <si>
    <t>IRR</t>
  </si>
  <si>
    <t>NPV</t>
  </si>
  <si>
    <t>Taxes</t>
  </si>
  <si>
    <t xml:space="preserve">Pre-tax income </t>
  </si>
  <si>
    <t>Income tax (%)</t>
  </si>
  <si>
    <t>Tax (book)</t>
  </si>
  <si>
    <t>(-) Depreciation (tax)</t>
  </si>
  <si>
    <t>(-) Interest expense</t>
  </si>
  <si>
    <t>(-) NOLS</t>
  </si>
  <si>
    <t>Adj. Taxable income</t>
  </si>
  <si>
    <t>Income tax rate</t>
  </si>
  <si>
    <t>Tax (cash)</t>
  </si>
  <si>
    <t>Beginning NOL</t>
  </si>
  <si>
    <t>(+) Additional NOLs</t>
  </si>
  <si>
    <t>(-) Use of NOLS</t>
  </si>
  <si>
    <t>Ending NOL</t>
  </si>
  <si>
    <t>Beg. DTA/(DTL)</t>
  </si>
  <si>
    <t>(+/-) Deferred tax</t>
  </si>
  <si>
    <t>End. DTA/(DTL)</t>
  </si>
  <si>
    <t>EVSE</t>
  </si>
  <si>
    <t>(-) Capex</t>
  </si>
  <si>
    <t>CFADS</t>
  </si>
  <si>
    <t>DSCR</t>
  </si>
  <si>
    <t>Debt Service</t>
  </si>
  <si>
    <t>(-) Interest</t>
  </si>
  <si>
    <t>Cash available for principle</t>
  </si>
  <si>
    <t>Beginning debt</t>
  </si>
  <si>
    <t>(+) New debt</t>
  </si>
  <si>
    <t>(-) Principle payments</t>
  </si>
  <si>
    <t>Ending debt</t>
  </si>
  <si>
    <t>Interest</t>
  </si>
  <si>
    <t>Sources and Uses</t>
  </si>
  <si>
    <t xml:space="preserve">(-) Cash tax </t>
  </si>
  <si>
    <t>Cash available for release</t>
  </si>
  <si>
    <t>Sources: EBITDA</t>
  </si>
  <si>
    <t>Sources: debt</t>
  </si>
  <si>
    <t>&lt;-- the demo funds operations for three years</t>
  </si>
  <si>
    <t>Sources: equity</t>
  </si>
  <si>
    <t>Total sources:</t>
  </si>
  <si>
    <t>Uses: Capex</t>
  </si>
  <si>
    <t>Uses: Work Capital</t>
  </si>
  <si>
    <t>Uses: Debt Service</t>
  </si>
  <si>
    <t>Uses: Tax</t>
  </si>
  <si>
    <t>Uses: Equity Returns</t>
  </si>
  <si>
    <t>Total Uses</t>
  </si>
  <si>
    <t>Check</t>
  </si>
  <si>
    <t>Cash Flow Statement</t>
  </si>
  <si>
    <t>(+) Depreciation</t>
  </si>
  <si>
    <t>(+) Deferred tax</t>
  </si>
  <si>
    <t>Cash from operations</t>
  </si>
  <si>
    <t xml:space="preserve">(-) Capex </t>
  </si>
  <si>
    <t>&lt;-- project or just con edison?</t>
  </si>
  <si>
    <t>Cash from investing</t>
  </si>
  <si>
    <t>(+) Equity contributions</t>
  </si>
  <si>
    <t>(-) Equity payments</t>
  </si>
  <si>
    <t>Cash from financing</t>
  </si>
  <si>
    <t>Change in Cash</t>
  </si>
  <si>
    <t>Balance Sheet</t>
  </si>
  <si>
    <t>Beg. Shareholders Equity</t>
  </si>
  <si>
    <t>(+) Net Income</t>
  </si>
  <si>
    <t>(-) Equity returns</t>
  </si>
  <si>
    <t>Ending Shareholders Equity</t>
  </si>
  <si>
    <t>Cash</t>
  </si>
  <si>
    <t>DTAs</t>
  </si>
  <si>
    <t>Assets</t>
  </si>
  <si>
    <t>DTL</t>
  </si>
  <si>
    <t>Liabilities</t>
  </si>
  <si>
    <t xml:space="preserve">Equity </t>
  </si>
  <si>
    <t>Equity investments</t>
  </si>
  <si>
    <t>Equity returns</t>
  </si>
  <si>
    <t>Net cash flow</t>
  </si>
  <si>
    <t>Depreciation</t>
  </si>
  <si>
    <t>MACRS (5-yr)</t>
  </si>
  <si>
    <t>Book</t>
  </si>
  <si>
    <t>Book Depreciation</t>
  </si>
  <si>
    <t>Year:</t>
  </si>
  <si>
    <t>Tax Depreciation</t>
  </si>
  <si>
    <t>Adjustment</t>
  </si>
  <si>
    <t>Adjusted capex</t>
  </si>
  <si>
    <t>Bonus Depr</t>
  </si>
  <si>
    <t>MACRS</t>
  </si>
  <si>
    <t xml:space="preserve">(+) Bonus Depr. </t>
  </si>
  <si>
    <t>Tax depreciation</t>
  </si>
  <si>
    <t>OFF</t>
  </si>
  <si>
    <t>&lt;-- Eligibility unconfirmed as of 5.1.19</t>
  </si>
  <si>
    <t>Last update: May 1, 2019</t>
  </si>
  <si>
    <t>Last Update: May 1, 2019</t>
  </si>
  <si>
    <t>Current rate (Mar 21)</t>
  </si>
  <si>
    <t>12-mo avg (ending Mar 21)</t>
  </si>
  <si>
    <t>12-mo avg (ending Feb 21)</t>
  </si>
  <si>
    <t>Zero</t>
  </si>
  <si>
    <t>There is no Demand charge for SC2 Rate I Rate</t>
  </si>
  <si>
    <t>current rate (March 21)</t>
  </si>
  <si>
    <t>ECC</t>
  </si>
  <si>
    <t>MSC I *</t>
  </si>
  <si>
    <t>MSC II *</t>
  </si>
  <si>
    <t>ECC **</t>
  </si>
  <si>
    <t>Note: * MSC I and MSC II rates are applicable to demand less than 500 kW.  For all customers with demands greater than 500 kW MHP applies.</t>
  </si>
  <si>
    <t>Delivery - ($/kWh) JJAS</t>
  </si>
  <si>
    <t>Charges aplicable for all other months</t>
  </si>
  <si>
    <t xml:space="preserve">            **Enviromental Component Credit ("ECC") - market value of the Rider R Value Stack (new rate) that was added in 4/1/2019.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</si>
</sst>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\(#,##0.0\)"/>
    <numFmt numFmtId="166" formatCode="0.0%"/>
    <numFmt numFmtId="167" formatCode="&quot;$&quot;#,##0"/>
    <numFmt numFmtId="168" formatCode="&quot;$&quot;#,##0.00"/>
    <numFmt numFmtId="169" formatCode="_(* #,##0.00_);[Red]_(* \(#,##0.00\);_(* &quot;-&quot;??_);_(@_)"/>
    <numFmt numFmtId="170" formatCode="_([$€]* #,##0.00_);_([$€]* \(#,##0.00\);_([$€]* &quot;-&quot;??_);_(@_)"/>
    <numFmt numFmtId="171" formatCode="0.00_)"/>
    <numFmt numFmtId="172" formatCode="0.0"/>
    <numFmt numFmtId="173" formatCode="#,##0.0_);\(#,##0.0\);&quot;- &quot;"/>
    <numFmt numFmtId="174" formatCode="#,##0.0_);\(#,##0.0\);0.0_)"/>
    <numFmt numFmtId="175" formatCode="_(* #,##0.0_);_(* \(#,##0.0\);_(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  <numFmt numFmtId="178" formatCode="&quot;$&quot;#,##0.0000"/>
    <numFmt numFmtId="179" formatCode="0.000000"/>
    <numFmt numFmtId="180" formatCode="0.0000%"/>
    <numFmt numFmtId="181" formatCode="#,##0.0000_);\(#,##0.0000\)"/>
    <numFmt numFmtId="182" formatCode="#,##0.000000_);\(#,##0.000000\)"/>
    <numFmt numFmtId="183" formatCode="_(&quot;$&quot;* #,##0_);_(&quot;$&quot;* \(#,##0\);_(&quot;$&quot;* &quot;-&quot;??_);_(@_)"/>
    <numFmt numFmtId="184" formatCode="#,##0_);\(#,##0\);0_)"/>
    <numFmt numFmtId="185" formatCode="_([$$-409]* #,##0_);_([$$-409]* \(#,##0\);_([$$-409]* &quot;-&quot;??_);_(@_)"/>
    <numFmt numFmtId="186" formatCode="#,##0.00000_);\(#,##0.00000\)"/>
    <numFmt numFmtId="187" formatCode="#,##0.0000000_);\(#,##0.0000000\)"/>
    <numFmt numFmtId="188" formatCode="0.00000000%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0"/>
      <color rgb="FF265B3F"/>
      <name val="Cambria"/>
      <family val="2"/>
      <scheme val="major"/>
    </font>
    <font>
      <sz val="10"/>
      <color rgb="FF9C0006"/>
      <name val="Arial"/>
      <family val="2"/>
    </font>
    <font>
      <sz val="10"/>
      <color indexed="23"/>
      <name val="Calibri"/>
      <family val="2"/>
      <scheme val="minor"/>
    </font>
    <font>
      <sz val="9"/>
      <color indexed="8"/>
      <name val="Calibri"/>
      <family val="2"/>
    </font>
    <font>
      <b/>
      <sz val="10"/>
      <color rgb="FFFA7D00"/>
      <name val="Arial"/>
      <family val="2"/>
    </font>
    <font>
      <u/>
      <sz val="10"/>
      <color rgb="FF495965"/>
      <name val="Cambria"/>
      <family val="2"/>
      <scheme val="major"/>
    </font>
    <font>
      <sz val="7"/>
      <name val="Arial"/>
      <family val="2"/>
    </font>
    <font>
      <sz val="10"/>
      <name val="Arial"/>
      <family val="2"/>
      <charset val="1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Tahoma"/>
      <family val="2"/>
    </font>
    <font>
      <sz val="7"/>
      <color rgb="FF495965"/>
      <name val="Arial"/>
      <family val="2"/>
    </font>
    <font>
      <sz val="7"/>
      <color theme="1"/>
      <name val="Arial"/>
      <family val="2"/>
    </font>
    <font>
      <sz val="10"/>
      <name val="Calibri"/>
      <family val="2"/>
      <scheme val="minor"/>
    </font>
    <font>
      <i/>
      <sz val="10"/>
      <color rgb="FF7F7F7F"/>
      <name val="Arial"/>
      <family val="2"/>
    </font>
    <font>
      <sz val="10"/>
      <color theme="4"/>
      <name val="Arial"/>
      <family val="2"/>
    </font>
    <font>
      <sz val="10"/>
      <color rgb="FF006100"/>
      <name val="Arial"/>
      <family val="2"/>
    </font>
    <font>
      <sz val="8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7"/>
      <color theme="10"/>
      <name val="Arial"/>
      <family val="2"/>
    </font>
    <font>
      <u/>
      <sz val="9.35"/>
      <color indexed="12"/>
      <name val="Calibri"/>
      <family val="2"/>
    </font>
    <font>
      <u/>
      <sz val="9"/>
      <color theme="10"/>
      <name val="Arial"/>
      <family val="2"/>
    </font>
    <font>
      <u/>
      <sz val="9"/>
      <color rgb="FF495965"/>
      <name val="Cambria"/>
      <family val="2"/>
      <scheme val="major"/>
    </font>
    <font>
      <u/>
      <sz val="9"/>
      <color theme="2" tint="-0.749961851863155"/>
      <name val="Cambria"/>
      <family val="2"/>
      <scheme val="major"/>
    </font>
    <font>
      <vertAlign val="superscript"/>
      <sz val="9"/>
      <color rgb="FF495965"/>
      <name val="Cambria"/>
      <family val="2"/>
      <scheme val="major"/>
    </font>
    <font>
      <vertAlign val="subscript"/>
      <sz val="10"/>
      <color theme="4"/>
      <name val="Arial"/>
      <family val="2"/>
    </font>
    <font>
      <vertAlign val="subscript"/>
      <sz val="11"/>
      <color rgb="FF495965"/>
      <name val="Cambria"/>
      <family val="2"/>
      <scheme val="major"/>
    </font>
    <font>
      <vertAlign val="subscript"/>
      <sz val="10"/>
      <color rgb="FF495965"/>
      <name val="Cambria"/>
      <family val="2"/>
      <scheme val="major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i/>
      <sz val="16"/>
      <name val="Helv"/>
    </font>
    <font>
      <sz val="11"/>
      <color theme="1"/>
      <name val="Arial"/>
      <family val="2"/>
    </font>
    <font>
      <sz val="9"/>
      <name val="Arial"/>
      <family val="2"/>
    </font>
    <font>
      <b/>
      <sz val="10"/>
      <color rgb="FF3F3F3F"/>
      <name val="Arial"/>
      <family val="2"/>
    </font>
    <font>
      <b/>
      <sz val="9"/>
      <color indexed="8"/>
      <name val="Calibri"/>
      <family val="2"/>
    </font>
    <font>
      <b/>
      <sz val="16"/>
      <color rgb="FF00B9E4"/>
      <name val="Arial"/>
      <family val="2"/>
    </font>
    <font>
      <u/>
      <sz val="9"/>
      <color theme="4"/>
      <name val="Cambria"/>
      <family val="2"/>
      <scheme val="major"/>
    </font>
    <font>
      <b/>
      <sz val="16"/>
      <color theme="0"/>
      <name val="Arial"/>
      <family val="2"/>
    </font>
    <font>
      <sz val="10"/>
      <color indexed="23"/>
      <name val="Arial"/>
      <family val="2"/>
    </font>
    <font>
      <b/>
      <sz val="11"/>
      <name val="Times New Roman"/>
      <family val="1"/>
    </font>
    <font>
      <sz val="10"/>
      <color indexed="55"/>
      <name val="Arial"/>
      <family val="2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rgb="FF0000FF"/>
      <name val="Arial"/>
      <family val="2"/>
    </font>
    <font>
      <i/>
      <sz val="10"/>
      <color theme="5"/>
      <name val="Arial"/>
      <family val="2"/>
    </font>
    <font>
      <b/>
      <sz val="10"/>
      <color rgb="FF0000FF"/>
      <name val="Arial"/>
      <family val="2"/>
    </font>
    <font>
      <sz val="10"/>
      <color rgb="FF008000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indexed="23"/>
      </patternFill>
    </fill>
    <fill>
      <patternFill patternType="solid">
        <fgColor rgb="FF3F49A2"/>
        <bgColor indexed="64"/>
      </patternFill>
    </fill>
    <fill>
      <gradientFill degree="90">
        <stop position="0">
          <color rgb="FFE75A0B"/>
        </stop>
        <stop position="0.5">
          <color rgb="FFF47E3E"/>
        </stop>
        <stop position="1">
          <color rgb="FFE75A0B"/>
        </stop>
      </gradientFill>
    </fill>
    <fill>
      <gradientFill degree="90">
        <stop position="0">
          <color rgb="FFF89E6C"/>
        </stop>
        <stop position="0.5">
          <color rgb="FFFBBD9B"/>
        </stop>
        <stop position="1">
          <color rgb="FFF89E6C"/>
        </stop>
      </gradientFill>
    </fill>
    <fill>
      <patternFill patternType="lightGray"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BBD9B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EE139"/>
        <bgColor indexed="64"/>
      </patternFill>
    </fill>
    <fill>
      <patternFill patternType="solid">
        <fgColor rgb="FF49C0E6"/>
        <bgColor indexed="64"/>
      </patternFill>
    </fill>
    <fill>
      <patternFill patternType="solid">
        <fgColor rgb="FF666769"/>
        <bgColor indexed="64"/>
      </patternFill>
    </fill>
    <fill>
      <patternFill patternType="solid">
        <fgColor rgb="FF8CCEAD"/>
        <bgColor indexed="64"/>
      </patternFill>
    </fill>
    <fill>
      <patternFill patternType="lightGray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ashed">
        <color rgb="FFBFBFB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14" fillId="0" borderId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20" borderId="0" applyNumberFormat="0" applyBorder="0" applyAlignment="0" applyProtection="0"/>
    <xf numFmtId="0" fontId="13" fillId="24" borderId="0" applyNumberFormat="0" applyBorder="0" applyAlignment="0" applyProtection="0"/>
    <xf numFmtId="0" fontId="13" fillId="28" borderId="0" applyNumberFormat="0" applyBorder="0" applyAlignment="0" applyProtection="0"/>
    <xf numFmtId="0" fontId="13" fillId="3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15" fillId="3" borderId="0" applyNumberFormat="0" applyBorder="0" applyAlignment="0" applyProtection="0"/>
    <xf numFmtId="169" fontId="16" fillId="36" borderId="20">
      <alignment horizontal="right" vertical="center"/>
    </xf>
    <xf numFmtId="0" fontId="17" fillId="0" borderId="21" applyNumberFormat="0" applyFont="0" applyProtection="0">
      <alignment wrapText="1"/>
    </xf>
    <xf numFmtId="0" fontId="18" fillId="6" borderId="4" applyNumberFormat="0" applyAlignment="0" applyProtection="0"/>
    <xf numFmtId="0" fontId="8" fillId="7" borderId="7" applyNumberFormat="0" applyAlignment="0" applyProtection="0"/>
    <xf numFmtId="0" fontId="19" fillId="0" borderId="0"/>
    <xf numFmtId="169" fontId="13" fillId="37" borderId="8" applyNumberFormat="0" applyAlignment="0" applyProtection="0">
      <alignment vertical="center"/>
    </xf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0" fillId="38" borderId="19" applyNumberFormat="0" applyProtection="0">
      <alignment horizontal="center" vertical="center"/>
    </xf>
    <xf numFmtId="0" fontId="10" fillId="39" borderId="19" applyProtection="0">
      <alignment horizontal="center" vertical="center"/>
    </xf>
    <xf numFmtId="0" fontId="28" fillId="40" borderId="19" applyNumberFormat="0">
      <alignment vertical="center"/>
    </xf>
    <xf numFmtId="170" fontId="1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/>
    <xf numFmtId="0" fontId="31" fillId="2" borderId="0" applyNumberFormat="0" applyBorder="0" applyAlignment="0" applyProtection="0"/>
    <xf numFmtId="38" fontId="32" fillId="41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40" fillId="0" borderId="0"/>
    <xf numFmtId="0" fontId="41" fillId="0" borderId="0"/>
    <xf numFmtId="0" fontId="42" fillId="0" borderId="0" applyNumberFormat="0" applyFill="0" applyBorder="0" applyAlignment="0" applyProtection="0"/>
    <xf numFmtId="0" fontId="43" fillId="0" borderId="0"/>
    <xf numFmtId="0" fontId="44" fillId="0" borderId="0"/>
    <xf numFmtId="10" fontId="32" fillId="42" borderId="19" applyNumberFormat="0" applyBorder="0" applyAlignment="0" applyProtection="0"/>
    <xf numFmtId="0" fontId="45" fillId="5" borderId="4" applyNumberFormat="0" applyAlignment="0" applyProtection="0"/>
    <xf numFmtId="0" fontId="10" fillId="43" borderId="19" applyAlignment="0" applyProtection="0">
      <alignment vertical="center"/>
      <protection locked="0"/>
    </xf>
    <xf numFmtId="169" fontId="3" fillId="44" borderId="22">
      <alignment horizontal="right" vertical="center"/>
    </xf>
    <xf numFmtId="0" fontId="46" fillId="0" borderId="6" applyNumberFormat="0" applyFill="0" applyAlignment="0" applyProtection="0"/>
    <xf numFmtId="0" fontId="47" fillId="4" borderId="0" applyNumberFormat="0" applyBorder="0" applyAlignment="0" applyProtection="0"/>
    <xf numFmtId="171" fontId="48" fillId="0" borderId="0"/>
    <xf numFmtId="0" fontId="3" fillId="0" borderId="0"/>
    <xf numFmtId="0" fontId="3" fillId="0" borderId="0"/>
    <xf numFmtId="0" fontId="1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1" fillId="0" borderId="0"/>
    <xf numFmtId="0" fontId="20" fillId="0" borderId="0">
      <alignment vertical="top"/>
    </xf>
    <xf numFmtId="0" fontId="1" fillId="0" borderId="0"/>
    <xf numFmtId="0" fontId="1" fillId="0" borderId="0"/>
    <xf numFmtId="0" fontId="21" fillId="0" borderId="0"/>
    <xf numFmtId="0" fontId="11" fillId="0" borderId="0"/>
    <xf numFmtId="0" fontId="24" fillId="0" borderId="0"/>
    <xf numFmtId="0" fontId="27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49" fillId="0" borderId="0"/>
    <xf numFmtId="0" fontId="11" fillId="0" borderId="0"/>
    <xf numFmtId="0" fontId="1" fillId="0" borderId="0"/>
    <xf numFmtId="0" fontId="24" fillId="0" borderId="0"/>
    <xf numFmtId="0" fontId="24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8" borderId="8" applyNumberFormat="0" applyFont="0" applyAlignment="0" applyProtection="0"/>
    <xf numFmtId="0" fontId="50" fillId="45" borderId="0" applyNumberFormat="0" applyFont="0" applyBorder="0" applyAlignment="0" applyProtection="0"/>
    <xf numFmtId="0" fontId="51" fillId="6" borderId="5" applyNumberFormat="0" applyAlignment="0" applyProtection="0"/>
    <xf numFmtId="0" fontId="52" fillId="0" borderId="23" applyNumberFormat="0" applyProtection="0">
      <alignment wrapText="1"/>
    </xf>
    <xf numFmtId="10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0" fillId="0" borderId="0" applyFont="0" applyFill="0" applyBorder="0" applyAlignme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/>
    <xf numFmtId="0" fontId="54" fillId="0" borderId="0"/>
    <xf numFmtId="0" fontId="39" fillId="0" borderId="0"/>
    <xf numFmtId="0" fontId="39" fillId="0" borderId="0"/>
    <xf numFmtId="0" fontId="55" fillId="46" borderId="11" applyProtection="0">
      <alignment horizontal="left" vertical="center"/>
    </xf>
    <xf numFmtId="0" fontId="8" fillId="47" borderId="11" applyNumberFormat="0">
      <alignment horizontal="center" vertical="center"/>
    </xf>
    <xf numFmtId="0" fontId="10" fillId="48" borderId="11" applyNumberFormat="0">
      <alignment horizontal="center" vertical="center"/>
    </xf>
    <xf numFmtId="0" fontId="56" fillId="49" borderId="20" applyNumberFormat="0">
      <alignment horizontal="right"/>
    </xf>
    <xf numFmtId="40" fontId="57" fillId="0" borderId="0"/>
    <xf numFmtId="0" fontId="4" fillId="0" borderId="9" applyNumberFormat="0" applyFill="0" applyAlignment="0" applyProtection="0"/>
    <xf numFmtId="0" fontId="58" fillId="0" borderId="0" applyBorder="0">
      <alignment horizontal="left" vertical="center"/>
    </xf>
    <xf numFmtId="0" fontId="59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9" fontId="50" fillId="0" borderId="0" applyFont="0" applyFill="0" applyBorder="0" applyAlignment="0"/>
  </cellStyleXfs>
  <cellXfs count="363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/>
    <xf numFmtId="0" fontId="10" fillId="0" borderId="0" xfId="0" applyFont="1"/>
    <xf numFmtId="0" fontId="3" fillId="0" borderId="0" xfId="0" applyFont="1"/>
    <xf numFmtId="164" fontId="11" fillId="0" borderId="0" xfId="1" applyNumberFormat="1" applyFont="1"/>
    <xf numFmtId="0" fontId="60" fillId="0" borderId="0" xfId="0" applyFont="1"/>
    <xf numFmtId="0" fontId="0" fillId="0" borderId="0" xfId="0" applyAlignment="1">
      <alignment horizontal="right"/>
    </xf>
    <xf numFmtId="0" fontId="12" fillId="0" borderId="0" xfId="4"/>
    <xf numFmtId="0" fontId="0" fillId="0" borderId="0" xfId="0" applyAlignment="1">
      <alignment horizontal="left"/>
    </xf>
    <xf numFmtId="0" fontId="3" fillId="0" borderId="12" xfId="0" applyFont="1" applyBorder="1" applyAlignment="1">
      <alignment horizontal="left"/>
    </xf>
    <xf numFmtId="6" fontId="11" fillId="0" borderId="0" xfId="0" applyNumberFormat="1" applyFont="1"/>
    <xf numFmtId="0" fontId="3" fillId="0" borderId="1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73" fontId="8" fillId="50" borderId="0" xfId="0" applyNumberFormat="1" applyFont="1" applyFill="1"/>
    <xf numFmtId="10" fontId="64" fillId="0" borderId="0" xfId="3" applyNumberFormat="1" applyFont="1"/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left"/>
    </xf>
    <xf numFmtId="173" fontId="3" fillId="0" borderId="0" xfId="0" applyNumberFormat="1" applyFont="1" applyAlignment="1">
      <alignment horizontal="left"/>
    </xf>
    <xf numFmtId="0" fontId="69" fillId="0" borderId="0" xfId="0" applyFont="1" applyAlignment="1">
      <alignment horizontal="left"/>
    </xf>
    <xf numFmtId="165" fontId="5" fillId="0" borderId="0" xfId="0" applyNumberFormat="1" applyFont="1" applyAlignment="1">
      <alignment horizontal="left" wrapText="1"/>
    </xf>
    <xf numFmtId="173" fontId="4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74" fontId="3" fillId="0" borderId="0" xfId="0" applyNumberFormat="1" applyFont="1" applyAlignment="1">
      <alignment horizontal="right"/>
    </xf>
    <xf numFmtId="174" fontId="11" fillId="0" borderId="0" xfId="0" applyNumberFormat="1" applyFont="1" applyAlignment="1">
      <alignment horizontal="right"/>
    </xf>
    <xf numFmtId="174" fontId="66" fillId="33" borderId="0" xfId="0" applyNumberFormat="1" applyFont="1" applyFill="1" applyAlignment="1">
      <alignment horizontal="right"/>
    </xf>
    <xf numFmtId="174" fontId="68" fillId="33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right"/>
    </xf>
    <xf numFmtId="174" fontId="4" fillId="0" borderId="26" xfId="0" applyNumberFormat="1" applyFont="1" applyBorder="1" applyAlignment="1">
      <alignment horizontal="right"/>
    </xf>
    <xf numFmtId="0" fontId="67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68" fontId="69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4" fontId="6" fillId="0" borderId="0" xfId="0" applyNumberFormat="1" applyFont="1" applyAlignment="1">
      <alignment horizontal="right"/>
    </xf>
    <xf numFmtId="166" fontId="10" fillId="0" borderId="0" xfId="1" applyNumberFormat="1" applyFont="1"/>
    <xf numFmtId="167" fontId="10" fillId="0" borderId="0" xfId="1" applyNumberFormat="1" applyFont="1"/>
    <xf numFmtId="0" fontId="11" fillId="0" borderId="0" xfId="0" applyFont="1"/>
    <xf numFmtId="9" fontId="3" fillId="0" borderId="0" xfId="3" applyFont="1"/>
    <xf numFmtId="9" fontId="64" fillId="0" borderId="0" xfId="0" applyNumberFormat="1" applyFont="1" applyAlignment="1">
      <alignment horizontal="right"/>
    </xf>
    <xf numFmtId="172" fontId="3" fillId="0" borderId="26" xfId="0" applyNumberFormat="1" applyFont="1" applyBorder="1"/>
    <xf numFmtId="172" fontId="3" fillId="0" borderId="0" xfId="0" applyNumberFormat="1" applyFont="1"/>
    <xf numFmtId="172" fontId="4" fillId="0" borderId="26" xfId="0" applyNumberFormat="1" applyFont="1" applyBorder="1"/>
    <xf numFmtId="174" fontId="71" fillId="0" borderId="0" xfId="0" quotePrefix="1" applyNumberFormat="1" applyFont="1" applyAlignment="1">
      <alignment horizontal="right"/>
    </xf>
    <xf numFmtId="0" fontId="66" fillId="33" borderId="0" xfId="0" applyFont="1" applyFill="1" applyAlignment="1">
      <alignment horizontal="left"/>
    </xf>
    <xf numFmtId="0" fontId="4" fillId="0" borderId="0" xfId="1" applyNumberFormat="1" applyFont="1" applyAlignment="1">
      <alignment horizontal="center"/>
    </xf>
    <xf numFmtId="0" fontId="6" fillId="35" borderId="16" xfId="0" applyFont="1" applyFill="1" applyBorder="1" applyAlignment="1">
      <alignment horizontal="left"/>
    </xf>
    <xf numFmtId="0" fontId="3" fillId="35" borderId="26" xfId="0" applyFont="1" applyFill="1" applyBorder="1" applyAlignment="1">
      <alignment horizontal="center"/>
    </xf>
    <xf numFmtId="0" fontId="3" fillId="35" borderId="17" xfId="0" applyFont="1" applyFill="1" applyBorder="1" applyAlignment="1">
      <alignment horizontal="center"/>
    </xf>
    <xf numFmtId="0" fontId="64" fillId="0" borderId="1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4" fillId="0" borderId="16" xfId="0" applyNumberFormat="1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7" fontId="3" fillId="0" borderId="18" xfId="3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9" fontId="64" fillId="0" borderId="25" xfId="3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61" fillId="0" borderId="0" xfId="0" applyFont="1"/>
    <xf numFmtId="174" fontId="11" fillId="0" borderId="0" xfId="0" applyNumberFormat="1" applyFont="1" applyAlignment="1">
      <alignment horizontal="center" wrapText="1"/>
    </xf>
    <xf numFmtId="174" fontId="3" fillId="0" borderId="0" xfId="0" applyNumberFormat="1" applyFont="1" applyAlignment="1">
      <alignment horizontal="center"/>
    </xf>
    <xf numFmtId="173" fontId="4" fillId="0" borderId="0" xfId="0" applyNumberFormat="1" applyFont="1" applyAlignment="1">
      <alignment horizontal="right"/>
    </xf>
    <xf numFmtId="0" fontId="67" fillId="0" borderId="0" xfId="0" applyFont="1" applyAlignment="1">
      <alignment horizontal="right"/>
    </xf>
    <xf numFmtId="0" fontId="0" fillId="0" borderId="0" xfId="3" applyNumberFormat="1" applyFont="1"/>
    <xf numFmtId="10" fontId="3" fillId="0" borderId="17" xfId="3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72" fillId="0" borderId="0" xfId="1" applyNumberFormat="1" applyFont="1" applyAlignment="1">
      <alignment horizontal="right"/>
    </xf>
    <xf numFmtId="0" fontId="65" fillId="0" borderId="0" xfId="0" applyFont="1" applyAlignment="1">
      <alignment horizontal="center"/>
    </xf>
    <xf numFmtId="0" fontId="72" fillId="0" borderId="10" xfId="0" applyFont="1" applyBorder="1" applyAlignment="1">
      <alignment horizontal="right"/>
    </xf>
    <xf numFmtId="0" fontId="60" fillId="51" borderId="13" xfId="0" applyFont="1" applyFill="1" applyBorder="1"/>
    <xf numFmtId="0" fontId="60" fillId="51" borderId="11" xfId="0" applyFont="1" applyFill="1" applyBorder="1"/>
    <xf numFmtId="0" fontId="60" fillId="0" borderId="0" xfId="0" applyFont="1" applyAlignment="1">
      <alignment horizontal="center" wrapText="1"/>
    </xf>
    <xf numFmtId="0" fontId="0" fillId="51" borderId="11" xfId="0" applyFill="1" applyBorder="1"/>
    <xf numFmtId="0" fontId="5" fillId="0" borderId="0" xfId="0" applyFont="1"/>
    <xf numFmtId="3" fontId="10" fillId="0" borderId="0" xfId="3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51" borderId="13" xfId="0" applyFont="1" applyFill="1" applyBorder="1" applyAlignment="1">
      <alignment horizontal="left"/>
    </xf>
    <xf numFmtId="43" fontId="0" fillId="0" borderId="0" xfId="0" applyNumberFormat="1"/>
    <xf numFmtId="0" fontId="2" fillId="0" borderId="0" xfId="0" applyFont="1" applyAlignment="1">
      <alignment horizontal="right"/>
    </xf>
    <xf numFmtId="43" fontId="0" fillId="0" borderId="0" xfId="1" applyFont="1"/>
    <xf numFmtId="0" fontId="62" fillId="0" borderId="0" xfId="0" applyFont="1"/>
    <xf numFmtId="168" fontId="0" fillId="0" borderId="0" xfId="0" applyNumberFormat="1"/>
    <xf numFmtId="0" fontId="62" fillId="0" borderId="0" xfId="0" applyFont="1" applyAlignment="1">
      <alignment horizontal="right"/>
    </xf>
    <xf numFmtId="39" fontId="0" fillId="0" borderId="0" xfId="0" applyNumberFormat="1"/>
    <xf numFmtId="44" fontId="0" fillId="0" borderId="0" xfId="2" applyFont="1"/>
    <xf numFmtId="175" fontId="0" fillId="0" borderId="0" xfId="1" applyNumberFormat="1" applyFont="1"/>
    <xf numFmtId="176" fontId="2" fillId="0" borderId="0" xfId="1" applyNumberFormat="1" applyFont="1"/>
    <xf numFmtId="9" fontId="10" fillId="0" borderId="0" xfId="0" applyNumberFormat="1" applyFont="1"/>
    <xf numFmtId="0" fontId="11" fillId="0" borderId="0" xfId="0" applyFont="1" applyAlignment="1">
      <alignment horizontal="left"/>
    </xf>
    <xf numFmtId="0" fontId="0" fillId="0" borderId="10" xfId="0" applyBorder="1"/>
    <xf numFmtId="4" fontId="0" fillId="0" borderId="0" xfId="0" applyNumberFormat="1"/>
    <xf numFmtId="1" fontId="0" fillId="0" borderId="0" xfId="0" applyNumberFormat="1"/>
    <xf numFmtId="179" fontId="3" fillId="0" borderId="0" xfId="0" applyNumberFormat="1" applyFont="1"/>
    <xf numFmtId="180" fontId="0" fillId="0" borderId="0" xfId="3" applyNumberFormat="1" applyFont="1"/>
    <xf numFmtId="181" fontId="0" fillId="0" borderId="0" xfId="0" applyNumberFormat="1"/>
    <xf numFmtId="0" fontId="0" fillId="34" borderId="0" xfId="0" applyFill="1"/>
    <xf numFmtId="178" fontId="0" fillId="0" borderId="0" xfId="0" applyNumberFormat="1"/>
    <xf numFmtId="37" fontId="0" fillId="0" borderId="0" xfId="0" applyNumberFormat="1"/>
    <xf numFmtId="9" fontId="65" fillId="0" borderId="0" xfId="3" applyFont="1"/>
    <xf numFmtId="0" fontId="2" fillId="34" borderId="27" xfId="0" applyFont="1" applyFill="1" applyBorder="1"/>
    <xf numFmtId="0" fontId="2" fillId="34" borderId="24" xfId="0" applyFont="1" applyFill="1" applyBorder="1"/>
    <xf numFmtId="4" fontId="0" fillId="0" borderId="0" xfId="1" applyNumberFormat="1" applyFont="1" applyAlignment="1">
      <alignment horizontal="right"/>
    </xf>
    <xf numFmtId="4" fontId="0" fillId="0" borderId="29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7" fontId="0" fillId="0" borderId="0" xfId="2" applyNumberFormat="1" applyFont="1"/>
    <xf numFmtId="7" fontId="0" fillId="0" borderId="0" xfId="0" applyNumberFormat="1"/>
    <xf numFmtId="7" fontId="62" fillId="0" borderId="0" xfId="2" applyNumberFormat="1" applyFont="1"/>
    <xf numFmtId="0" fontId="0" fillId="0" borderId="13" xfId="0" applyBorder="1"/>
    <xf numFmtId="180" fontId="0" fillId="0" borderId="11" xfId="3" applyNumberFormat="1" applyFont="1" applyBorder="1"/>
    <xf numFmtId="0" fontId="0" fillId="0" borderId="14" xfId="0" applyBorder="1"/>
    <xf numFmtId="7" fontId="62" fillId="0" borderId="0" xfId="0" applyNumberFormat="1" applyFont="1"/>
    <xf numFmtId="168" fontId="6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center" wrapText="1"/>
    </xf>
    <xf numFmtId="168" fontId="0" fillId="0" borderId="0" xfId="2" applyNumberFormat="1" applyFont="1"/>
    <xf numFmtId="0" fontId="2" fillId="34" borderId="24" xfId="0" quotePrefix="1" applyFont="1" applyFill="1" applyBorder="1"/>
    <xf numFmtId="0" fontId="66" fillId="51" borderId="0" xfId="0" applyFont="1" applyFill="1"/>
    <xf numFmtId="0" fontId="66" fillId="51" borderId="0" xfId="0" applyFont="1" applyFill="1" applyAlignment="1">
      <alignment horizontal="left"/>
    </xf>
    <xf numFmtId="174" fontId="66" fillId="51" borderId="0" xfId="0" applyNumberFormat="1" applyFont="1" applyFill="1" applyAlignment="1">
      <alignment horizontal="right"/>
    </xf>
    <xf numFmtId="0" fontId="65" fillId="34" borderId="0" xfId="0" applyFont="1" applyFill="1"/>
    <xf numFmtId="0" fontId="65" fillId="0" borderId="0" xfId="0" applyFont="1"/>
    <xf numFmtId="0" fontId="9" fillId="0" borderId="0" xfId="0" applyFont="1"/>
    <xf numFmtId="0" fontId="0" fillId="0" borderId="19" xfId="0" applyBorder="1"/>
    <xf numFmtId="183" fontId="0" fillId="0" borderId="0" xfId="2" applyNumberFormat="1" applyFont="1"/>
    <xf numFmtId="0" fontId="0" fillId="0" borderId="11" xfId="0" applyBorder="1"/>
    <xf numFmtId="183" fontId="0" fillId="0" borderId="11" xfId="0" applyNumberFormat="1" applyBorder="1"/>
    <xf numFmtId="183" fontId="0" fillId="0" borderId="0" xfId="0" applyNumberFormat="1"/>
    <xf numFmtId="166" fontId="0" fillId="0" borderId="0" xfId="3" applyNumberFormat="1" applyFont="1"/>
    <xf numFmtId="0" fontId="2" fillId="0" borderId="19" xfId="0" applyFont="1" applyBorder="1" applyAlignment="1">
      <alignment horizontal="center"/>
    </xf>
    <xf numFmtId="9" fontId="11" fillId="0" borderId="10" xfId="3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1" fillId="0" borderId="10" xfId="0" applyFont="1" applyBorder="1"/>
    <xf numFmtId="166" fontId="11" fillId="0" borderId="14" xfId="3" applyNumberFormat="1" applyFont="1" applyBorder="1" applyAlignment="1">
      <alignment horizontal="center"/>
    </xf>
    <xf numFmtId="44" fontId="0" fillId="0" borderId="0" xfId="0" applyNumberFormat="1"/>
    <xf numFmtId="184" fontId="11" fillId="0" borderId="0" xfId="0" applyNumberFormat="1" applyFont="1" applyAlignment="1">
      <alignment horizontal="center"/>
    </xf>
    <xf numFmtId="183" fontId="9" fillId="0" borderId="0" xfId="2" applyNumberFormat="1" applyFont="1"/>
    <xf numFmtId="183" fontId="9" fillId="0" borderId="11" xfId="2" applyNumberFormat="1" applyFont="1" applyBorder="1"/>
    <xf numFmtId="0" fontId="9" fillId="0" borderId="0" xfId="2" applyNumberFormat="1" applyFont="1"/>
    <xf numFmtId="0" fontId="65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3" applyNumberFormat="1" applyFont="1" applyAlignment="1">
      <alignment horizontal="center"/>
    </xf>
    <xf numFmtId="165" fontId="5" fillId="0" borderId="0" xfId="0" applyNumberFormat="1" applyFont="1" applyAlignment="1">
      <alignment horizontal="right" wrapText="1"/>
    </xf>
    <xf numFmtId="0" fontId="6" fillId="0" borderId="0" xfId="0" applyFont="1"/>
    <xf numFmtId="184" fontId="11" fillId="0" borderId="10" xfId="0" applyNumberFormat="1" applyFont="1" applyBorder="1" applyAlignment="1">
      <alignment horizontal="center"/>
    </xf>
    <xf numFmtId="184" fontId="11" fillId="0" borderId="0" xfId="0" applyNumberFormat="1" applyFont="1" applyAlignment="1">
      <alignment horizontal="center" wrapText="1"/>
    </xf>
    <xf numFmtId="184" fontId="10" fillId="0" borderId="0" xfId="0" applyNumberFormat="1" applyFont="1" applyAlignment="1">
      <alignment horizontal="center" wrapText="1"/>
    </xf>
    <xf numFmtId="184" fontId="10" fillId="0" borderId="26" xfId="0" applyNumberFormat="1" applyFont="1" applyBorder="1" applyAlignment="1">
      <alignment horizontal="center"/>
    </xf>
    <xf numFmtId="184" fontId="11" fillId="0" borderId="26" xfId="0" applyNumberFormat="1" applyFont="1" applyBorder="1" applyAlignment="1">
      <alignment horizontal="center" wrapText="1"/>
    </xf>
    <xf numFmtId="184" fontId="3" fillId="0" borderId="0" xfId="0" applyNumberFormat="1" applyFont="1" applyAlignment="1">
      <alignment horizontal="right"/>
    </xf>
    <xf numFmtId="184" fontId="4" fillId="0" borderId="0" xfId="0" applyNumberFormat="1" applyFont="1" applyAlignment="1">
      <alignment horizontal="right"/>
    </xf>
    <xf numFmtId="184" fontId="71" fillId="0" borderId="26" xfId="0" applyNumberFormat="1" applyFont="1" applyBorder="1" applyAlignment="1">
      <alignment horizontal="right"/>
    </xf>
    <xf numFmtId="184" fontId="11" fillId="0" borderId="0" xfId="0" applyNumberFormat="1" applyFont="1" applyAlignment="1">
      <alignment horizontal="right"/>
    </xf>
    <xf numFmtId="184" fontId="3" fillId="0" borderId="26" xfId="0" applyNumberFormat="1" applyFont="1" applyBorder="1" applyAlignment="1">
      <alignment horizontal="right"/>
    </xf>
    <xf numFmtId="184" fontId="10" fillId="0" borderId="28" xfId="0" applyNumberFormat="1" applyFont="1" applyBorder="1" applyAlignment="1">
      <alignment horizontal="center"/>
    </xf>
    <xf numFmtId="9" fontId="65" fillId="0" borderId="19" xfId="3" applyFont="1" applyBorder="1" applyAlignment="1">
      <alignment horizontal="center"/>
    </xf>
    <xf numFmtId="166" fontId="9" fillId="0" borderId="0" xfId="3" applyNumberFormat="1" applyFont="1" applyAlignment="1">
      <alignment horizontal="center"/>
    </xf>
    <xf numFmtId="0" fontId="9" fillId="0" borderId="19" xfId="0" applyFont="1" applyBorder="1"/>
    <xf numFmtId="0" fontId="63" fillId="0" borderId="19" xfId="0" applyFont="1" applyBorder="1" applyAlignment="1">
      <alignment horizontal="center"/>
    </xf>
    <xf numFmtId="9" fontId="9" fillId="0" borderId="19" xfId="3" applyFont="1" applyBorder="1" applyAlignment="1">
      <alignment horizontal="center"/>
    </xf>
    <xf numFmtId="183" fontId="65" fillId="0" borderId="0" xfId="2" applyNumberFormat="1" applyFont="1"/>
    <xf numFmtId="184" fontId="4" fillId="0" borderId="26" xfId="0" applyNumberFormat="1" applyFont="1" applyBorder="1" applyAlignment="1">
      <alignment horizontal="right"/>
    </xf>
    <xf numFmtId="184" fontId="3" fillId="0" borderId="10" xfId="0" applyNumberFormat="1" applyFont="1" applyBorder="1" applyAlignment="1">
      <alignment horizontal="right"/>
    </xf>
    <xf numFmtId="184" fontId="11" fillId="0" borderId="26" xfId="0" applyNumberFormat="1" applyFont="1" applyBorder="1" applyAlignment="1">
      <alignment horizontal="right"/>
    </xf>
    <xf numFmtId="184" fontId="66" fillId="33" borderId="0" xfId="0" applyNumberFormat="1" applyFont="1" applyFill="1" applyAlignment="1">
      <alignment horizontal="right"/>
    </xf>
    <xf numFmtId="184" fontId="10" fillId="0" borderId="26" xfId="0" applyNumberFormat="1" applyFont="1" applyBorder="1" applyAlignment="1">
      <alignment horizontal="right"/>
    </xf>
    <xf numFmtId="184" fontId="67" fillId="0" borderId="26" xfId="0" applyNumberFormat="1" applyFont="1" applyBorder="1" applyAlignment="1">
      <alignment horizontal="center"/>
    </xf>
    <xf numFmtId="174" fontId="3" fillId="0" borderId="0" xfId="0" applyNumberFormat="1" applyFont="1"/>
    <xf numFmtId="0" fontId="0" fillId="0" borderId="10" xfId="3" applyNumberFormat="1" applyFont="1" applyBorder="1" applyAlignment="1">
      <alignment horizontal="center"/>
    </xf>
    <xf numFmtId="173" fontId="6" fillId="0" borderId="0" xfId="0" applyNumberFormat="1" applyFont="1" applyAlignment="1">
      <alignment horizontal="left"/>
    </xf>
    <xf numFmtId="184" fontId="6" fillId="0" borderId="0" xfId="0" applyNumberFormat="1" applyFont="1" applyAlignment="1">
      <alignment horizontal="right"/>
    </xf>
    <xf numFmtId="0" fontId="66" fillId="0" borderId="0" xfId="0" applyFont="1"/>
    <xf numFmtId="0" fontId="2" fillId="53" borderId="0" xfId="0" applyFont="1" applyFill="1"/>
    <xf numFmtId="0" fontId="0" fillId="53" borderId="0" xfId="0" applyFill="1"/>
    <xf numFmtId="166" fontId="9" fillId="0" borderId="0" xfId="3" applyNumberFormat="1" applyFont="1"/>
    <xf numFmtId="9" fontId="0" fillId="0" borderId="0" xfId="3" applyFont="1"/>
    <xf numFmtId="183" fontId="65" fillId="0" borderId="0" xfId="0" applyNumberFormat="1" applyFont="1"/>
    <xf numFmtId="0" fontId="4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62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wrapText="1"/>
    </xf>
    <xf numFmtId="0" fontId="10" fillId="51" borderId="16" xfId="0" applyFont="1" applyFill="1" applyBorder="1"/>
    <xf numFmtId="3" fontId="70" fillId="51" borderId="26" xfId="3" applyNumberFormat="1" applyFont="1" applyFill="1" applyBorder="1" applyAlignment="1">
      <alignment horizontal="center"/>
    </xf>
    <xf numFmtId="0" fontId="5" fillId="51" borderId="26" xfId="0" applyFont="1" applyFill="1" applyBorder="1" applyAlignment="1">
      <alignment horizontal="center" vertical="center" wrapText="1"/>
    </xf>
    <xf numFmtId="0" fontId="7" fillId="51" borderId="26" xfId="0" applyFont="1" applyFill="1" applyBorder="1"/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2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9" fontId="9" fillId="0" borderId="0" xfId="3" applyFont="1" applyAlignment="1">
      <alignment horizontal="center"/>
    </xf>
    <xf numFmtId="4" fontId="0" fillId="0" borderId="31" xfId="0" applyNumberFormat="1" applyBorder="1" applyAlignment="1">
      <alignment horizontal="right"/>
    </xf>
    <xf numFmtId="0" fontId="0" fillId="51" borderId="26" xfId="0" applyFill="1" applyBorder="1"/>
    <xf numFmtId="1" fontId="65" fillId="0" borderId="14" xfId="0" applyNumberFormat="1" applyFont="1" applyBorder="1" applyAlignment="1">
      <alignment horizontal="center"/>
    </xf>
    <xf numFmtId="7" fontId="0" fillId="0" borderId="10" xfId="2" applyNumberFormat="1" applyFont="1" applyBorder="1"/>
    <xf numFmtId="164" fontId="0" fillId="0" borderId="0" xfId="1" applyNumberFormat="1" applyFont="1"/>
    <xf numFmtId="164" fontId="65" fillId="0" borderId="0" xfId="1" applyNumberFormat="1" applyFont="1"/>
    <xf numFmtId="9" fontId="65" fillId="0" borderId="19" xfId="3" applyFont="1" applyBorder="1"/>
    <xf numFmtId="0" fontId="9" fillId="0" borderId="0" xfId="0" applyFont="1" applyAlignment="1">
      <alignment horizontal="center" vertical="center"/>
    </xf>
    <xf numFmtId="177" fontId="3" fillId="0" borderId="0" xfId="2" applyNumberFormat="1" applyFont="1"/>
    <xf numFmtId="0" fontId="65" fillId="0" borderId="0" xfId="0" applyFont="1" applyAlignment="1">
      <alignment horizontal="left" vertical="center"/>
    </xf>
    <xf numFmtId="184" fontId="68" fillId="33" borderId="0" xfId="0" applyNumberFormat="1" applyFont="1" applyFill="1" applyAlignment="1">
      <alignment horizontal="right"/>
    </xf>
    <xf numFmtId="184" fontId="3" fillId="53" borderId="0" xfId="0" applyNumberFormat="1" applyFont="1" applyFill="1" applyAlignment="1">
      <alignment horizontal="right"/>
    </xf>
    <xf numFmtId="9" fontId="0" fillId="0" borderId="0" xfId="3" applyFont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9" fontId="3" fillId="0" borderId="0" xfId="3" applyFont="1" applyAlignment="1">
      <alignment horizontal="right"/>
    </xf>
    <xf numFmtId="184" fontId="3" fillId="0" borderId="19" xfId="0" applyNumberFormat="1" applyFont="1" applyBorder="1" applyAlignment="1">
      <alignment horizontal="right"/>
    </xf>
    <xf numFmtId="165" fontId="5" fillId="0" borderId="0" xfId="0" applyNumberFormat="1" applyFont="1" applyFill="1" applyAlignment="1">
      <alignment horizontal="right" wrapText="1"/>
    </xf>
    <xf numFmtId="184" fontId="11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6" fontId="11" fillId="0" borderId="0" xfId="0" applyNumberFormat="1" applyFont="1" applyFill="1"/>
    <xf numFmtId="0" fontId="10" fillId="0" borderId="0" xfId="0" applyFont="1" applyFill="1"/>
    <xf numFmtId="165" fontId="5" fillId="0" borderId="0" xfId="0" applyNumberFormat="1" applyFont="1" applyFill="1" applyAlignment="1">
      <alignment horizontal="left" wrapText="1"/>
    </xf>
    <xf numFmtId="184" fontId="4" fillId="0" borderId="30" xfId="0" applyNumberFormat="1" applyFont="1" applyBorder="1" applyAlignment="1">
      <alignment horizontal="right"/>
    </xf>
    <xf numFmtId="0" fontId="0" fillId="0" borderId="0" xfId="0" applyBorder="1"/>
    <xf numFmtId="9" fontId="65" fillId="0" borderId="0" xfId="3" applyFont="1" applyBorder="1"/>
    <xf numFmtId="0" fontId="61" fillId="0" borderId="0" xfId="0" applyFont="1" applyAlignment="1">
      <alignment horizontal="right"/>
    </xf>
    <xf numFmtId="9" fontId="65" fillId="0" borderId="0" xfId="3" applyFont="1" applyBorder="1" applyAlignment="1">
      <alignment horizontal="center"/>
    </xf>
    <xf numFmtId="177" fontId="0" fillId="0" borderId="0" xfId="2" applyNumberFormat="1" applyFont="1"/>
    <xf numFmtId="44" fontId="65" fillId="0" borderId="0" xfId="2" applyFont="1" applyAlignment="1">
      <alignment horizontal="center" vertical="center"/>
    </xf>
    <xf numFmtId="0" fontId="73" fillId="0" borderId="0" xfId="0" applyFont="1" applyAlignment="1">
      <alignment horizontal="right"/>
    </xf>
    <xf numFmtId="0" fontId="73" fillId="0" borderId="0" xfId="0" applyFont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61" fillId="0" borderId="0" xfId="0" applyFont="1" applyFill="1" applyBorder="1" applyAlignment="1">
      <alignment horizontal="right"/>
    </xf>
    <xf numFmtId="9" fontId="61" fillId="0" borderId="0" xfId="3" applyFont="1" applyAlignment="1">
      <alignment horizontal="right"/>
    </xf>
    <xf numFmtId="9" fontId="61" fillId="0" borderId="0" xfId="0" applyNumberFormat="1" applyFont="1" applyAlignment="1">
      <alignment horizontal="right"/>
    </xf>
    <xf numFmtId="0" fontId="73" fillId="0" borderId="12" xfId="0" applyFont="1" applyBorder="1" applyAlignment="1">
      <alignment horizontal="center"/>
    </xf>
    <xf numFmtId="0" fontId="73" fillId="0" borderId="25" xfId="0" applyFont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" fontId="65" fillId="0" borderId="0" xfId="0" applyNumberFormat="1" applyFont="1" applyAlignment="1">
      <alignment horizontal="center"/>
    </xf>
    <xf numFmtId="7" fontId="65" fillId="0" borderId="0" xfId="2" applyNumberFormat="1" applyFont="1"/>
    <xf numFmtId="1" fontId="65" fillId="0" borderId="0" xfId="0" applyNumberFormat="1" applyFont="1"/>
    <xf numFmtId="0" fontId="73" fillId="0" borderId="12" xfId="0" applyFont="1" applyBorder="1" applyAlignment="1"/>
    <xf numFmtId="0" fontId="73" fillId="0" borderId="25" xfId="0" applyFont="1" applyBorder="1" applyAlignment="1"/>
    <xf numFmtId="0" fontId="73" fillId="0" borderId="0" xfId="0" applyFont="1" applyBorder="1" applyAlignment="1"/>
    <xf numFmtId="0" fontId="61" fillId="0" borderId="32" xfId="0" applyFont="1" applyBorder="1"/>
    <xf numFmtId="0" fontId="0" fillId="0" borderId="0" xfId="0" applyBorder="1" applyAlignment="1">
      <alignment horizontal="left" vertical="top" wrapText="1"/>
    </xf>
    <xf numFmtId="183" fontId="0" fillId="0" borderId="0" xfId="0" applyNumberFormat="1" applyBorder="1"/>
    <xf numFmtId="0" fontId="0" fillId="0" borderId="0" xfId="0" applyFill="1" applyBorder="1"/>
    <xf numFmtId="184" fontId="3" fillId="0" borderId="10" xfId="0" applyNumberFormat="1" applyFont="1" applyBorder="1" applyAlignment="1">
      <alignment horizontal="center"/>
    </xf>
    <xf numFmtId="184" fontId="71" fillId="0" borderId="0" xfId="0" applyNumberFormat="1" applyFont="1" applyAlignment="1">
      <alignment horizontal="center"/>
    </xf>
    <xf numFmtId="184" fontId="3" fillId="0" borderId="0" xfId="0" applyNumberFormat="1" applyFont="1" applyBorder="1" applyAlignment="1">
      <alignment horizontal="right"/>
    </xf>
    <xf numFmtId="9" fontId="3" fillId="0" borderId="0" xfId="3" applyFont="1" applyAlignment="1">
      <alignment horizontal="left"/>
    </xf>
    <xf numFmtId="0" fontId="74" fillId="0" borderId="0" xfId="0" applyFont="1"/>
    <xf numFmtId="0" fontId="3" fillId="34" borderId="0" xfId="0" applyFont="1" applyFill="1" applyAlignment="1">
      <alignment horizontal="center"/>
    </xf>
    <xf numFmtId="0" fontId="4" fillId="34" borderId="0" xfId="0" applyFont="1" applyFill="1" applyAlignment="1">
      <alignment horizontal="center"/>
    </xf>
    <xf numFmtId="0" fontId="66" fillId="34" borderId="0" xfId="0" applyFont="1" applyFill="1"/>
    <xf numFmtId="0" fontId="11" fillId="34" borderId="10" xfId="0" applyFont="1" applyFill="1" applyBorder="1" applyAlignment="1">
      <alignment horizontal="center"/>
    </xf>
    <xf numFmtId="0" fontId="67" fillId="34" borderId="0" xfId="0" applyFont="1" applyFill="1" applyAlignment="1">
      <alignment horizontal="right"/>
    </xf>
    <xf numFmtId="0" fontId="67" fillId="34" borderId="0" xfId="0" applyFont="1" applyFill="1" applyAlignment="1">
      <alignment horizontal="center"/>
    </xf>
    <xf numFmtId="0" fontId="11" fillId="34" borderId="0" xfId="0" applyFont="1" applyFill="1" applyAlignment="1">
      <alignment horizontal="center"/>
    </xf>
    <xf numFmtId="166" fontId="0" fillId="34" borderId="0" xfId="3" applyNumberFormat="1" applyFont="1" applyFill="1"/>
    <xf numFmtId="166" fontId="9" fillId="34" borderId="0" xfId="3" applyNumberFormat="1" applyFont="1" applyFill="1"/>
    <xf numFmtId="0" fontId="0" fillId="34" borderId="0" xfId="3" applyNumberFormat="1" applyFont="1" applyFill="1"/>
    <xf numFmtId="184" fontId="11" fillId="34" borderId="0" xfId="0" applyNumberFormat="1" applyFont="1" applyFill="1" applyAlignment="1">
      <alignment horizontal="center"/>
    </xf>
    <xf numFmtId="179" fontId="3" fillId="34" borderId="0" xfId="0" applyNumberFormat="1" applyFont="1" applyFill="1"/>
    <xf numFmtId="0" fontId="66" fillId="34" borderId="0" xfId="0" applyFont="1" applyFill="1" applyAlignment="1">
      <alignment horizontal="left"/>
    </xf>
    <xf numFmtId="184" fontId="11" fillId="34" borderId="0" xfId="0" applyNumberFormat="1" applyFont="1" applyFill="1" applyAlignment="1">
      <alignment horizontal="center" wrapText="1"/>
    </xf>
    <xf numFmtId="184" fontId="11" fillId="34" borderId="26" xfId="0" applyNumberFormat="1" applyFont="1" applyFill="1" applyBorder="1" applyAlignment="1">
      <alignment horizontal="center" wrapText="1"/>
    </xf>
    <xf numFmtId="174" fontId="3" fillId="34" borderId="0" xfId="0" applyNumberFormat="1" applyFont="1" applyFill="1" applyAlignment="1">
      <alignment horizontal="center"/>
    </xf>
    <xf numFmtId="184" fontId="3" fillId="34" borderId="10" xfId="0" applyNumberFormat="1" applyFont="1" applyFill="1" applyBorder="1" applyAlignment="1">
      <alignment horizontal="center"/>
    </xf>
    <xf numFmtId="184" fontId="71" fillId="34" borderId="0" xfId="0" applyNumberFormat="1" applyFont="1" applyFill="1" applyAlignment="1">
      <alignment horizontal="center"/>
    </xf>
    <xf numFmtId="184" fontId="11" fillId="34" borderId="10" xfId="0" applyNumberFormat="1" applyFont="1" applyFill="1" applyBorder="1" applyAlignment="1">
      <alignment horizontal="center"/>
    </xf>
    <xf numFmtId="184" fontId="10" fillId="34" borderId="0" xfId="0" applyNumberFormat="1" applyFont="1" applyFill="1" applyAlignment="1">
      <alignment horizontal="center" wrapText="1"/>
    </xf>
    <xf numFmtId="184" fontId="10" fillId="34" borderId="26" xfId="0" applyNumberFormat="1" applyFont="1" applyFill="1" applyBorder="1" applyAlignment="1">
      <alignment horizontal="center"/>
    </xf>
    <xf numFmtId="174" fontId="11" fillId="34" borderId="0" xfId="0" applyNumberFormat="1" applyFont="1" applyFill="1" applyAlignment="1">
      <alignment horizontal="center" wrapText="1"/>
    </xf>
    <xf numFmtId="184" fontId="10" fillId="34" borderId="28" xfId="0" applyNumberFormat="1" applyFont="1" applyFill="1" applyBorder="1" applyAlignment="1">
      <alignment horizontal="center"/>
    </xf>
    <xf numFmtId="184" fontId="67" fillId="34" borderId="26" xfId="0" applyNumberFormat="1" applyFont="1" applyFill="1" applyBorder="1" applyAlignment="1">
      <alignment horizontal="center"/>
    </xf>
    <xf numFmtId="174" fontId="3" fillId="34" borderId="0" xfId="0" applyNumberFormat="1" applyFont="1" applyFill="1"/>
    <xf numFmtId="174" fontId="66" fillId="34" borderId="0" xfId="0" applyNumberFormat="1" applyFont="1" applyFill="1" applyAlignment="1">
      <alignment horizontal="right"/>
    </xf>
    <xf numFmtId="174" fontId="3" fillId="34" borderId="0" xfId="0" applyNumberFormat="1" applyFont="1" applyFill="1" applyAlignment="1">
      <alignment horizontal="right"/>
    </xf>
    <xf numFmtId="184" fontId="3" fillId="34" borderId="0" xfId="0" applyNumberFormat="1" applyFont="1" applyFill="1" applyAlignment="1">
      <alignment horizontal="right"/>
    </xf>
    <xf numFmtId="184" fontId="4" fillId="34" borderId="0" xfId="0" applyNumberFormat="1" applyFont="1" applyFill="1" applyAlignment="1">
      <alignment horizontal="right"/>
    </xf>
    <xf numFmtId="184" fontId="71" fillId="34" borderId="26" xfId="0" applyNumberFormat="1" applyFont="1" applyFill="1" applyBorder="1" applyAlignment="1">
      <alignment horizontal="right"/>
    </xf>
    <xf numFmtId="184" fontId="11" fillId="34" borderId="0" xfId="0" applyNumberFormat="1" applyFont="1" applyFill="1" applyAlignment="1">
      <alignment horizontal="right"/>
    </xf>
    <xf numFmtId="184" fontId="3" fillId="34" borderId="26" xfId="0" applyNumberFormat="1" applyFont="1" applyFill="1" applyBorder="1" applyAlignment="1">
      <alignment horizontal="right"/>
    </xf>
    <xf numFmtId="174" fontId="11" fillId="34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49" fontId="63" fillId="0" borderId="0" xfId="0" quotePrefix="1" applyNumberFormat="1" applyFont="1" applyAlignment="1">
      <alignment horizontal="left"/>
    </xf>
    <xf numFmtId="183" fontId="0" fillId="0" borderId="0" xfId="2" applyNumberFormat="1" applyFont="1" applyAlignment="1">
      <alignment horizontal="center" vertical="center"/>
    </xf>
    <xf numFmtId="183" fontId="0" fillId="0" borderId="0" xfId="2" applyNumberFormat="1" applyFont="1" applyFill="1"/>
    <xf numFmtId="0" fontId="73" fillId="0" borderId="1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165" fontId="5" fillId="0" borderId="0" xfId="0" applyNumberFormat="1" applyFont="1" applyFill="1" applyAlignment="1">
      <alignment horizontal="right"/>
    </xf>
    <xf numFmtId="184" fontId="3" fillId="0" borderId="0" xfId="0" applyNumberFormat="1" applyFont="1" applyBorder="1" applyAlignment="1">
      <alignment horizontal="center"/>
    </xf>
    <xf numFmtId="173" fontId="3" fillId="0" borderId="0" xfId="0" applyNumberFormat="1" applyFont="1" applyAlignment="1">
      <alignment horizontal="right"/>
    </xf>
    <xf numFmtId="184" fontId="3" fillId="34" borderId="0" xfId="0" applyNumberFormat="1" applyFont="1" applyFill="1" applyBorder="1" applyAlignment="1">
      <alignment horizontal="center"/>
    </xf>
    <xf numFmtId="164" fontId="65" fillId="0" borderId="0" xfId="1" applyNumberFormat="1" applyFont="1" applyFill="1" applyBorder="1" applyAlignment="1">
      <alignment horizontal="center" vertical="center"/>
    </xf>
    <xf numFmtId="9" fontId="65" fillId="0" borderId="0" xfId="3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top"/>
    </xf>
    <xf numFmtId="0" fontId="65" fillId="0" borderId="25" xfId="0" applyFont="1" applyBorder="1" applyAlignment="1">
      <alignment vertical="center"/>
    </xf>
    <xf numFmtId="9" fontId="0" fillId="0" borderId="0" xfId="0" applyNumberFormat="1"/>
    <xf numFmtId="173" fontId="6" fillId="0" borderId="0" xfId="0" quotePrefix="1" applyNumberFormat="1" applyFont="1" applyAlignment="1">
      <alignment horizontal="left"/>
    </xf>
    <xf numFmtId="183" fontId="0" fillId="0" borderId="10" xfId="2" applyNumberFormat="1" applyFont="1" applyBorder="1"/>
    <xf numFmtId="0" fontId="0" fillId="0" borderId="11" xfId="0" applyBorder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183" fontId="0" fillId="0" borderId="34" xfId="2" applyNumberFormat="1" applyFont="1" applyBorder="1"/>
    <xf numFmtId="0" fontId="0" fillId="0" borderId="35" xfId="2" applyNumberFormat="1" applyFont="1" applyBorder="1"/>
    <xf numFmtId="185" fontId="0" fillId="0" borderId="36" xfId="0" applyNumberFormat="1" applyBorder="1"/>
    <xf numFmtId="43" fontId="71" fillId="0" borderId="0" xfId="1" applyFont="1" applyAlignment="1">
      <alignment horizontal="center"/>
    </xf>
    <xf numFmtId="0" fontId="0" fillId="33" borderId="0" xfId="0" applyFill="1"/>
    <xf numFmtId="0" fontId="2" fillId="33" borderId="19" xfId="0" applyFont="1" applyFill="1" applyBorder="1" applyAlignment="1">
      <alignment horizontal="center"/>
    </xf>
    <xf numFmtId="164" fontId="0" fillId="33" borderId="0" xfId="1" applyNumberFormat="1" applyFont="1" applyFill="1"/>
    <xf numFmtId="39" fontId="65" fillId="0" borderId="0" xfId="0" applyNumberFormat="1" applyFont="1"/>
    <xf numFmtId="182" fontId="65" fillId="0" borderId="0" xfId="0" applyNumberFormat="1" applyFont="1"/>
    <xf numFmtId="8" fontId="65" fillId="0" borderId="0" xfId="0" applyNumberFormat="1" applyFont="1"/>
    <xf numFmtId="186" fontId="65" fillId="0" borderId="0" xfId="0" applyNumberFormat="1" applyFont="1"/>
    <xf numFmtId="181" fontId="65" fillId="0" borderId="0" xfId="0" applyNumberFormat="1" applyFont="1"/>
    <xf numFmtId="187" fontId="65" fillId="0" borderId="0" xfId="0" applyNumberFormat="1" applyFont="1"/>
    <xf numFmtId="180" fontId="65" fillId="0" borderId="0" xfId="3" applyNumberFormat="1" applyFont="1"/>
    <xf numFmtId="7" fontId="65" fillId="0" borderId="0" xfId="0" applyNumberFormat="1" applyFont="1"/>
    <xf numFmtId="177" fontId="65" fillId="52" borderId="0" xfId="0" applyNumberFormat="1" applyFont="1" applyFill="1"/>
    <xf numFmtId="0" fontId="65" fillId="0" borderId="0" xfId="0" applyFont="1" applyFill="1"/>
    <xf numFmtId="182" fontId="65" fillId="0" borderId="0" xfId="0" applyNumberFormat="1" applyFont="1" applyFill="1"/>
    <xf numFmtId="181" fontId="65" fillId="0" borderId="0" xfId="0" applyNumberFormat="1" applyFont="1" applyFill="1"/>
    <xf numFmtId="186" fontId="65" fillId="34" borderId="0" xfId="0" applyNumberFormat="1" applyFont="1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85" fontId="0" fillId="0" borderId="0" xfId="0" applyNumberFormat="1" applyFill="1"/>
    <xf numFmtId="0" fontId="65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65" fillId="0" borderId="0" xfId="0" applyFont="1" applyBorder="1"/>
    <xf numFmtId="4" fontId="0" fillId="54" borderId="0" xfId="1" applyNumberFormat="1" applyFont="1" applyFill="1" applyAlignment="1">
      <alignment horizontal="right"/>
    </xf>
    <xf numFmtId="172" fontId="0" fillId="0" borderId="0" xfId="0" applyNumberFormat="1"/>
    <xf numFmtId="0" fontId="11" fillId="54" borderId="0" xfId="0" applyFont="1" applyFill="1" applyAlignment="1">
      <alignment horizontal="right"/>
    </xf>
    <xf numFmtId="4" fontId="0" fillId="54" borderId="29" xfId="0" applyNumberFormat="1" applyFill="1" applyBorder="1" applyAlignment="1">
      <alignment horizontal="right"/>
    </xf>
    <xf numFmtId="0" fontId="0" fillId="54" borderId="0" xfId="0" applyFill="1"/>
    <xf numFmtId="10" fontId="64" fillId="0" borderId="0" xfId="3" applyNumberFormat="1" applyFont="1" applyAlignment="1">
      <alignment horizontal="center"/>
    </xf>
    <xf numFmtId="10" fontId="70" fillId="0" borderId="0" xfId="3" applyNumberFormat="1" applyFont="1" applyAlignment="1">
      <alignment horizontal="center"/>
    </xf>
    <xf numFmtId="188" fontId="0" fillId="0" borderId="0" xfId="0" applyNumberFormat="1"/>
    <xf numFmtId="180" fontId="0" fillId="0" borderId="0" xfId="0" applyNumberFormat="1"/>
    <xf numFmtId="180" fontId="0" fillId="0" borderId="0" xfId="0" applyNumberFormat="1" applyAlignment="1">
      <alignment horizontal="right"/>
    </xf>
    <xf numFmtId="180" fontId="0" fillId="0" borderId="0" xfId="3" applyNumberFormat="1" applyFont="1" applyAlignment="1">
      <alignment horizontal="right" indent="1"/>
    </xf>
    <xf numFmtId="0" fontId="0" fillId="0" borderId="1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65" fillId="0" borderId="25" xfId="0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66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3 IHS Hyperlink" xfId="11" xr:uid="{00000000-0005-0000-0000-000006000000}"/>
    <cellStyle name="40% - Accent1 2" xfId="12" xr:uid="{00000000-0005-0000-0000-000007000000}"/>
    <cellStyle name="40% - Accent2 2" xfId="13" xr:uid="{00000000-0005-0000-0000-000008000000}"/>
    <cellStyle name="40% - Accent3 2" xfId="14" xr:uid="{00000000-0005-0000-0000-000009000000}"/>
    <cellStyle name="40% - Accent4 2" xfId="15" xr:uid="{00000000-0005-0000-0000-00000A000000}"/>
    <cellStyle name="40% - Accent5 2" xfId="16" xr:uid="{00000000-0005-0000-0000-00000B000000}"/>
    <cellStyle name="40% - Accent6 2" xfId="17" xr:uid="{00000000-0005-0000-0000-00000C000000}"/>
    <cellStyle name="60% - Accent1 2" xfId="18" xr:uid="{00000000-0005-0000-0000-00000D000000}"/>
    <cellStyle name="60% - Accent2 2" xfId="19" xr:uid="{00000000-0005-0000-0000-00000E000000}"/>
    <cellStyle name="60% - Accent3 2" xfId="20" xr:uid="{00000000-0005-0000-0000-00000F000000}"/>
    <cellStyle name="60% - Accent4 2" xfId="21" xr:uid="{00000000-0005-0000-0000-000010000000}"/>
    <cellStyle name="60% - Accent5 2" xfId="22" xr:uid="{00000000-0005-0000-0000-000011000000}"/>
    <cellStyle name="60% - Accent6 2" xfId="23" xr:uid="{00000000-0005-0000-0000-000012000000}"/>
    <cellStyle name="Accent1 2" xfId="24" xr:uid="{00000000-0005-0000-0000-000013000000}"/>
    <cellStyle name="Accent2 2" xfId="25" xr:uid="{00000000-0005-0000-0000-000014000000}"/>
    <cellStyle name="Accent3 2" xfId="26" xr:uid="{00000000-0005-0000-0000-000015000000}"/>
    <cellStyle name="Accent4 2" xfId="27" xr:uid="{00000000-0005-0000-0000-000016000000}"/>
    <cellStyle name="Accent5 2" xfId="28" xr:uid="{00000000-0005-0000-0000-000017000000}"/>
    <cellStyle name="Accent6 2" xfId="29" xr:uid="{00000000-0005-0000-0000-000018000000}"/>
    <cellStyle name="Bad 2" xfId="30" xr:uid="{00000000-0005-0000-0000-000019000000}"/>
    <cellStyle name="Binary Flag" xfId="31" xr:uid="{00000000-0005-0000-0000-00001A000000}"/>
    <cellStyle name="Body: normal cell" xfId="32" xr:uid="{00000000-0005-0000-0000-00001B000000}"/>
    <cellStyle name="Calculation 2" xfId="33" xr:uid="{00000000-0005-0000-0000-00001C000000}"/>
    <cellStyle name="Check Cell 2" xfId="34" xr:uid="{00000000-0005-0000-0000-00001D000000}"/>
    <cellStyle name="CLF 1" xfId="35" xr:uid="{00000000-0005-0000-0000-00001E000000}"/>
    <cellStyle name="Code_Output" xfId="36" xr:uid="{00000000-0005-0000-0000-00001F000000}"/>
    <cellStyle name="Comma" xfId="1" builtinId="3"/>
    <cellStyle name="Comma 10" xfId="37" xr:uid="{00000000-0005-0000-0000-000021000000}"/>
    <cellStyle name="Comma 2" xfId="38" xr:uid="{00000000-0005-0000-0000-000022000000}"/>
    <cellStyle name="Comma 2 2" xfId="39" xr:uid="{00000000-0005-0000-0000-000023000000}"/>
    <cellStyle name="Comma 2 2 2" xfId="40" xr:uid="{00000000-0005-0000-0000-000024000000}"/>
    <cellStyle name="Comma 2 3" xfId="41" xr:uid="{00000000-0005-0000-0000-000025000000}"/>
    <cellStyle name="Comma 2 4" xfId="161" xr:uid="{00000000-0005-0000-0000-000026000000}"/>
    <cellStyle name="Comma 3" xfId="42" xr:uid="{00000000-0005-0000-0000-000027000000}"/>
    <cellStyle name="Comma 3 2" xfId="43" xr:uid="{00000000-0005-0000-0000-000028000000}"/>
    <cellStyle name="Comma 4" xfId="44" xr:uid="{00000000-0005-0000-0000-000029000000}"/>
    <cellStyle name="Comma 4 2" xfId="45" xr:uid="{00000000-0005-0000-0000-00002A000000}"/>
    <cellStyle name="Comma 5" xfId="46" xr:uid="{00000000-0005-0000-0000-00002B000000}"/>
    <cellStyle name="Comma 6" xfId="47" xr:uid="{00000000-0005-0000-0000-00002C000000}"/>
    <cellStyle name="Comma 7" xfId="48" xr:uid="{00000000-0005-0000-0000-00002D000000}"/>
    <cellStyle name="Comma 8" xfId="49" xr:uid="{00000000-0005-0000-0000-00002E000000}"/>
    <cellStyle name="Comma 9" xfId="50" xr:uid="{00000000-0005-0000-0000-00002F000000}"/>
    <cellStyle name="Currency" xfId="2" builtinId="4"/>
    <cellStyle name="Currency 2" xfId="51" xr:uid="{00000000-0005-0000-0000-000031000000}"/>
    <cellStyle name="Currency 2 2" xfId="52" xr:uid="{00000000-0005-0000-0000-000032000000}"/>
    <cellStyle name="Currency 2 3" xfId="53" xr:uid="{00000000-0005-0000-0000-000033000000}"/>
    <cellStyle name="Currency 2 4" xfId="54" xr:uid="{00000000-0005-0000-0000-000034000000}"/>
    <cellStyle name="Currency 2 5" xfId="55" xr:uid="{00000000-0005-0000-0000-000035000000}"/>
    <cellStyle name="Currency 3" xfId="56" xr:uid="{00000000-0005-0000-0000-000036000000}"/>
    <cellStyle name="Currency 3 2" xfId="57" xr:uid="{00000000-0005-0000-0000-000037000000}"/>
    <cellStyle name="Currency 3 3" xfId="58" xr:uid="{00000000-0005-0000-0000-000038000000}"/>
    <cellStyle name="Currency 4" xfId="59" xr:uid="{00000000-0005-0000-0000-000039000000}"/>
    <cellStyle name="Currency 5" xfId="60" xr:uid="{00000000-0005-0000-0000-00003A000000}"/>
    <cellStyle name="Currency 5 2" xfId="61" xr:uid="{00000000-0005-0000-0000-00003B000000}"/>
    <cellStyle name="Currency 6" xfId="62" xr:uid="{00000000-0005-0000-0000-00003C000000}"/>
    <cellStyle name="Currency 7" xfId="63" xr:uid="{00000000-0005-0000-0000-00003D000000}"/>
    <cellStyle name="Currency 7 2" xfId="64" xr:uid="{00000000-0005-0000-0000-00003E000000}"/>
    <cellStyle name="Currency 8" xfId="65" xr:uid="{00000000-0005-0000-0000-00003F000000}"/>
    <cellStyle name="Currency 9" xfId="66" xr:uid="{00000000-0005-0000-0000-000040000000}"/>
    <cellStyle name="Dropdown" xfId="67" xr:uid="{00000000-0005-0000-0000-000041000000}"/>
    <cellStyle name="DropdownLight" xfId="68" xr:uid="{00000000-0005-0000-0000-000042000000}"/>
    <cellStyle name="Empty_Cell" xfId="69" xr:uid="{00000000-0005-0000-0000-000043000000}"/>
    <cellStyle name="Euro" xfId="70" xr:uid="{00000000-0005-0000-0000-000044000000}"/>
    <cellStyle name="Explanatory Text 2" xfId="71" xr:uid="{00000000-0005-0000-0000-000045000000}"/>
    <cellStyle name="Formula" xfId="72" xr:uid="{00000000-0005-0000-0000-000046000000}"/>
    <cellStyle name="Good 2" xfId="73" xr:uid="{00000000-0005-0000-0000-000047000000}"/>
    <cellStyle name="Grey" xfId="74" xr:uid="{00000000-0005-0000-0000-000048000000}"/>
    <cellStyle name="Heading 1 2" xfId="75" xr:uid="{00000000-0005-0000-0000-000049000000}"/>
    <cellStyle name="Heading 2 2" xfId="76" xr:uid="{00000000-0005-0000-0000-00004A000000}"/>
    <cellStyle name="Heading 3 2" xfId="77" xr:uid="{00000000-0005-0000-0000-00004B000000}"/>
    <cellStyle name="Heading 4 2" xfId="78" xr:uid="{00000000-0005-0000-0000-00004C000000}"/>
    <cellStyle name="Hyperlink" xfId="4" builtinId="8"/>
    <cellStyle name="Hyperlink 2" xfId="79" xr:uid="{00000000-0005-0000-0000-00004E000000}"/>
    <cellStyle name="Hyperlink 3" xfId="80" xr:uid="{00000000-0005-0000-0000-00004F000000}"/>
    <cellStyle name="Hyperlink CLF" xfId="81" xr:uid="{00000000-0005-0000-0000-000050000000}"/>
    <cellStyle name="Hyperlink CLF 2015" xfId="82" xr:uid="{00000000-0005-0000-0000-000051000000}"/>
    <cellStyle name="Hyperlink IHS" xfId="83" xr:uid="{00000000-0005-0000-0000-000052000000}"/>
    <cellStyle name="Hyperlink IHS EER" xfId="84" xr:uid="{00000000-0005-0000-0000-000053000000}"/>
    <cellStyle name="IHS Hyperl 4" xfId="85" xr:uid="{00000000-0005-0000-0000-000054000000}"/>
    <cellStyle name="IHS Hyperlink2" xfId="86" xr:uid="{00000000-0005-0000-0000-000055000000}"/>
    <cellStyle name="Input [yellow]" xfId="87" xr:uid="{00000000-0005-0000-0000-000056000000}"/>
    <cellStyle name="Input 2" xfId="88" xr:uid="{00000000-0005-0000-0000-000057000000}"/>
    <cellStyle name="InputLight" xfId="89" xr:uid="{00000000-0005-0000-0000-000058000000}"/>
    <cellStyle name="Line_Summary" xfId="90" xr:uid="{00000000-0005-0000-0000-000059000000}"/>
    <cellStyle name="Linked Cell 2" xfId="91" xr:uid="{00000000-0005-0000-0000-00005A000000}"/>
    <cellStyle name="Neutral 2" xfId="92" xr:uid="{00000000-0005-0000-0000-00005B000000}"/>
    <cellStyle name="Normal" xfId="0" builtinId="0"/>
    <cellStyle name="Normal - Style1" xfId="93" xr:uid="{00000000-0005-0000-0000-00005D000000}"/>
    <cellStyle name="Normal 10" xfId="94" xr:uid="{00000000-0005-0000-0000-00005E000000}"/>
    <cellStyle name="Normal 11" xfId="95" xr:uid="{00000000-0005-0000-0000-00005F000000}"/>
    <cellStyle name="Normal 11 2" xfId="96" xr:uid="{00000000-0005-0000-0000-000060000000}"/>
    <cellStyle name="Normal 12" xfId="97" xr:uid="{00000000-0005-0000-0000-000061000000}"/>
    <cellStyle name="Normal 12 2" xfId="98" xr:uid="{00000000-0005-0000-0000-000062000000}"/>
    <cellStyle name="Normal 13" xfId="99" xr:uid="{00000000-0005-0000-0000-000063000000}"/>
    <cellStyle name="Normal 14" xfId="100" xr:uid="{00000000-0005-0000-0000-000064000000}"/>
    <cellStyle name="Normal 15" xfId="101" xr:uid="{00000000-0005-0000-0000-000065000000}"/>
    <cellStyle name="Normal 16" xfId="102" xr:uid="{00000000-0005-0000-0000-000066000000}"/>
    <cellStyle name="Normal 17" xfId="103" xr:uid="{00000000-0005-0000-0000-000067000000}"/>
    <cellStyle name="Normal 18" xfId="104" xr:uid="{00000000-0005-0000-0000-000068000000}"/>
    <cellStyle name="Normal 2" xfId="105" xr:uid="{00000000-0005-0000-0000-000069000000}"/>
    <cellStyle name="Normal 2 2" xfId="106" xr:uid="{00000000-0005-0000-0000-00006A000000}"/>
    <cellStyle name="Normal 2 3" xfId="107" xr:uid="{00000000-0005-0000-0000-00006B000000}"/>
    <cellStyle name="Normal 2 4" xfId="108" xr:uid="{00000000-0005-0000-0000-00006C000000}"/>
    <cellStyle name="Normal 2 5" xfId="162" xr:uid="{00000000-0005-0000-0000-00006D000000}"/>
    <cellStyle name="Normal 2 5 2" xfId="163" xr:uid="{00000000-0005-0000-0000-00006E000000}"/>
    <cellStyle name="Normal 3" xfId="109" xr:uid="{00000000-0005-0000-0000-00006F000000}"/>
    <cellStyle name="Normal 3 2" xfId="110" xr:uid="{00000000-0005-0000-0000-000070000000}"/>
    <cellStyle name="Normal 3 2 2" xfId="111" xr:uid="{00000000-0005-0000-0000-000071000000}"/>
    <cellStyle name="Normal 3 3" xfId="112" xr:uid="{00000000-0005-0000-0000-000072000000}"/>
    <cellStyle name="Normal 3 3 2" xfId="113" xr:uid="{00000000-0005-0000-0000-000073000000}"/>
    <cellStyle name="Normal 3 4" xfId="114" xr:uid="{00000000-0005-0000-0000-000074000000}"/>
    <cellStyle name="Normal 3 5" xfId="115" xr:uid="{00000000-0005-0000-0000-000075000000}"/>
    <cellStyle name="Normal 3 6" xfId="116" xr:uid="{00000000-0005-0000-0000-000076000000}"/>
    <cellStyle name="Normal 4" xfId="117" xr:uid="{00000000-0005-0000-0000-000077000000}"/>
    <cellStyle name="Normal 4 2" xfId="118" xr:uid="{00000000-0005-0000-0000-000078000000}"/>
    <cellStyle name="Normal 4 3" xfId="119" xr:uid="{00000000-0005-0000-0000-000079000000}"/>
    <cellStyle name="Normal 4 4" xfId="120" xr:uid="{00000000-0005-0000-0000-00007A000000}"/>
    <cellStyle name="Normal 5" xfId="121" xr:uid="{00000000-0005-0000-0000-00007B000000}"/>
    <cellStyle name="Normal 5 2" xfId="122" xr:uid="{00000000-0005-0000-0000-00007C000000}"/>
    <cellStyle name="Normal 6" xfId="123" xr:uid="{00000000-0005-0000-0000-00007D000000}"/>
    <cellStyle name="Normal 6 2" xfId="124" xr:uid="{00000000-0005-0000-0000-00007E000000}"/>
    <cellStyle name="Normal 6 2 2" xfId="125" xr:uid="{00000000-0005-0000-0000-00007F000000}"/>
    <cellStyle name="Normal 6 3" xfId="126" xr:uid="{00000000-0005-0000-0000-000080000000}"/>
    <cellStyle name="Normal 6 4" xfId="127" xr:uid="{00000000-0005-0000-0000-000081000000}"/>
    <cellStyle name="Normal 7" xfId="128" xr:uid="{00000000-0005-0000-0000-000082000000}"/>
    <cellStyle name="Normal 7 2" xfId="129" xr:uid="{00000000-0005-0000-0000-000083000000}"/>
    <cellStyle name="Normal 7 2 2" xfId="130" xr:uid="{00000000-0005-0000-0000-000084000000}"/>
    <cellStyle name="Normal 7 3" xfId="131" xr:uid="{00000000-0005-0000-0000-000085000000}"/>
    <cellStyle name="Normal 8" xfId="132" xr:uid="{00000000-0005-0000-0000-000086000000}"/>
    <cellStyle name="Normal 8 2" xfId="133" xr:uid="{00000000-0005-0000-0000-000087000000}"/>
    <cellStyle name="Normal 9" xfId="134" xr:uid="{00000000-0005-0000-0000-000088000000}"/>
    <cellStyle name="Note 2" xfId="135" xr:uid="{00000000-0005-0000-0000-000089000000}"/>
    <cellStyle name="Notes" xfId="136" xr:uid="{00000000-0005-0000-0000-00008A000000}"/>
    <cellStyle name="Output 2" xfId="137" xr:uid="{00000000-0005-0000-0000-00008B000000}"/>
    <cellStyle name="Parent row" xfId="138" xr:uid="{00000000-0005-0000-0000-00008C000000}"/>
    <cellStyle name="Percent" xfId="3" builtinId="5"/>
    <cellStyle name="Percent [2]" xfId="139" xr:uid="{00000000-0005-0000-0000-00008E000000}"/>
    <cellStyle name="Percent 2" xfId="140" xr:uid="{00000000-0005-0000-0000-00008F000000}"/>
    <cellStyle name="Percent 2 2" xfId="164" xr:uid="{00000000-0005-0000-0000-000090000000}"/>
    <cellStyle name="Percent 3" xfId="141" xr:uid="{00000000-0005-0000-0000-000091000000}"/>
    <cellStyle name="Percent 3 2" xfId="142" xr:uid="{00000000-0005-0000-0000-000092000000}"/>
    <cellStyle name="Percent 4" xfId="143" xr:uid="{00000000-0005-0000-0000-000093000000}"/>
    <cellStyle name="Percent 4 2" xfId="144" xr:uid="{00000000-0005-0000-0000-000094000000}"/>
    <cellStyle name="Percent 5" xfId="145" xr:uid="{00000000-0005-0000-0000-000095000000}"/>
    <cellStyle name="Percent 6" xfId="146" xr:uid="{00000000-0005-0000-0000-000096000000}"/>
    <cellStyle name="Percent 7" xfId="147" xr:uid="{00000000-0005-0000-0000-000097000000}"/>
    <cellStyle name="Percent 7 2" xfId="165" xr:uid="{00000000-0005-0000-0000-000098000000}"/>
    <cellStyle name="Percent 8" xfId="148" xr:uid="{00000000-0005-0000-0000-000099000000}"/>
    <cellStyle name="Sheet Header" xfId="149" xr:uid="{00000000-0005-0000-0000-00009A000000}"/>
    <cellStyle name="Style 1" xfId="150" xr:uid="{00000000-0005-0000-0000-00009B000000}"/>
    <cellStyle name="Style 2" xfId="151" xr:uid="{00000000-0005-0000-0000-00009C000000}"/>
    <cellStyle name="Style 3" xfId="152" xr:uid="{00000000-0005-0000-0000-00009D000000}"/>
    <cellStyle name="Table Header" xfId="153" xr:uid="{00000000-0005-0000-0000-00009E000000}"/>
    <cellStyle name="Table Header 2" xfId="154" xr:uid="{00000000-0005-0000-0000-00009F000000}"/>
    <cellStyle name="Table Header 3" xfId="155" xr:uid="{00000000-0005-0000-0000-0000A0000000}"/>
    <cellStyle name="Technical_Input" xfId="156" xr:uid="{00000000-0005-0000-0000-0000A1000000}"/>
    <cellStyle name="Times New Roman" xfId="157" xr:uid="{00000000-0005-0000-0000-0000A2000000}"/>
    <cellStyle name="Total 2" xfId="158" xr:uid="{00000000-0005-0000-0000-0000A3000000}"/>
    <cellStyle name="unit" xfId="159" xr:uid="{00000000-0005-0000-0000-0000A4000000}"/>
    <cellStyle name="Warning Text 2" xfId="160" xr:uid="{00000000-0005-0000-0000-0000A5000000}"/>
  </cellStyles>
  <dxfs count="2"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67472238-7C58-4B98-BDFF-F97375425969}"/>
  </tableStyles>
  <colors>
    <mruColors>
      <color rgb="FF0000FF"/>
      <color rgb="FF0080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115422</xdr:rowOff>
    </xdr:to>
    <xdr:sp macro="" textlink="">
      <xdr:nvSpPr>
        <xdr:cNvPr id="5123" name="AutoShape 3" descr="data:image/jpeg;base64,/9j/4AAQSkZJRgABAQEAYABgAAD/2wBDAAMCAgMCAgMDAwMEAwMEBQgFBQQEBQoHBwYIDAoMDAsKCwsNDhIQDQ4RDgsLEBYQERMUFRUVDA8XGBYUGBIUFRT/2wBDAQMEBAUEBQkFBQkUDQsNFBQUFBQUFBQUFBQUFBQUFBQUFBQUFBQUFBQUFBQUFBQUFBQUFBQUFBQUFBQUFBQUFBT/wAARCAIEA3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z/Zl/Zl+D2vfs2/CjU9T+E/gfUdSvfCWk3N1eXfhyzlmnleziZ5HdoyWZmJJYnJJJNel/wDDJ3wQ/wCiN/D/AP8ACXsf/jVH7J3/ACaz8G/+xM0b/wBIYa9VoA8q/wCGTvgh/wBEb+H/AP4S9j/8ao/4ZO+CH/RG/h//AOEvY/8AxqvUbidLW3kmkJEcal2IUk4AyeByfwrB8L/ELw54yWzGk6tb3Fzd6fDq0VjJmG7+ySlljma3cLIiMysoLKOVYdQRQBxn/DJ3wQ/6I38P/wDwl7H/AONUf8MnfBD/AKI38P8A/wAJex/+NV6rRQB5V/wyd8EP+iN/D/8A8Jex/wDjVH/DJ3wQ/wCiN/D/AP8ACXsf/jVeq0UAfL/xY/Zl+D2m+PPgxb2nwn8D2tvf+Lbi2vIofDlmi3MQ0LVpRHIBHh1EkUb7Tkbo1PVQa9L/AOGTvgh/0Rv4f/8AhL2P/wAao+Mn/JRfgT/2Odz/AOo9rNeq0AeVf8MnfBD/AKI38P8A/wAJex/+NUf8MnfBD/ojfw//APCXsf8A41XqtFAHlX/DJ3wQ/wCiN/D/AP8ACXsf/jVH/DJ3wQ/6I38P/wDwl7H/AONV6rRQB5V/wyd8EP8Aojfw/wD/AAl7H/41R/wyd8EP+iN/D/8A8Jex/wDjVeq0UAeVf8MnfBD/AKI38P8A/wAJex/+NUf8MnfBD/ojfw//APCXsf8A41Xd+LvGeieA9HGq6/qMWl6ebiC0FxNnb5s0qxRJwDyzuqj61a0fxBpfiKK5l0rUrTU47W5lsp3s51lEVxExSWJypO10YFWU8gjBFAHnX/DJ3wQ/6I38P/8Awl7H/wCNUf8ADJ3wQ/6I38P/APwl7H/41XqtMllSGN5JGCRoCzMegA6mgDy3/hk74If9Eb+H/wD4S9j/APGqP+GTvgh/0Rv4f/8AhL2P/wAaq78Nf2jfhp8YNRbT/B/jLTNb1AQfahZxOUmeHOPNVHAZkyQNyggZHPNekUAeVf8ADJ3wQ/6I38P/APwl7H/41R/wyd8EP+iN/D//AMJex/8AjVeq1k3HinTbXxRZeHpJZRqt5bS3kMQt5CjRRMiuTIF2KQZE+UsCc8A4OADgP+GTvgh/0Rv4f/8AhL2P/wAao/4ZO+CH/RG/h/8A+EvY/wDxqvRdV8QaXoUunxalqVpp8mo3IsrJLqdYjc3BVnEUYYje5VHbaMnCMccGofDPinTfGGnSX2lSyzW0dzNaM01vJAfMikaOQbZFUkB0YBsYOMgkEGgDgP8Ahk74If8ARG/h/wD+EvY//GqP+GTvgh/0Rv4f/wDhL2P/AMar1WigDyr/AIZO+CH/AERv4f8A/hL2P/xqj/hk74If9Eb+H/8A4S9j/wDGq9VooA8q/wCGTvgh/wBEb+H/AP4S9j/8ao/4ZO+CH/RG/h//AOEvY/8AxqvVaKAPKv8Ahk74If8ARG/h/wD+EvY//GqP+GTvgh/0Rv4f/wDhL2P/AMar1WigD5f/AGg/2Zfg9ovgPSrjT/hP4HsLh/Fvhi2aW28OWcbNFLrthFLGSsYJV43dGXoyswOQSK7jxN+zn+z54N8O6nr2t/Cj4d6do+m20l3eXk3hey2QxIpZ3OIugAJrT/aW/wCSdaR/2OfhP/1IdOq1+0x4P1f4gfs8/EjwzoFp9v1vV/D97ZWVr5iR+bNJCyom5yFXJIGWIHqaAOE+G3wv/Zd+L9le3Xg74e/DPXo7KRYrpbfwzZCSBmXcodGhDLuXkZAyOma2/DP7O/7P3jDTpL7SvhB4Emto7ma0ZpvB9rAfMikaOQbZIFJAdGAbGDjIJBBrxrVP2J7+fWvAN5qd9rXi+fVtXtZfG91PfQ2IWxttKube3t1S2MW6JZJVUhdzPvJYkZxjab8B/iTp/iDwpceKvBWreN/DVpqPiSRdDsvEUNq1ldXOrefY38jG4QOgttwAVmePcfkzxQB9Kf8ADJ3wQ/6I38P/APwl7H/41XnfiTwf+yr4OvvFdtrfw4+HunDwuLH+1p5fCNqYrd7wkW0e4QHc7YB2rkgOhP3hXK/s2/BL4jeD/jxqniDxkmvLcedq/wBp1dJ7R9M1eGe68y13EXTTlo4woRWt4xGAy5wRnk/iX8OvE/jaf9pTwhoOm3eq+K5fGnhnxLBDZ3UNtczaeEsirwyTssYZPsVyq7mA3RkUAe8eA/gj+zX8T9AGt+Ffhp8Ndc0vzXtzcWvhqxISVDh43Biyrg9VYAjI4rov+GTvgh/0Rv4f/wDhL2P/AMar5Vm+AHxah+FOo6HJ4Hl1iz1vxrf6w1vrGoWl3rVpbzWmEnuGjuoLaaU3HG7zJDFGVKq7KAu34G+C3xj0rxr8LtUn0nUZddtfB9ro+t6t4gvbW6tNLnjsJk821ljuTN5/nyKsiGGSOUHfvBUGgD6P/wCGTvgh/wBEb+H/AP4S9j/8arnvB/wL/Z08errR0P4T+AbwaNqk+jXufCVpH5V1CQJY/mhG7G4fMMg9ia+XPCf7M/xf0/4W6naXmjeKZdTkOhJ4h0GTVrOCDxGltd+ZfG3uEvXcyzRlg0s3kb1IUjIwPWvh58DfiN4c/ZV+M3hbQdLuPAnizxBq+rX3h60m1ZLia3hnWPyUNykj7X2hk3bsqwznADUAe1f8MnfBD/ojfw//APCXsf8A41Wfrv7N/wCz54X019R1n4W/DTSdPSSOJrq+8PafDEHkdY41LNGBlndVAzyzADkivm3w/wDsu+M/EXxC0p5vBWs+DfhVP4itLi48I3XiVJJbaGPSryG6ndoLlspPPJbqUR2ZwhZ1AY113iv9nrxv4r/YB0bwDrWgz65460e5s7mPS7jU42lkS31NX8sTmXYWNmGRdz4+YDII4APU/DPwN/Z08Yav4l0zSfhP4Bub3w7fDTdSjPhK0TyZzDHMFBaEBvklQ5XI5xnINdD/AMMnfBD/AKI38P8A/wAJex/+NV8yTfss+O4/GmpeMvC/h698KeIJvHGm3WnSSayh+xaKNIit5xJGk7RttlXY4wzv5QxuUKa7z9h/4N+OPhjdapc+M7TxDpmoTaTZ2d/HqFxaTWV/exs5kvImiuppJJG3fNLIkRYFQVyvAB6//wAMnfBD/ojfw/8A/CXsf/jVH/DJ3wQ/6I38P/8Awl7H/wCNV8F6P8H/AIn/ABX0XxbqPgjw/rEN2LnxxYXXiCXxGixawss9zDZ2MULz5iMc/wA+WVEXYWDEua9e8W/ss+NtJ+Lvh9dEtfEh8HWtrpLaXfaPqEE82kXcd3JPftM13eRuPOZ9zyIsxkUlMcKKAPpb/hk74If9Eb+H/wD4S9j/APGqP+GTvgh/0Rv4f/8AhL2P/wAar5Z1D4B/GL/hGfilpehaFqUGn6lrmn6ks2rXlousazAL+Wa8tDJFdtFLEImURtMbdmVjEwwMgm/ZO8beJPD+l6fd6Z4ml0i18L+KBa2OqatBaS2eoXE8EmnQbLa8kXYpV2jBkdY9q7ipCgAH0tY/s3/s+apqWp6dZfC34aXeoaZIkV9aweHtPeW0d0WRFlUR5QsjKwDAZVgRwa4T4sfsy/B7TfHnwYt7T4T+B7W3v/FtxbXkUPhyzRbmIaFq0ojkAjw6iSKN9pyN0anqoNUv2Tvgl4k+F/xd8e614n8KXFvd+IdM0i5HiNtRiuEkuFsLaO+t5FEpfzDdRyyb9hUjo3IB9Y+Mn/JRfgT/ANjnc/8AqPazQBwnxI8A/srfCK+0yz8XfDz4c6Pd6mkslnA3hK2leZY9okYLHAxwu9Mk/wB4V1uofs1/s/6TodzrN/8ACn4b2Gk2tu13cX114bsIoYYVUu0ju0QCqFBJJwAAc1wH7UXw38b6/wDG/wCGfi7wxoPijWNM0bS9VtL6Twjq9hp97FJO9qYlJu5UVkYRPkLk8DpXCfET9nvx1488bfHKC38KXk+jeMvC2owQX/iO7thJFqBhgFnBZyw3LMbcyRBmSaJBGyfKzByCAe26X8Af2eNa1650ex+E3gG5vbezgv3MfhG1MJgmLiJ0m8jy33eW3CsSAASACM7f/DJ3wQ/6I38P/wDwl7H/AONV8tt+zj8SNV0MWOneENW8LaPNp3g60Ol/29Ck0BtNVnl1IrJFckqfKcSblbJDgL8w2jZ+H/7Lvjj4b/EjRte0XRr6OGy8WeJo1jufELvAugTWc/8AZ0O0zttiNy0ZCqu9GO4gcmgD3vXf2b/2fPC+mvqOs/C34aaTp6SRxNdX3h7T4Yg8jrHGpZowMs7qoGeWYAckVof8MnfBD/ojfw//APCXsf8A41XxXD+yr8VvE3wu+JFjrPw/ks31CHw1qdh4dj1G3igk1G1vXfUFgxfT4LQEqJZZFMgKFsMPl9B0v4AfFF/jxda4LPxF4ft/tS3Og6lbXdnLbadY/wBmLAmnXRN4ZAscudyRQyqzgSBzyaAPcv8AhRf7Oh+IB8E/8Kn8A/8ACSDSxrJs/wDhErTH2UymHzN/k7fvgjbnPfGKi/4Uv+zU95YWtv8ADL4c38t7qU+jxf2f4Ws7pFvIVdpoJGjhZYmTynDCQrgrtPJAryn9jf4D+NPh18U7TX/EPgfUPCyJ4Gh0TVL7Udei1J9T1dLpZLi6ULNIUWXlxnb0OQDjOF4F/Zm8b+CPFpttG8F3Wj2Nv8RtZ1mXVI9WgMF7pdxaagtmQnnl8xtPEjKyhtzg/MAWAB9M/wDDJ3wQ/wCiN/D/AP8ACXsf/jVH/DJ3wQ/6I38P/wDwl7H/AONV8ZTfsUfEW3+HbC00fWl8Tr8NbDyx/wAJS2f+ErhuGO/Judm9IsKrn92q/Kp7V67pvwS+JB/a8vPFmspr0ml/28uoadrmmz2hs1037CsRsZw90syIJN5MaW7hnIk3ZyQAdL8WP2Zfg9pvjz4MW9p8J/A9rb3/AItuLa8ih8OWaLcxDQtWlEcgEeHUSRRvtORujU9VBr0v/hk74If9Eb+H/wD4S9j/APGqPjJ/yUX4E/8AY53P/qPazXqtAHlX/DJ3wQ/6I38P/wDwl7H/AONUf8MnfBD/AKI38P8A/wAJex/+NV6rRQB5V/wyd8EP+iN/D/8A8Jex/wDjVH/DJ3wQ/wCiN/D/AP8ACXsf/jVeq0UAeVf8MnfBD/ojfw//APCXsf8A41R/wyd8EP8Aojfw/wD/AAl7H/41XqtFAHlX/DJ3wQ/6I38P/wDwl7H/AONUf8MnfBD/AKI38P8A/wAJex/+NV2XxC+Ivhv4U+E7zxN4t1e30LQbQxrPfXROxC7qiDgE8syjp3rO1n4z+B/D+peENP1DxPp9ve+LjjQYTJuOo8IcxYzkYkTnp8w9aAOe/wCGTvgh/wBEb+H/AP4S9j/8ao/4ZO+CH/RG/h//AOEvY/8Axqu/8TeKdN8I2EN7qkssNvNcwWaNDbyTkyzSLHGNsasQCzKCxGBnJIAJrWoA8q/4ZO+CH/RG/h//AOEvY/8Axqj/AIZO+CH/AERv4f8A/hL2P/xqvVaz9d8QaX4X019R1nUrTSdPSSOJrq+nWGIPI6xxqWYgZZ3VQM8swA5IoA86/wCGTvgh/wBEb+H/AP4S9j/8ao/4ZO+CH/RG/h//AOEvY/8AxqvVa5K++KXh2w+JmneAHuLmXxTfWLamlrb2U8scVsCyiWaVUMcKsyOq72Xcy4GTgUAcv/wyd8EP+iN/D/8A8Jex/wDjVH/DJ3wQ/wCiN/D/AP8ACXsf/jVeq0UAeVf8MnfBD/ojfw//APCXsf8A41R/wyd8EP8Aojfw/wD/AAl7H/41XqtFAHlX/DJ3wQ/6I38P/wDwl7H/AONUf8MnfBD/AKI38P8A/wAJex/+NV6LqviDS9Cl0+LUtStNPk1G5FlZJdTrEbm4Ks4ijDEb3Ko7bRk4Rjjg1oUAeVf8MnfBD/ojfw//APCXsf8A41R/wyd8EP8Aojfw/wD/AAl7H/41XqtFAHlX/DJ3wQ/6I38P/wDwl7H/AONUf8MnfBD/AKI38P8A/wAJex/+NV6rRQB5V/wyd8EP+iN/D/8A8Jex/wDjVH/DJ3wQ/wCiN/D/AP8ACXsf/jVd1408aaJ8O/C2peJPEeow6TomnReddXk+dsa5AHABJJJAAAJJIABJrN+G/wAVPC/xc0e71PwrqTahbWd29hdLNazWs1tcIFZopYZkSRGAdDhlHDA96AOX/wCGTvgh/wBEb+H/AP4S9j/8ao/4ZO+CH/RG/h//AOEvY/8Axqux1X4jeGtD8Ry6DqGsW9pq8WlS629rKSGFlE4SSfOMbVZlB5yMiqPh34xeDPFn/CLf2P4htNQ/4Si0nvtG8ksftkEOzzZF44C+YgOccsB1oA5z/hk74If9Eb+H/wD4S9j/APGqP+GTvgh/0Rv4f/8AhL2P/wAar1Wue8DePtD+JGizat4fvDfWMN7dae8jRPHie3meGZcOAeJI2GehxkZFAHF/8MnfBD/ojfw//wDCXsf/AI1R/wAMnfBD/ojfw/8A/CXsf/jVei2PiDS9U1LU9OstStLvUNMkSK+tYJ1eW0d0WRFlUHKFkZWAYDKsCODVLxz420f4b+DtZ8U+ILo2WiaPayXt5cLE0hjiRdzNtQFm4HQAmgDh/wDhk74If9Eb+H//AIS9j/8AGqP+GTvgh/0Rv4f/APhL2P8A8ar1C1uY7y2iuIW3xSoHRsEZUjIPPtUtAHlX/DJ3wQ/6I38P/wDwl7H/AONUf8MnfBD/AKI38P8A/wAJex/+NV2ng/x9ofj1daOh3hvBo2qT6Ne5iePyrqEgSx/MBuxuHzDIPYmuhoA8q/4ZO+CH/RG/h/8A+EvY/wDxqj/hk74If9Eb+H//AIS9j/8AGq9VooA8q/4ZO+CH/RG/h/8A+EvY/wDxqj/hk74If9Eb+H//AIS9j/8AGq9VooA8q/4ZO+CH/RG/h/8A+EvY/wDxqj/hk74If9Eb+H//AIS9j/8AGq9VooA8q/4ZO+CH/RG/h/8A+EvY/wDxqj/hk74If9Eb+H//AIS9j/8AGq9VooA/Mv8A4K7fBH4dfDX9m3w3qfhHwB4X8K6lN4ttraS80TRrazmeI2d4xjLxopKlkQ7c4yoPYUV2v/Bav/k1nwt/2Odr/wCkN9RQB9Vfsnf8ms/Bv/sTNG/9IYa9Vryr9k7/AJNZ+Df/AGJmjf8ApDDXqtAFDxBbz3mg6lBbAm5ltpEiAbadxQgc9ua/Pu3/AGUvippdnZXmm+G7q08bX3whtfDv/CQprMIbTNbhWdZVkYTbiZIXjiWWMOqt82VwWr9E6KAPhDwb+y74u1aPwfp+q6H4m0/wo3i9tQ1rQ9Q1G1tI7W0/smaB/KFpezEwyTmMMgfLFmYoFYmuq/ZH/Z68d/CLxp4L1TXLLUrdJvBV5p/iSW91v7aH1BL+E2SlTM+StsJFVkG1VG3IJAr7FooAKKKKAPKvjJ/yUX4E/wDY53P/AKj2s16rXlXxk/5KL8Cf+xzuf/Ue1mvVaACiiigAooooAKKKKAPHP2rvAGvfEr4SxaN4bsf7R1Jdf0a9MPnRxfuYNRt5pm3Oyj5Y0dsZycYAJwK+Ub/9lf4geHdM13SdE8EahHoQ+Iepavf2tjf2s39u6VOt0bIxxS3cQb7OZU3RzPGSxVhvKcfojRQB+ffiv9kn4k69oGossXii/wBW0/wv4ZtNAvb3xDHbXqXkF/K14z+Tc+WJktnC+YWbIYhHYk19I/s9/CjWvhfovxU8PTWc9loNz4mu7jw1bz332kCwktLYDaS7simcXB2uQQSTjBBPudFAHw18F/gZ8WbzTfgbp+r+EB8Pbj4YaFqNs2sX+pWl1LfXdxZNbRpCltJJiJWYSsXIJ8tQFzzXH+D/ANmP4m2nwm8QWGtaT46h16e00qK9s7S60ue11O9t5mkkutsmo/6UrnAl81oGkRlGCVwP0VooA+LvDvwh+JH/AAsHw/q3jL4ezasw8J6VY6U2heIFhsPCl7EkwvFMT3AeTeWiwyiXcECFivNeX+NvgD40+DX7OUOqPZahpklj8KNbTxPdSaz9okTWpY7ELk+cxYhLd1Ux5RRHgEZGf0hprKsilWUMrDBUjINAH5xR/st+NfEF/p3imX4Zas3h2z8WaNqcHhK78TRXN3JCun3EWpXaSvc7P308lo+GkDsICxCliD0HiT9nv4rT6RDDrXg7VvGmlt/wliWui2PiGC1ex1C71JpdO1F2a4RWQQEgYZni3EhM5Fff9FAHwr4J/Zh+Kmh+KtD8Ta1/aGqeLdP8baJLPrC64THPpKaTbwajKIjMF2yTpJuUoJH2qcEAV91UUUAFFFFABRRRQAUUUUAeVftLf8k60j/sc/Cf/qQ6dXqteVftLf8AJOtI/wCxz8J/+pDp1eq0AFFFFABSYGc45paKACiiigDnta8faH4f8XeHPDF9eGHWvEIuTptv5TsJvs6B5vmAKrtVgfmIznjNdDX5teIP2WPjZqmuXV5pPh2/0vxtCvixbrxxN4kiaLVGvBJ9gaCITF4MRFYQdiFCV7DK7Oqfs4/EZfhTJFpHhTxdLqi69/aVj4U1WXS/7KWUWYhKzQpqRxbO+W8xJfNSQGQR80Afe2i+KdN8QX+sWVjLLJcaRcizvFkt5IwkpjSQBWdQHG2RTuQkc4zkEDWr80/2rtL8Y+DdY1GLxNNb6RpXinxjdX9t/aGpRGwltY9AhhLDzLq2QMk/mGJZJo23oGCPXTXv7Pvif4jeEP8AhKvBGleIvssfgvwo3gyTUNVFjdLeQ3UklzJLD54VZhC4JZxtPmMEJyaAPuTwN4+0b4i6Vd6holw80NnqF1pdyksbRyQ3NvM0M0bKwyCGQ/UEEcEV0VeA/sjrJdn4y6zEP+JRq3xF1WfT3A+WWOJILWSRT3Bnt5+Rxwa9+oAaqqgwqhRknAGOvJp1FFABRRRQAV5V8ZP+Si/An/sc7n/1HtZr1WvKvjJ/yUX4E/8AY53P/qPazQB6rRRRQBn2PiDS9U1LU9OstStLvUNMkSK+tYJ1eW0d0WRFlUHKFkZWAYDKsCODWhXwx8Rv2bfGtv8AFD4z6n4a8FXl1YeJta0PV/tVjrUVqdX02P7L/aemAtOrxSyvHK2WCoVyu8Bgp7DR/g38Qrf9kX4yeFrPR73R9W8QT6tN4T8Mz6rHLcaXazRItvamcStGh8xZHwshVPNxu4oA+t6wvHPjbR/hv4O1nxT4gujZaJo9rJe3lwsTSGOJF3M21AWbgdACa+MfFv7LPjbSfi74fXRLXxIfB1ra6S2l32j6hBPNpF3HdyT37TNd3kbjzmfc8iLMZFJTHCivHLL4KfEj4zeHfGNz4R8M6ozvP4402+1q68QRm31qOWe5hs7COCSb935c/wA/zIiLsLBiXNAH6k2tzHeW0VxC2+KVA6NgjKkZB59qlr4dv/g38ZL39pbTvEWm+Gl8OWdndz258QWt7E0U9k+jvFC8xa7aRyt1tzCtuqJsRlLEs1cu37PXxLb4P+CNJi+Huvadd6bfwyeNbSTXbXUJ/E04s5o2vY1e9SN1E7LJtkkiZtynafKWgD9CqK4b4G+GdS8G/CDwjoer3OqXeo6fp0VvNLrckUl7lRgCZondGcDAJV2Bx949a7mgDyr4yf8AJRfgT/2Odz/6j2s16rXlXxk/5KL8Cf8Asc7n/wBR7Wa9VoAKKKKACiiigAooooA8d/au+HOrfFT4Tw6Bo2mpq9w2v6NdTWskkaK1tDqNvLOSXYKQIkc4zk4wASQK+VdF/ZJ+LWnal4fu9Q0uHV38C+JrHRvCvmajEn/FOWrXkq3MjB8qzme0iZR+8AtVIXgGv0MooA/PH4d/s/fGy1sdbM/hK48NRahqPhG/bS7fULeOBJ7XUWk1J4wL2clREFO93DzKFyu75R6T8F/2efHXgf4ueDPFt3YahbzS6z4s/wCEinl1oTobCe4eTTF8rzmXYflYLGuVLEsFJNfYtFAHxN44+A3xQ8Q/HTVdQt9H1D7dceMLbU7Dx4uuIlnZ+H1tY0m0z7MJvNDMwlUqISrGXeWyK8u8Qfsz/GT4jfDXTtK8Q/Dy887w14M0bR4LW58QWsh1O+stVgluJI9k+F8y2E4VpCOvO07a/SqigD5x/aC+HfiDxV4X+FSaV4N1LXPCGkXYl8QeA7TVIba6nt/sUkcEZkadIpfImaNmQzbWKAgtgVwn7Kf7MXi34d/F7S/F3jXSme9i8ExaedRl1T7W8N2dQvGW1Y+YWcxWT2kRfBQ7OCTk19k0UAfCfxi+CPx6074y+JNd+HltLfeHNJ1ZfGmhWr6rDGNS1GdbO2urBxJINkYiS+lBYBN0qgc5rO1z9nH4taL4i+Fen6N4ckvh4Xh8ONJ4rg1GMzyvHdb9WEry3ilFIZyEjgcSq7BnyFWvv2igD4b0n9j7xBqjeFT4h0XUpTqHxA1fUfFP/E/cb9HP9pfYV+SfiI/aIsxRc/vW3r97HJ6t8Afjhq+u/FS8s/Bsnh99d8LeIdMWPT9UhSC9vJLqNtPdZHvZJJHaIMfNkWHYWdNqrjP6IUUAfn/42/ZB8T2njaO7s/BWo+KPCml+LtE1q20xtfV5p4Tpk0OpvG09yCHNx9mdt7KW2EqTznuP2WvB/iGD9pL4h6Pf6lJf+DfhjLdaT4eb7Q0gd9TlS/dHOfme3i8qHnOA9fZFNVVXO1QNxycDqfWgD448WfCv4i2/jz40aqnw7uPGniLVxcP4Y8Q3XiIW+nJYNYxRpprQLcxyqfNEuQFVWL7jIpANcl8Ovg78Zfh3b6NrEHg3Ur2y0b4gyaxbeF01KytZW02fR/s7bE+1yQxKty7MYjMedzDOc197UUAfAfwf+APxl8I+LPAN5caFex6zDpF1YapqWuX9rd2OlZF80UtnLHc+cJS88QeMwPG6kMWUrgY3g/8AZj+Jtp8JvEFhrWk+OodentNKivbO0utLntdTvbeZpJLrbJqP+lK5wJfNaBpEZRglcD9FaKAPmX4ufDb4heOP2LNM8GL4bsE8T3Nhptrrnh/TbmP5bdXi+1Q2ctwzRrMEUiN3YhWAIYkBq539iPwF8XPhn4h8QaP400G807wXNbPc6ZeXs1lLfXl0bp2kudTaKeV3vJIpIV3KzRlLfnY2FP15RQB8tfttfBHxx8TZfCGpfD2yW61N4tR8LaywuYrdodJ1GARzz5dhu8poo2Crljk4HWvLvDf7KXxW8N2Pxh0nQoE8O22kaDqXh/4a3cd/GGe3vr+a9l2srFoGVRbwKzhSNuRwK+9qKAPgTRv2V/GPirx7pYufBOs+DvhPceIrS4ufCN14lSSW2hj0q7iup3aC5fKTzyWylEdmYIWZQGNdz+yl8DfiN8KvjBrmpeLdHku/D2pnWG0qYX8JGhmTVrifYYVkIcXUUsMnmAM6GLY20Yr7CooA+GPiN+zb41t/ih8Z9T8NeCry6sPE2taHq/2qx1qK1Or6bH9l/tPTAWnV4pZXjlbLBUK5XeAwU9XY/BHx3N+x58aPByaDdaff+JJtWfwt4UvNSinm06zmiRYLRpvNaJSXWR9okKp5uN3FfXlFAH5w3n7M/wAXS17NpvhDWdF8AtrNjLdeBW1y31G5uzFp88NxeL5l2kTo9w8L7HnRmMQkKhgBXv8A8QfhL44u/wBkXwh4Q0+LXPEeq6bPpLaxpV/qUNvqeqafDcRtc2b3CTeWJGiBUkS7W2kbznJ+n6KAPzcsv2XfibpVnrCXfwz1fUvC9/c+IptK8KWvim3SbSry7a1NhezTG5VZPLRJI8h3eM5Kq2QT1Wk/ss/GLT7u216e4vrjx/a+LNJKeIDrZaFtPXRoLe+uPKMu3a9yrllKeY+1TtIAr75ooA+S/wBh/wCDfjj4Y3WqXPjO08Q6ZqE2k2dnfx6hcWk1lf3sbOZLyJorqaSSRt3zSyJEWBUFcrx9aUUUAFFFFABRRRQAUUUUAfAH/Bav/k1nwt/2Odr/AOkN9RR/wWr/AOTWfC3/AGOdr/6Q31FAHr/7Mvwn8Ual+zb8KLu3+M/jjS7e48JaTLHY2lnoTQ2ytZxERoZNMdyqg7QXdmwBlicmvS/+FN+Lv+i7fED/AMAfD3/yqo/ZO/5NZ+Df/YmaN/6Qw16rQB5V/wAKb8Xf9F2+IH/gD4e/+VVH/Cm/F3/RdviB/wCAPh7/AOVVeq0UAeVf8Kb8Xf8ARdviB/4A+Hv/AJVUf8Kb8Xf9F2+IH/gD4e/+VVeq0UAeVf8ACm/F3/RdviB/4A+Hv/lVR/wpvxd/0Xb4gf8AgD4e/wDlVXqtFAHy/wDFj4T+KLXx58GIpfjP44vHufFtxFFNNZ6EGtWGhas/mR7NMUFiqNHhw67ZG+XcFZfS/wDhTfi7/ou3xA/8AfD3/wAqqPjJ/wAlF+BP/Y53P/qPazXqtAHlX/Cm/F3/AEXb4gf+APh7/wCVVH/Cm/F3/RdviB/4A+Hv/lVXqtFAHlX/AApvxd/0Xb4gf+APh7/5VUf8Kb8Xf9F2+IH/AIA+Hv8A5VV6rRQB5V/wpvxd/wBF2+IH/gD4e/8AlVR/wpvxd/0Xb4gf+APh7/5VV6rRQB5V/wAKb8Xf9F2+IH/gD4e/+VVH/Cm/F3/RdviB/wCAPh7/AOVVeq0UAeVf8Kb8Xf8ARdviB/4A+Hv/AJVUf8Kb8Xf9F2+IH/gD4e/+VVeq0UAeVf8ACm/F3/RdviB/4A+Hv/lVR/wpvxd/0Xb4gf8AgD4e/wDlVXqtFAHlX/Cm/F3/AEXb4gf+APh7/wCVVH/Cm/F3/RdviB/4A+Hv/lVXqtFAHlX/AApvxd/0Xb4gf+APh7/5VUf8Kb8Xf9F2+IH/AIA+Hv8A5VV6rRQB5V/wpvxd/wBF2+IH/gD4e/8AlVR/wpvxd/0Xb4gf+APh7/5VV6rRQB5V/wAKb8Xf9F2+IH/gD4e/+VVH/Cm/F3/RdviB/wCAPh7/AOVVeq0UAeVf8Kb8Xf8ARdviB/4A+Hv/AJVUf8Kb8Xf9F2+IH/gD4e/+VVeq0UAeVf8ACm/F3/RdviB/4A+Hv/lVR/wpvxd/0Xb4gf8AgD4e/wDlVXqtFAHy/wDtB/CfxRYeA9Kln+M/jjUUbxb4YiENzZ6EFVn12wRZB5emKd0bMJFBO0si7lddyn0v/hTfi7/ou3xA/wDAHw9/8qqP2lv+SdaR/wBjn4T/APUh06vVaAPKv+FN+Lv+i7fED/wB8Pf/ACqo/wCFN+Lv+i7fED/wB8Pf/KqvVaKAPKv+FN+Lv+i7fED/AMAfD3/yqo/4U34u/wCi7fED/wAAfD3/AMqq9VooA8q/4U34u/6Lt8QP/AHw9/8AKqj/AIU34u/6Lt8QP/AHw9/8qq9VooA8q/4U34u/6Lt8QP8AwB8Pf/Kqj/hTfi7/AKLt8QP/AAB8Pf8Ayqr1WigDyh/gv4skXD/HTx8wznDWHh0/+4mnf8Kb8Xf9F2+IH/gD4e/+VVeq0UAeUj4M+LR0+OvxAH/bj4e/+VVL/wAKb8Xf9F2+IH/gD4e/+VVeq0UAeVf8Kb8Xf9F2+IH/AIA+Hv8A5VUf8Kb8Xf8ARdviB/4A+Hv/AJVV6rRQB5V/wpvxd/0Xb4gf+APh7/5VUf8ACm/F3/RdviB/4A+Hv/lVXqtFAHlX/Cm/F3/RdviB/wCAPh7/AOVVeafFj4T+KLXx58GIpfjP44vHufFtxFFNNZ6EGtWGhas/mR7NMUFiqNHhw67ZG+XcFZfqCvKvjJ/yUX4E/wDY53P/AKj2s0AH/Cm/F3/RdviB/wCAPh7/AOVVH/Cm/F3/AEXb4gf+APh7/wCVVeq0UAeVf8Kb8Xf9F2+IH/gD4e/+VVH/AApvxd/0Xb4gf+APh7/5VV6rRQB5V/wpvxd/0Xb4gf8AgD4e/wDlVTV+DHixBhfjp4/UZJwLDw6OvJ/5hNer0UAeVf8ACm/F3/RdviB/4A+Hv/lVR/wpvxd/0Xb4gf8AgD4e/wDlVXqtFAHlX/Cm/F3/AEXb4gf+APh7/wCVVH/Cm/F3/RdviB/4A+Hv/lVXqtFAHy/8WPhP4otfHnwYil+M/ji8e58W3EUU01noQa1YaFqz+ZHs0xQWKo0eHDrtkb5dwVl0PCt3H428STaBo/7RHxIutWh/1tu/h/R4fK+XcN7PoqquV5GSM9s13fxk/wCSi/An/sc7n/1HtZrB8XfDzxldr8c5dCVrG/8AEVraJo1zHdrC8zR2YjkVXU7oWJBQOcFSQw6ZoA25Pg/4shjeR/jv8QAigsT9h8PdB/3CazvC/wAP9e8Z+GdI8QaR8fPiDc6Vq1nDf2kx07w+hkhlQOjbW0kEZVgcEAjvUvwX8GanoN542uI/Dd54M8N6iLZdM8OX11DLJDMkTLcTgQzSxxiQtGNofkxM5AL8/Pfhf4B/ErS/hzoul6R4T1Twn/Z+gaNp/iHTZtVtrlvEFxBcRNO0OLooQIUlX968QkWQRHCDgA+k/wDhTfi7/ou3xA/8AfD3/wAqqP8AhTfi7/ou3xA/8AfD3/yqrnrH4c+LLL9l/wAR+GNAuNW0zxNd21//AGdHqssMM9qZZHZIY2gmkWJAG2x4kJjUr93bgeY6r8D/AIg3Pw9msvB1pr3hjXZtWmvoW1C6s7KHT4fsBilghS2uJwFuThOv7uRmuMAou8A9v/4U34u/6Lt8QP8AwB8Pf/Kqj/hTfi7/AKLt8QP/AAB8Pf8AyqrwfRfB3iXxV8TPFH/CM+F9V0DVtL8WWAg8QXGpwtbaNZpoli01g0QnZmJLlSscbxuZAxc7AQeFPgf4+034f3MV5pPiSW+c6Iuu6Ib2yii1tLe4L3jQzLdsZJZFJ3vMYfOQKr85CgHt0fwv8Qy6pPpqftBeOH1GCGO4ls1tvDhmjidnVJGT+yshWaOQBiMEowHQ1a/4U34u/wCi7fED/wAAfD3/AMqq8j8SfBTXpNc8W6r4N8DXfhbUtc8DRaXpV617bCbSruGa9LwyOlwzRtJFPAiNEXVNuNyhAaZp/wAHvEdjo+kmbwn4k1bw3/wkUl7qXg2S40+zIQ6e0MbwJHetD5Sz7XaNpl/eEyhSQCQD0nwr4D1zxr4fs9b0f4/fEC6028UtDMdN0BNwDFT8raSCOQeorW/4U34u/wCi7fED/wAAfD3/AMqqv/s7eEdU8B/BTwnoGtWbWGqWFqYp7Z7kXBjO9iAZQTvOCPmySe/NfPWtfBL4w/8ACRajZ6ebr/hHvtFx4St3GqRqV0K/uJ7m4v1G/Ilt1e1t0BxJ/o7leGyQD2DRPAeueIr7XLOw+PvxBmuNFvRp98p03w+vlTmCKfbk6T837ueI5GR82OoIrW/4U34u/wCi7fED/wAAfD3/AMqq881T4F+I4fiB4j8VaHYyafrt141gurLUhejaml/2Nb2sjeX5m3Z5yOGj27mMatg7UI5DwX8A/G3/AAgradqVh4itNSurvw3FrFvLfW0Nvdrb6jHJfXUc0N28skjRebvkfy3kXYMFhtUA9y/4U34u/wCi7fED/wAAfD3/AMqqP+FN+Lv+i7fED/wB8Pf/ACqrI0jwT4o8HfBn4g6FpWhx3119u1NvD+j3V3+5ktZGLQxBhKuxDuYBC8eBhcoOQz9n7wV4v8L+BfHOnX9m/hyW71eebQbedYVS1geytgpWGGaZIl+0CdvLDnkk/wAVAEmseA9c0HVNC069+PvxBiu9bunsrGMab4fbzZUgluGXI0nC4jgkbJwPlx1IFa3/AApvxd/0Xb4gf+APh7/5VV5P4V+BNzr2k/C3TNZ+H2p6THpGqrc+J5NT1eGcajKNIvYHuS0Vy7Sq9xLGCWCvIHG9NqnGNZ/C34qxal8OYJvDEgm0CbRVOvLeQTXK2sd+32yKWd7sOFFrgbI4n8wMdzE/KoB7j/wpvxd/0Xb4gf8AgD4e/wDlVR/wpvxd/wBF2+IH/gD4e/8AlVXzZ8YfBd14A8MaFb6rHbWWreJPFfiC71NtavY5YLm18y/ay3GW8t4vkiuIpI4/PUowyEJVinTaX8Mtf8Waz4D1vSYfEz+DW0Pw/Jol9bpaR3emeS5kn89ZbmMxNIpQyGJZfMQshyFQMAe1v8HfFsaMzfHb4gYUZOLDw8f/AHE1X0r4W+Jta0uz1C0+PHxDa1u4UniaTTdAjYoyhlJRtJDKcEcMAR0IFW/gn8NrnwT4Z8S3GoWUkHiXWdZ1a5uJprozvLA2oXT2YDb2CqIJI9qDG3cQQDmvOfhf8N/Gvhjxh8KLy+8P3lzc2PhfT9J1681aa1ngsGisZBI1pKlwZRK07KkimN45BhgwK5IB6L/wpvxd/wBF2+IH/gD4e/8AlVR/wpvxd/0Xb4gf+APh7/5VVgeLvBGv3nxu1LV5PDt/rUFxp1nB4e1uC9hW20CdDP57yQvMj5YvExaNJPMUBGwFwfLNN+BvjbUtL0izj8L6x4athDoNr4khuNdid9ZuYtUtZbu8WSK4ZiBbx3W6RyksomC7SVAAB7l/wpvxd/0Xb4gf+APh7/5VVk+JfAeueEbG3vNV+PvxBt7e4vbXT42Gm+H3zPcTpBCuF0k43SSIM9BnJwBmuT8E/A7WvAfirSdWstOurKKHX9eS5c6kZFj0aSO4ayhVDIcRCTyCsSj5Cc7V+avMPgx8MfF3ir4f/DnWdL8MalpGnyaZ4Su9Uk1LVYZzrNxDqVndyXyjz3OEt45jmTZIwkVAh2AAA+iNT+F3iLRdNu9R1H9oHxzYafaRPcXF1dWvhyOKGNFLO7u2lAKoAJJJwACasL8HfFrKGX47+PyCMgix8Pc/+UqvCrj9nbxt4m0f4nadrlnqlzrWr6N4gso7uSS0Gm6rJcSs9iXf7S0xMeIvLDwoIQHQELjdtah8IfFerfEDw/fw+Htf8PeHIrXSf7Mt9NewM2hSQ3Mj3KPm8AQSAoXaETeZGSjD5VUgHo3hjwHrnjHS31HSfj78Qbm0W6urIyHTfD6fvbeeS3mXDaSDxJE656HGRkEGtR/g74tjRmb47fEDCjJxYeHj/wC4mvE/FPw98XeGbfwnods0mn3vjjXvEHhrU7WO7AdNNutUutSF6hRjh0s0uQpBBDXag4IwPbfHXwzn8XfGXwfq9xYyXXh/RdE1Ipi62RR6i1xYtasYgw3sFiuCpKlVI7ErQBW0r4W+Jta0uz1C0+PHxDa1u4UniaTTdAjYoyhlJRtJDKcEcMAR0IFWv+FN+Lv+i7fED/wB8Pf/ACqr5wT4f+MtQ1Wy8KN4e1a+8a6V8P8AwfBDqserxLD4f1BZb0T3EmZxvP7o5eJZS4jKdH5TR/h9498daP4ivfBWl6poWtm/8Y2tx4ouNXQRapG2oXUVtaRATGSMo6rtLJGsRiJU/PkgH0h/wpvxd/0Xb4gf+APh7/5VVk+FfAeueNfD9nrej/H74gXWm3iloZjpugJuAYqflbSQRyD1Febaf8HvEdjo+kmbwn4k1bw3/wAJFJe6l4NkuNPsyEOntDG8CR3rQ+Us+12jaZf3hMoUkAnqdP8Ahj4u0n9lnwd4V/si6l1PTbizfV9Bt9STz7yzS7Dz2y3DSKrlo+u6RRIAVZgGNAGtr3hXWPDfiDQtEu/jz8SH1TWmkFnbWujaHOSsewSSOU0giONTJGC74UF155qjodhc+IPAt54ztv2gviNF4YtYZbp9Ru9G0OBGt403tOgfRwXi2jcHUEMOhNYHw/8A2fb2f4oaFr+veEhaeHreHxBHZ6dqFzFPLpNvcSaf9mtjskcYYx30gWNmSMS7cjgVs6X8Db2x/YXuPhqvh6GLxHN4LksX0pZY8NqRtCAC+7Zu84L827bkZzjmgDovDnw58TeKNDs9VtPjj8S4La6TzI477R9CtZgMkfNFJpCuvTuBxg1pf8Kb8Xf9F2+IH/gD4e/+VVcB4y+Aet3GpeNbvw5YPp9xb+DLDS/Czw6gYEgug2oC7SIK/wC5kaOWFPOKgjeNrfK2MnTfgbrHiLxppLP4Q1Dwz8N316K5uPC17qcX7tE0m+ilmdILh0MctxLaKYldtxjLsuGY0Aeq/wDCm/F3/RdviB/4A+Hv/lVR/wAKb8Xf9F2+IH/gD4e/+VVcd+z38IPEfw21jwrc31peQCXwpJa6/NdambtptQS4hMHmFpHLssRnUOMgL8uQNoqBvBfju6/ah03xEPDK6boNtqtwlzq9rJDi905tMkSPzXNyZXP2ry/3QgVUKKwJ5YgHcf8ACm/F3/RdviB/4A+Hv/lVWT4l8B654Rsbe81X4+/EG3t7i9tdPjYab4ffM9xOkEK4XSTjdJIgz0GcnAGareLvBGv3nxu1LV5PDt/rUFxp1nB4e1uC9hW20CdDP57yQvMj5YvExaNJPMUBGwFwfMfD/wAFfHEkfhsweE9R8PLZHw6ddi1DVoLk6vfW2r2lxcX6lZ33bIobhjJJslk81RtJUAAHpfhvwzqfixo10v4//ES48x72NW/sjQlXdaXJtbgFjpAAKygqATlgCVyATWtJ8MPEserQaY3x4+If2yaCS5RRpmgFCiMisS/9kbQcyJ8pOTkkAgHHn8Hwf8YR6dPZ3en6xBp82m+M7eZdDvrZboSX+uxXNm0fmSqhdrfzHG4gAZVipbBgm+GvxR1HwbZQ2GkReGL+Hwj4i0uO3025jskSea/s3swEjmkEEssEMx3Ru6xMxwy8CgD1P/hTfi7/AKLt8QP/AAB8Pf8Ayqo/4U34u/6Lt8QP/AHw9/8AKqvKtM+Bus+IPG2ks/hDUPDPw4bXorq48LXupxfu0TSb6KWZ0guHQxy3EtopiV23GMuy4ZjXuPwP0HWvC/wn8NaR4hEy6tY232eVbi4E7hVZhGDIGbcdgTnJPrzQB8Cf8FdvAOu+Ff2bfDd3qfxK8UeMbd/FttEtjrdtpUcMbGzvCJAbSygfcApXBcrhjlScEFdr/wAFq/8Ak1nwt/2Odr/6Q31FAH1V+yd/yaz8G/8AsTNG/wDSGGvVa8q/ZO/5NZ+Df/YmaN/6Qw16rQAUUUUAFFFFABRRRQB5V8ZP+Si/An/sc7n/ANR7WauaD+0F4N8Q6B481mC8uIbLwTfXthrH2i3ZHR7VnWVo16yIWjkVWX7xRgOQRVP4yf8AJRfgT/2Odz/6j2s159p37L2v2vizS7ttV06LRLzXNVv/ABPZRmRm1C2Ot3Wq6UiHaBuje5KyhuCruoLDBIB7L4O+Lfhbxto/hu+s9Vt7WXxDZrfafp19KkN5LEwznyS24kYOcZxg0viT4weCfCFhd3ur+KdLtLezvrfTbpvtKube5nkEcUUgUkoSzD7wGAGY4VSR4FY/s1/Ee1g+H+lSaloL6P4dbQJpWhuTE4ksrwTXIx9kLzb0G1CZo1GWBQZJbZuvgD4xm8N+MNKt4NCttMn1bTNZ0XRbjUZLqJbi31Q31wGuDaLJFHNgKIyJvLLSbTtO2gD3+HxXolxqkWmxaxp8moy24u47NLpDM8J6ShM5Kf7WMVk+IPih4b8P+AfEvjE6nBqWh+HrK4vr+XTJEuCiQwmaRQFP39mCFz/EPWvH9L/Z51yP4uXniTUrexu7C41f+3beaLWpI5LCc6etqYhALT98qgMgYyoDGwygK4bqdD+AaWn7J4+EUjWOl3N14QPh29u9NizD9oksvs8s6jCl8sS2WALd8GgD0HUPHmkaX4sj8PXc5tr1tMm1cyy4WFLeKSON2ZycDBlXr2ye1Mm+IWhKLKS31G1vrO4uprR721uoWgtnihklk81t4xhYmBAyQSMgDJHjnjb4N+P/AItaP4zl8SReG9H1jUPBd54V0+307UJ7q3klucNJPM728bRpujiARUcgbiWPArUT9n+7sfjDZ+ItOj0ex8Nw65FqZ0+BTGfLXRLrT2AjWPZuLzQ8ZxsQ85AUgHp3hH4k+F/Hfg+x8VaFrlnqHh+9jjkhv1k2IQ4XaG3YKMdyjawDAkAgHitaTXdOjZ1+3W7SLMbYxiZd3nbN/lYz9/Z823rjnpXk3gz4J6jH+zAPhX4gTTrG5i0RtCS90md5UfbCIorv5o4ykmQsm3DbSBhm61xvwr/Zr8ZeG/iBbeIfE+raRd29yl14g1K1sZJW/wCKkuBNA00W5Bm3Wzm8lScN+7X5aAPR9c/aS8EaFoOtXk2oCTVdJ8OJ4oudBjeM3otHikkUKA3ls+InyFc4+Uk7WUnvYfFGnalo97qOk3EevRWvmKyaXKkzNIg+aIYbbvzxtJHJGcV83XH7MHiyP4f33huFPDtzNqnwrsvA9zezXMqG3vbWC6QSIBATJDIboAsSjKIx8rZwPafh/wDDf/hBvGvjbULWCwstG1qSyktLOxTy/K8m2WFiyBQqk7FAxnhR0xigCH4ffGvTviDPqSx6JrWhQ2F22nzXWtRQwRG6WRYzApWViX3MABjB7E12MnijRomulfVrFGtUaS4DXKAwqp2sz8/KAeCT0NeRar8GPEf/AAgviGysZtMm1ebxvF4tsY555I4JI4tRgu1hlkEbNGzLCyllRwpYHDAYrgtU/Zj8d+ItS0/Wb6Twza6jp+vXniIWsF3cSw3pmvLeYafO5hUm3Cwbi20kzJA+wCMo4B9NQeJtHutQv7CHVrGa/sFD3drHco0tupGQZFBygI9cVzGj/GrwjrVx4jMWs2cWmaG9uk+sS3cIspPOQOuyXfg4ztOcc8c14Qv7JPiCfSvF+m3U1jNc3llrdtpuuSatK3mi/ufPaO4tBbLhXwqyHzpPu5UfNhdS3+AHjSHx5N43Xw/4Kium1qLUx4Xi1CYWTgaa9mZGuPsf+uUsGVvJI2ll44agD6QuNa0+005NQnvraGwYKy3UkyrEQ2ApDE45yMeuRWafiB4XW10u5PiTSBbao/l6fN9ui2XjZxtiO7Ehzxhc14b46+Eut+G/2ZPDfg6102x8R6tbeI9HuH04RyNYBTrcFw8JwjMttErFNxQ7Y48leMVynjf9mT4m+JfCfiPTLCfwxpUfiU6tcXGm294yQ6fcXJhEOyc2TySxgRM7qogzJIW+bAIAPqj/AISjRv7aXR/7Xsf7Xbdiw+0p552qGbEed3CspPHAYHvWF4g+K3h7Q9MW9hvYdYQaxY6HKmmTxzNBc3V1FbIJMN8u15VLA8gA4BPFeZ6/+znf6v4m8Q6zBLpljqGpeM7fX4tTiDC7hs00qGyKb9mfMDLMQudu1/vAsRXK+A/2WvEHh3w3p1ndw6Xb6tYT+Gojfw6zLPFdWumahHcsBD9kjER2rJsUtJzIVLgDcQD6D17xxaaH4s8PeHTbzXWo6xHdXCLDtxDBbopllfJHyh5YI+P4pl7ZNLpvxA0G/s9Fll1K00651eCCe1sLy6hW4bzVLIgUOQzHDfdLA7TgnGa5Hxj4f1D/AIXx4K12G0mudOm0DWdBnmjjLrazTPZ3ETuQPkRhZzKWPG4xjqQD5hp/7KesQ+EVs7o6DPrUHg/wr4ftb0l2MFxpk8stw6uYtyoxaIoRySnzBcCgD2/xV8VvD3hUbGvYdRvE1PT9KnsbGeOSe2kvLqK2iaRNwKLulVjnnAOAeldGuu6awQrqFqQ5lCkTr8xiJEoHPOwghvQg5xXgWk/AXxTZeH4/D0mn+GUisvFNtrsfiGO7lN9qES63HqEomj+zjy5DGhHEjhnC8oOnPeJ/2ZvHvibSr3w6bnw7a6LAfEzWV79rnkmu/wC1LmS4jSeHyQsaLvMUm133AkjH3SAe3aD8avDvijxRcaNpMjaksN1Haf2jazQyWrs9rJchlcSZYBY2U7QSG7YBYdDF488Mz2N/ex+ItJks7BVa8uFvojHbBhlTI27CAggjOMg14f4d+APikfEyPxde2Hhfw9HJry6tNpmjXUsyqg0W60/75t4t8hkmjYnao2gjJKjd5v49/Z58RfDT4d+BBotpaR3GlaP4d0a/k0G0knYXVndCeS6KJbSl4gwc72hkOZCWRcl1APcvj5rum+JPhVol/pOoWuqWMnjTwoEurKdZomI8RaeCAykg4PFex18uSWMmmfsr+DrOTQ7vw+0Hjjw6n2W9LGSX/iqrP/SMNDAyiX/WhTDHtDgbFAAr6joAKKKKACiiigAooooAKKKKACiiigAooooAKKKKACiiigAryr4yf8lF+BP/AGOdz/6j2s16rXlXxk/5KL8Cf+xzuf8A1HtZoA9VooooAKKKKACiiigAooooAKKKKAPKvjJ/yUX4E/8AY53P/qPazXqteVfGT/kovwJ/7HO5/wDUe1mvCda+CXxh/wCEi1Gz083X/CPfaLjwlbuNUjUroV/cT3NxfqN+RLbq9rboDiT/AEdyvDZIB9ar4q0k3xs3vo7e5+2/2dHHc5hM1x5Hn+XFvA80+Vl/k3cI/wDcbB4Y8U6b4x0t9R0mc3Not1dWRkMbJ+9t55LeZcMAeJInXPQ4yMgg18+eNfg3rOreMl1q+8JSeJdP0/4ix6xa2aXFuZDpraDFZl4xJKqqFugGKEq2ImYA5G698J/grrfgXxtoWuLpk1jNc6r4pl1ub7eHElvc6jLPY7k8wggqUZVUfIXfIUs+QD6Lor5ybwX47uv2odN8RDwyum6DbarcJc6vayQ4vdObTJEj81zcmVz9q8v90IFVCisCeWOh8UPhn451r4sRJ4dlaDwhrwtL/Vr03Sr9gvNP814NsZbcwuJDZKwUFdlo4b74DAHs3iTxPpfg+xgvNUm+zQXV9a2COsbOWnuJo7eFcKD96SRFyeBnJIAq3Jq1tHq0GmM0n2yaCS5RRE5QojIrEvjaDmRPlJyckgEA4+P/AAn+zz4wvPAf9l61pevR38994Y/ta1uby1jtro2upRTXl5HLFdvI8pjEhaVvLkkUR8FxtXc1H4LfEewg8S6b4chudN05dJ8UWWjrHqixiMXN5YS2kUbBy0RaOO6VGwPK/wBn5RQB9NT+KdNtvFVj4bknK6xe2VxqEEHlsQ0EMkMcrbsbRhriIYJyd3HQ41q+WvEnwn8U6tZzS+AvCN/8PceD9e0u1t73ULcTQ3dxPprxBTDcSiMyLbz4dG+UruYqzDPefAXwxrHw/wBNuoJNA1+2ttX1fc1jffYIYdKjFoMyxxw3UoETyRKpVGLGSUvsClnoA9M8QeOdA8K6toWmavqtvp9/rly1nptvM2GupghcovvtHfuQOpAO7Xzb8evg78RPin4w1zVtCutJ0iPQtKt4/Dg1KzNzJc3yXEd88sUiXMf2cGW1soiZEfPlOcbT83HaboniTxp8YfF2p2fhfVrDVtP8ZWNxNr8mqxG302yXRrGS6sDGJ9xLmRlIjjZGaVXLfIMAH2HRXwl8KfhL4s8e/C3wPdWHhvWdF0bUdD8L/wBtvda4hfXHW/tLi4u1ZLhnAW1WfJfZIyyiMKdgA9I1T4H69eeOLnTU8NX0Vs2vW7WniiDU40tLbw+trHFJpyxibzlyqyx+WIthaQS7t2SAD6lrJ8U+KdN8F6HPrGr3BtdPgaNZJRGz4Lusa8KCeWZR0718kXXwZ+LmsaTpl74ntbrVpLC+t9FvNLtri2uG1LTbOzmigvjFJPHEzS3U8s7Rs4YAxEgvEqiXxj8CfGWoafa6dP4c8QeL5k0jQbfR9X1HV7WKXSmtrlnvEuQLnmR12ZaPzRLgKzYUGgD7IrJ0TxTpviK+1yzsJzNcaLejT75TGy+VOYIp9uSPm/dzxHIyPmx1BFeG/tN/DPxZ4+8TaI+n2+raj4cXSry1kh0RrYXNneu8JiukFxcQKHCK4SVWLRnoAHY1zfjr4O+PLu61p4rC71XRbrxmNTu7GNrWSbUrT+wrS1SZopJ4o3C3MTkxu6nKh1UlUyAfVTxrIuHUMM5wwzVXTdYsdY0m21TT7yDUNNuYVuILu0kEsU0bDcroy5DKQQQRnOeK+dPCPwl1fTfGWjReK/DPiHxrpa6Fpmn6fqmpajal9IMYmF2t0gucmRw8e54fO8wAKzELk5fwY+AGpaTZ/Cey1nwhcaLaeEfDN9a3cLX0PkyawsmnCC6CQzMJAwhuHRnGVx8wRiuQD6f03VrbVtJtdTtmkazuYFuYmeJ43KMoYEowDKcH7pAI6EZp2lalb61pdnqFozta3cKTxNJG0bFGUMpKMAynBHDAEdCBXzR8Nvhj4t0HVPBz+LvCWqa/d2vhLQ9Ps9Qh1S3MWhXkELreiUG4VizOUJkiWXzAApOF5wIfhf8AFFZvhDA/hUx3nh7T/C0V3rkVzBJcJ5MiDVIZZmuwwURhwViicShjl24CgH2BRXz18MPg/wCIfCPjvQfEM1ldQXdxqfiY63cSaj5vmWs9/JLp6spkIKiMRlVUfu9zAhSzZyPiF8EfFWqP8Ttb02yuJdZ1TxPp72yreI73mhxwad9otokeZY0Dywz7o3aMSbCGO1waAPpymErBETjaiL0UdAPQCvjHx38LPEvh34cJPeeHfE3iDQ7Hw/rz21jNqNraT6HfSTLLBPiO7KiJI1dYzHJJJEvyhRuKjpPDPhf4hzy6XbW+hajeaVeeItL8RLro1G3W3WxGjW1vJEUaYTeYJ43JTy9pB3biTigD6j0rUrfWtLs9QtGdrW7hSeJpI2jYoyhlJRgGU4I4YAjoQKtV8k2PwD8e3Xgm9lmhuLPxlZ/DLRNE0e6l1TP2fVEgvUv1QpIQspEkSef/ALeVfg4dp/we8R2Oj6SZvCfiTVvDf/CRSXupeDZLjT7MhDp7QxvAkd60PlLPtdo2mX94TKFJAJAPpPR/Hnh7XfC9h4kt9St00a8dI7e8uj5Cs8kohRB5mCGaQqijqzMAMkiuhr5mvPglrN3+yD4X8Hal4XOqa7o13pl9JobXcU0jrb6lFPNGszyBHdoFlUMzgMW5IyabD8M/FsnxOivo/DGo2N4viSz1C08TNqMAt7LREtolk00xLOXB+WWIxLG0ZdxLvJ5AB9NbRuLYG4jBOOf880KoUYUADOeB614Z4u8Ea/efG7UtXk8O3+tQXGnWcHh7W4L2FbbQJ0M/nvJC8yPli8TFo0k8xQEbAXB8r034G+NtS0vSLOPwvrHhq2EOg2viSK412NpNZuYtUtZbu8WSK4Zji3jut0jlJZRMF2kqAAD7Ior5Mvv2dPEWpXmp6bcaTdHw3Y6d4pj0O2TVdkcM1xcWcmnbVWUEYC3Jj3cRYH3Dtp/h34RfEqT4ntrGty6zBq3mrcWevWr2kltHGdMWH7NcM1z5vlrPvYxJCyl9sgOSzKAfU15qtlp01lDd3lvazX032e1jmlVGuJdjyeXGCfmbZHI20ZO1GPQGsnXvHWk+G/EGhaJdvcPqmtNILO2tbSWclY9gkkcopEcamSMF3woLrzzXzNpvwTu5vDPwvmvfhRqjat4a1u1uddjvtSs7mfUnOn3VvPdxuboq/wC/lhkZpCkjhc7SVC1678RPhXc+KPjZ4Q8VWmnW/maV4e1m0TVpthNpdyyWRtTtJ3N9y5PAIGDnGRkA9cqlrWsWnh/R7/VL+TybGxgkuZ5ApbZGilmOAMnAB4HNfHXh/wCBnxJs/hnqNstp4gtdblXRY9X02aayMGreRcF7x4mF43myyKTvecw+cmxH6sFueJvgb4ruvBdjpb+FvEfirS5NF1y1stKutSs7OXR9QuJ0e3lYJd7FhVN6xmOSR4k+UKNxUAH1j4d8T6d4qtJLnTZZJoEKKXkgkiB3xJKpG9RuBSRDkZGSR1BA1a+X9E+B3ijVL7RLDxJpc83h9PF0d/e2x1BRG1inhiO1AZUky0f21Npj5yRuKlTmvGrOG90L4ueD/D3juSaWXQz4ftI7VpoLzUY5PtM4iWLfeI7RMJIPOaKG4ysZywZCIwD9BayfFninTfA/hfVvEOszm10nSrWW9u5xGzmOKNSzttUEnAB4AJry34veD9U1r4oeF9UuPC2o+NPC9tp9zAthp19Db/YtQaaBo7t1lmi3ARrIodCzx/NtX581434g+EPxO8USfFVR4QXSF8QeEvEOmCG1uYIoNQvpbiP7Axk+1SPIxh84+bIkWzey7VGFAB9bax4p03QdU0LTr2cxXet3T2VjGI2bzZUgluGXIGFxHBI2TgfLjqQK1q+VfD/wj8ZN480zVtG8NXvgvw/BrZurfTdU1CC5eyk/sPULaW9ISaUEST3FsuFYsxRpGUbiawPCPwN8X2fw31a01jSvFy6xPbaVHeWMJ0ye1v7u3kaSS4ZHvv8ASVkbiYytE8sZT+JfkAPsmivP/hT4m1K6sbPw1q+gf2Rq+j6HpsmomzIawhupUcPaRMWYs0QjVjywCzR/M2c16BQB8Af8Fq/+TWfC3/Y52v8A6Q31FH/Bav8A5NZ8Lf8AY52v/pDfUUAfVX7J3/JrPwb/AOxM0b/0hhr1WvKv2Tv+TWfg3/2Jmjf+kMNeq0AFFFFAHJeF/ido3i7xl4m8M2CXyaj4eWBrtrqzkgjcStMimJnA8xd1vKNyjadvBNdbXlvhPwr4zsPjr4x8T6lp2hQ+G9X06x0+2ktdWmmvF+yS3bI7wtaog3i6GQJTsKdXzkepUAFFFFAHlXxk/wCSi/An/sc7n/1HtZr1WvKvjJ/yUX4E/wDY53P/AKj2s16rQAUUUUAFFFFABRRRQAVwniD41eEfD99osEus2VxDqOpzaVJeQXcJgsZorSe6cXD7/wB38luwx1yy8YyR12tWD6ro99ZR3MlnJcwSQrcRffiLKQHX3Gc/hXgfg74A6zHp/wAKtP17w34OsbTwTewvN/Zsz3P2+OLS7u1Sba9sm1xLcRuEJbaN53k4yAe5N4w0FdS0/TjrenDUNQi8+ztTdx+bcx4zvjTOXXAzkAiqt58RPCunx3sl14m0e2SydYrppr+JBA7Myqrkt8pJRwAepVvQ185WX7NPxFs/+EJ0v+0NA/sDQLvRrlVt7gwtELPUDPKgX7IXlzDtRMzRqvI24JZsT4sfB3WfBfhrwrY2Nhi7ufFHiLVtS1LRdPkuQ0V4960STFbK6beYbsR5a3YAqwEgwokAPqe38faLc3N0ovbdbKG2tbtdSa5i+zSpO0ix7HD5PMR5IAO5dpbnBefEbwpp+k2WqXXifRrbTL4kWt5NqESQ3BHXy3LYbGOxNeEWnwH1Px14f0+8k0Wz0LS9Q0zwUreHNYleaW1j0y/lurm3mzHhz5UqouR8zBt4SvLvjN8J/EXhTxteRxaBd63oV3Hq96mmaJbTGO9jub6C4FkJUsbkQys0G4n9xjfkSnkxgH1940+JmieA7vw1Hq8629trt5JZxXzyIlvAUtJ7ovK7MAE2W7DIzyy9ska8vivRILrTbaTWNPjudTXfYwtdIHu1xnMQzlxgg/LnrXJ/ET4cn4geIvhvfz2tjLY+Hdak1W7tL9Q5IOn3dumxdrKXWW4jbkgAKSDkAHwzw7+yT4h0XVdFW/OnazpMdrpdvNDDrEtl9hNjeTTxeSBaSGRAJEZV3Q4ZWGcNuUA+n7HxZoep3mo2lnrOn3d3ppxewQXSO9qeeJVBynQ/ex0NcvpHxv8AB2sX2uRprljBY6VNbW7apNeQi0uJJ496LFJvwx6jHByDjNeIar+zT8RPFmqeL59Z1XQ0XU/DutaJbPBMfLlN1eQT24eBLWPy4vLiZJAZJXJdjubcSX61+zv461G88Ta9p2jeEvDviXUr+G/01tM1aUQ6ZKlibVpJA1gUuw4JDRvGoKnAYFQ1AH0R4e8aWviDxD4m0VIZbe+0G6it5llx+9SSCOaOVMHlDvZOcfNE47ZPQ15l4B0bUv8AhcXxL167tpraymTS9JtmlhMa3Rt4JJZJ4wfvIWvPL3esLDtXptABRRRQAUUUUAFFFFAHlX7S3/JOtI/7HPwn/wCpDp1eq15V+0t/yTrSP+xz8J/+pDp1eq0AFFFFABRRRQAyaZLeGSWVgkcalmZugAGSa8y8J/Hix8TeFNa8Uv4e16x8OWy29zpl42nyyvq9pNGjRTwxIpfl2ZdhG4KEdtofj0u5837PL5ARpth2CQkKWxxnHbNfPvwr+HPjjwvb+MtQsPDWieE7S+g+waf4Hi165k01Z47iZJb1ZDbYtUljKssUMOGVULYZjtAPQrv47+GbPwz4F1501N7Dxk1iumNDYyPt+1tCsLTsAViG64iB3MOWwM4Nbnjr4h2HgNdLjntL7VNS1W4a1sNM0uES3Fw6xtK+AWVVVURmLMwAwBnLKD4/N8K/iZD8Bfhj4Lt9L8Jzax4Zn0V72SXX7lLd102e2kXy2FiWJlEDAhlXy8jmSuj8RaT468XeLtK8UaboWmWt34U1a5tbSy1XUJbeLU7OayRJpRIsDtEVuNwTMZ3pFn5fMBABbX9p7wVPFYXNodTvdNnt7O6utQgsm8jTUupTFB9qLYaNjIrKygEptJcKvNbPhf44eHfFniuPQ7OLUIzdNeJp+oXFqUtNQa1kEdyIHzlijH+IKHALJuUEjxrSf2X/ABh4f8O6x4Yt73RLzSPFdvYf25fyXE0U1lPHO8l19mhETCVHV9qbnjKEZO7OK6Twn8GvHXhefQYgvh+5tPBiaxLoEjX86vqU1yXFst0Ps/8Ao6IkjK7IZixwwAxtIB3t98evDGm+LpdCuRfRQw3/APZUutNb40+K98jz/s7S54by+d2NgY7C2/5as/Dv40aF8Sr57TT7XU7CdrCHVbVdUtDbm8spSwjuIgScqSpyrbXXK7lXcufMvE37PXiXxVd634bubjSofBOqeJX8SvqMd1KdRQvBg2wg8rZgT/N5vm/c+XZnmun+EPwz8W6H4i03WfF/9jw3Gj+GoPDVpHo11LOtyFcPLcyeZFH5e7y4tsQ37fm+dsigD2OiiigAooooAK8q+Mn/ACUX4E/9jnc/+o9rNeq15V8ZP+Si/An/ALHO5/8AUe1mgD1WiiigArjfBPxZ8P8AxA8TeKtD0aWee58N3CW15M0JWF3Yup8p/wCMK8UsbEdGjYdq6fVrOXUtKvbSC8m0+eeF4o7y3CmSBmUgSLuBG5ScjIIyORXkXwO+BGr/AAf8X+ILiXxKdZ0C50vTtOsbeSCKOZfswlBaTZGuT+84bcSxZi3ODQB2Nv8AGDw9daXp+oI1z9nvvENz4YhzDz9sgup7WQEZ4TzLaXDdxg9637PxjoGpNdLaa5pt0bW4W0uBDdxv5MzNtWJ8H5XLEAKeSTivAG/ZIZrC1uop7az8T/8ACbap4hm1SC8uCFtLm/vZ4wiEbfOWK5iBG0DcrYY/eOTZ/sz+NU0vQZVsvCekan4X07RrCytdNvJ/s+rtY6jbXZkuH+zK0GVtmVAFmKG4kJLdwD6XufF2hWVxBBca1p8E88/2aKOS6jVpJtyp5agnltzKu0c5YDvUuh+ItK8TWr3Wj6nZ6rbJI0LTWNwkyLIv3kLKSAwzyOorwfwX+z3r0PjxfFXiuy8N38/l+IZVsoZ5Zlgnv7mylhCSPCpG1LaVGkChvmBC/MQO8+AXgPxD8OfCd5o+uPaJaR3SjSbG2uzeNZWawRRrC9yYIWmIZHwzoWCFFLNjNAHptFFFAHlXxk/5KL8Cf+xzuf8A1HtZr1WvKvjJ/wAlF+BP/Y53P/qPazXk6/C3xdH4Z1i1n8F6xeeIm137Xrmqpq9uq+JdP/tPzfs8B+0hgPs+0COZYlCq0O7a5yAfVtFfH1x8H/GSi5a+8DaxrPhK4TVhofhKDWbaObQJpWt/s0khNysY+5OyNE8hg83ag5ONH/hQ3jK28OeKNR1mxuvFHia41vRluvJ1ILJq+kw2mmC9hh3yqkayTwXLMjmPzNpDHa4oA+jtB8faJ4l1S50/TrqSe6tprm3lH2aVUWS3dEmXeV25DSJjn5skjIBI6KvjS3+BnxBtfCfjO00bw5f6DFqOgeL4NN09tYhaWG4vJ7F7BC6zMFfZFMAwYrHtI3Abc9D46+DXijSb3xBonh3wcus+C9Q1W3uYoJrmO6a3/wCJeySTRRT3cQ3GdU3M7Egs0gRmJcAH0pqnirSdHXUhc30fnadaLf3VrDma4igYuFkMKAuVYxSBcL8xjYDJBrWr47vvgb43bw/q93N4VudQ8ca18JbHQjrUd9bebBrUFvdrOksrTBt0hnhUSJuUlDllAyeu1z4Z+M774rX19HoeoNqbeJ4NQtPGK6lELWHR1t41ksfK87zRu2yxmMReWWkEpbOSAD6Wqrp2q2WsQyTWF5b3sMc0tu8lvKsirLG7RyRkg8MjqysvUMpB5FeE/s4/CPX/AIYXXh1r2yubOOfwTpttrhn1D7SZdYiJ81nzI25wGYeYMqQFUHCqBxemfBTV/C9n/Z4+HN5qHh+38a6vqWqaVp95ZxjWrO4kvJLKRQ9wiukPnRBopinzAMofYKAPrSuc0Hx5oXiPVLvT9NuJJ7u3nuYJh9mkVRJbvHHKpcqFyDIgHPzDJGQpx5DffDvxov7N/h3w/d2d5rGpWuo2txqWiR6ipubjTVvfNax+0PIqyMlvsjbdIFk8tlLEPk8L4W+CHi3T7fW4H8Oa/oGgX+n+J4o7DTNWtZL6D7Zeae9oqF5zH5nlRT4BcooUpuwV3AH10qhFCqAqgYAHQUtfLel/D3xcz+BJ/E/w9m1TR9Ps9Rtk0HQbq2sk0+6a9RrW9kha72KzQKT+6llMLM4QYbjmfFHwX+JOqaH4kttN0DVLLxbLY+JItQ8R/wBsQrHr4uUmFhDFifepVngZfNSMQiEqpweQD7Kor5nvP2fNQb4lWumxaTcN8NR4li1Ka0OpsYni/sW6hlLqZd7q10bfchzvYl2BBZq4/Qvgh8SV1/wmPEMevy21hZ6XBY3um3VpcS6U1tdytKskk10jAPH5O941lMseUbJVVIB9falqtlo1sLjULy3sbdpY4BNcyrGhkkkWONMsQNzO6oo6lmAHJFWq+RNc+B+s694A8QadrHw61DW/FkfiCDV7nWLjUbWSLXIYtajuRHAGuMg/ZFZEWZYhGP3YOCTXqXx88L654m8F+GdK0LwbHq1g02LyxmEEkthGLZxGVje6hiZlcopbzH2feVWOGUA9prJ1DxTpul+INI0S5uDHqWqrM1nD5bHzBEqtJ8wGBgMOpGc8V8xL8D/HuraHa6pq9nfXHi/TvCPhK3sbhtWG6PVbaed9RYYl279rRhpDw6sVDMCwrU+Gfwn8UaX8ZvD+uat4Uvre9sLjXjq/ie41SGWHUhcTbrRo4hMz4EYVQHjQxABFytAH0/RXzH8Qvgj4q1R/idrem2VxLrOqeJ9Pe2VbxHe80OODTvtFtEjzLGgeWGfdG7RiTYQx2uDVLRvhLr+j3Xg1tU8K+JvF3hu1g1IRaLPfWVtLpF5LeRyQzFFu/L8pIw6xFJJHhX5Qo3YAB9U0V8a+KPgv8SdU0PxJbaboGqWXi2Wx8SRah4j/ALYhWPXxcpMLCGLE+9SrPAy+akYhEJVTg89lefs+ag3xKtdNi0m4b4ajxLFqU1odTYxPF/Yt1DKXUy73Vro2+5DnexLsCCzUAfS7AMCCMg8EGquo6pY6LarcX93b2FsZYoFluJVjQySOscaAkgbmd0RR1LMAOSK+QtC+CHxJXX/CY8Qx6/LbWFnpcFje6bdWlxLpTW13K0qySTXSMA8fk73jWUyx5RslVU3dc+B+s694A8QadrHw61DW/FkfiCDV7nWLjUbWSLXIYtajuRHAGuMg/ZFZEWZYhGP3YOCTQB9Y3mq2WnTWUN3eW9rNfTfZ7WOaVUa4l2PJ5cYJ+ZtkcjbRk7UY9Aap+GPFOm+MdLfUdJnNzaLdXVkZDGyfvbeeS3mXDAHiSJ1z0OMjIINeW/Gr4cjxdH8KtRg8GPrcPhvXY7y40hXt1ngtnsbmAhd8qxnZJLAzAOeIyV3YAPlGofs8+PNK8OahP4StrjRfFOqv4vF7eJqm0vHdX0s1gMiTC7lKlCmDEZGJ2EtkA+v6K8M+E3hnUPhr8M/HN5c2mt6KJDNfQaZfx20YtdlqoJto7Wa5CKzIWIBJL72CHdlvnn4E+Ez8R/h/qukWKvf6/dT+EbnWZNJuYIrZ7FLxGuW+0Q305Nw8cVw8wLxuwKEIS2WAPu2x1a21Ke+hgaQyWU/2affE6APsR8KWADDbIvzLkZJGcggZej+PvD+ueFrHxHb6pBHot66RwXd0fIV3eUQxp8+DuaQqijqWYAZJFeB+IfhH4js9YvIj4VvfEPgeLxf9qTw5p+oQRNPp66FbWtuyiSeNPLiuY3/du6nIEgBKqS+8+CWs3f7IPhfwdqXhc6prujXemX0mhtdxTSOtvqUU80azPIEd2gWVQzOAxbkjJoA+jbHVrbUp76GBpDJZT/Zp98ToA+xHwpYAMNsi/MuRkkZyCAapq1to8EU100ixyTxWy+XE8h3yOqICFBIG5hljwBySACa+YPHXwo8d6q2ovbaLev4am8XLqD+H45LWaSWw/sO1t4x5T3CRMsVzHJmJpByvmKGKoT6TqHgXxHH8FPAmgWMmrX2q6Zqfh+W6k1S5iF79nt7+2kuDM6yMjssMcm7a77sEAuTyAexUV4x8BfCWv+E/FXjpb/Q7mx0a9uVu7TUtWNudRu5nmuHlSRoJ5VljjDRiORxG+1tjA7Aa8x134CeK4PC1jcRaRd393eeL9Y1DxFYJcQ3U19ZPcX/9nnbNcRxPHGk0LCEuu3cG270xQB9a1T1jVrbQtKu9RvGkW0tYmmlaKJ5WCqMkhEBZjgdACT6V8ZfFH4e+JvB/hqK81bSfEuvR2mk+H7PSvEF3qsCT6O8d2Vu0uVS5yZJA8YZohMJRhXbC5ra8Y/Dj4rax4Z1jw3Y+HNSSW0t/GKwasdWtVivmv5ppNPEQ8/zBhZFUmRU2MMDI+YAH1/VHWtUsvD+k3ur37CG0sLeS5nm2FikaKWcgAEngHgdcV84/EL4I+KtUf4na3ptlcS6zqnifT3tlW8R3vNDjg077RbRI8yxoHlhn3Ru0Yk2EMdrg1yvib4G+K7rwXY6W/hbxH4q0uTRdctbLSrrUrOzl0fULidHt5WCXexYVTesZjkkeJPlCjcVAB9e6ZqVvrGm2l/aP5trdRJPC+0jcjKGU4PI4I61ZrlvhuupWfhez0vU9Jn0yXS7e2s1kllikW6220RaRPLdiFDs8eG2kmJiAVKsepoAKKKKACiiigD4A/wCC1f8Ayaz4W/7HO1/9Ib6ij/gtX/yaz4W/7HO1/wDSG+ooA9f/AGZf2Zfg9r37Nvwo1PU/hP4H1HUr3wlpNzdXl34cs5Zp5Xs4meR3aMlmZiSWJySSTXpf/DJ3wQ/6I38P/wDwl7H/AONUfsnf8ms/Bv8A7EzRv/SGGvVaAPKv+GTvgh/0Rv4f/wDhL2P/AMao/wCGTvgh/wBEb+H/AP4S9j/8ar1WigDyr/hk74If9Eb+H/8A4S9j/wDGqP8Ahk74If8ARG/h/wD+EvY//Gq9VooA8q/4ZO+CH/RG/h//AOEvY/8Axqj/AIZO+CH/AERv4f8A/hL2P/xqvVaKAPl/4sfsy/B7TfHnwYt7T4T+B7W3v/FtxbXkUPhyzRbmIaFq0ojkAjw6iSKN9pyN0anqoNel/wDDJ3wQ/wCiN/D/AP8ACXsf/jVHxk/5KL8Cf+xzuf8A1HtZr1WgDyr/AIZO+CH/AERv4f8A/hL2P/xqj/hk74If9Eb+H/8A4S9j/wDGq9VooA8q/wCGTvgh/wBEb+H/AP4S9j/8ao/4ZO+CH/RG/h//AOEvY/8AxqvVaKAPKv8Ahk74If8ARG/h/wD+EvY//GqP+GTvgh/0Rv4f/wDhL2P/AMar1WigDyr/AIZO+CH/AERv4f8A/hL2P/xqj/hk74If9Eb+H/8A4S9j/wDGq9VooA8q/wCGTvgh/wBEb+H/AP4S9j/8ao/4ZO+CH/RG/h//AOEvY/8AxqvVaKAPKv8Ahk74If8ARG/h/wD+EvY//GqP+GTvgh/0Rv4f/wDhL2P/AMar1WigDyr/AIZO+CH/AERv4f8A/hL2P/xqj/hk74If9Eb+H/8A4S9j/wDGq9VooA8q/wCGTvgh/wBEb+H/AP4S9j/8ao/4ZO+CH/RG/h//AOEvY/8AxqvVaKAPKv8Ahk74If8ARG/h/wD+EvY//GqP+GTvgh/0Rv4f/wDhL2P/AMar1WigDyr/AIZO+CH/AERv4f8A/hL2P/xqj/hk74If9Eb+H/8A4S9j/wDGq9VooA8q/wCGTvgh/wBEb+H/AP4S9j/8ao/4ZO+CH/RG/h//AOEvY/8AxqvVaKAPKv8Ahk74If8ARG/h/wD+EvY//GqP+GTvgh/0Rv4f/wDhL2P/AMar1WigD5f/AGg/2Zfg9ovgPSrjT/hP4HsLh/Fvhi2aW28OWcbNFLrthFLGSsYJV43dGXoyswOQSK9L/wCGTvgh/wBEb+H/AP4S9j/8ao/aW/5J1pH/AGOfhP8A9SHTq9VoA8q/4ZO+CH/RG/h//wCEvY//ABqj/hk74If9Eb+H/wD4S9j/APGq9VooA8q/4ZO+CH/RG/h//wCEvY//ABqj/hk74If9Eb+H/wD4S9j/APGq9VooA8q/4ZO+CH/RG/h//wCEvY//ABqj/hk74If9Eb+H/wD4S9j/APGq9VooA8q/4ZO+CH/RG/h//wCEvY//ABqj/hk74If9Eb+H/wD4S9j/APGq9VooA8q/4ZO+CH/RG/h//wCEvY//ABqj/hk74If9Eb+H/wD4S9j/APGq9VooA8q/4ZO+CH/RG/h//wCEvY//ABqj/hk74If9Eb+H/wD4S9j/APGq9VooA8q/4ZO+CH/RG/h//wCEvY//ABqj/hk74If9Eb+H/wD4S9j/APGq9VooA8q/4ZO+CH/RG/h//wCEvY//ABqj/hk74If9Eb+H/wD4S9j/APGq9VooA8q/4ZO+CH/RG/h//wCEvY//ABqvNPix+zL8HtN8efBi3tPhP4Htbe/8W3FteRQ+HLNFuYhoWrSiOQCPDqJIo32nI3Rqeqg19QV5V8ZP+Si/An/sc7n/ANR7WaAD/hk74If9Eb+H/wD4S9j/APGqP+GTvgh/0Rv4f/8AhL2P/wAar1WigDyr/hk74If9Eb+H/wD4S9j/APGqP+GTvgh/0Rv4f/8AhL2P/wAar1WigDyr/hk74If9Eb+H/wD4S9j/APGqP+GTvgh/0Rv4f/8AhL2P/wAar1WigDyr/hk74If9Eb+H/wD4S9j/APGqP+GTvgh/0Rv4f/8AhL2P/wAar1WigDyr/hk74If9Eb+H/wD4S9j/APGqP+GTvgh/0Rv4f/8AhL2P/wAar1WigD5f+LH7Mvwe03x58GLe0+E/ge1t7/xbcW15FD4cs0W5iGhatKI5AI8OokijfacjdGp6qDXpf/DJ3wQ/6I38P/8Awl7H/wCNUfGT/kovwJ/7HO5/9R7Wa2vCvxv8G+NvEk2gaPqVxdatD/rbd9NuofK+XcN7PGqrleRkjPbNAGL/AMMnfBD/AKI38P8A/wAJex/+NUf8MnfBD/ojfw//APCXsf8A41XqUkiwxvI5wigsT7Cs7wv4l0/xn4Z0jxBpExudK1azhv7SYoyGSGVA6NtYAjKsDggEd6APPv8Ahk74If8ARG/h/wD+EvY//GqP+GTvgh/0Rv4f/wDhL2P/AMar1WigDyr/AIZO+CH/AERv4f8A/hL2P/xqj/hk74If9Eb+H/8A4S9j/wDGq9VooA8q/wCGTvgh/wBEb+H/AP4S9j/8ao/4ZO+CH/RG/h//AOEvY/8AxqvS49VspdUn01Ly3fUYIY7iWzWVTNHE7OqSMmchWaOQBiMEowHQ1aoA8q/4ZO+CH/RG/h//AOEvY/8Axqj/AIZO+CH/AERv4f8A/hL2P/xqu/8ACvinTfGvh+z1vR7g3Wm3iloZjGybgGKn5WAI5B6itagDyr/hk74If9Eb+H//AIS9j/8AGqP+GTvgh/0Rv4f/APhL2P8A8arv9E8U6b4ivtcs7CczXGi3o0++UxsvlTmCKfbkj5v3c8RyMj5sdQRWtQB5V/wyd8EP+iN/D/8A8Jex/wDjVH/DJ3wQ/wCiN/D/AP8ACXsf/jVeq0UAeVf8MnfBD/ojfw//APCXsf8A41R/wyd8EP8Aojfw/wD/AAl7H/41Xf6x4p03QdU0LTr2cxXet3T2VjGI2bzZUgluGXIGFxHBI2TgfLjqQK1qAPKv+GTvgh/0Rv4f/wDhL2P/AMao/wCGTvgh/wBEb+H/AP4S9j/8ar1WigDyr/hk74If9Eb+H/8A4S9j/wDGqP8Ahk74If8ARG/h/wD+EvY//Gq9TdxGjM3RRk4Gar6VqVvrWl2eoWjO1rdwpPE0kbRsUZQykowDKcEcMAR0IFAHmn/DJ3wQ/wCiN/D/AP8ACXsf/jVH/DJ3wQ/6I38P/wDwl7H/AONV6rRQB5V/wyd8EP8Aojfw/wD/AAl7H/41R/wyd8EP+iN/D/8A8Jex/wDjVeq1k+JfFOm+EbG3vNVnNvb3F7a6fGwjZ8z3E6QQrhQcbpJEGegzk4AzQBwH/DJ3wQ/6I38P/wDwl7H/AONUf8MnfBD/AKI38P8A/wAJex/+NV6Zqep2ei6bd6jqN3BYafaRPcXF1dSLHFDGilnd3YgKoAJJJwACasKwZQykEEZBHegDyv8A4ZO+CH/RG/h//wCEvY//ABqj/hk74If9Eb+H/wD4S9j/APGq7/wx4p03xjpb6jpM5ubRbq6sjIY2T97bzyW8y4YA8SROuehxkZBBrUdxGjM3RRk4GaAPLP8Ahk74If8ARG/h/wD+EvY//GqP+GTvgh/0Rv4f/wDhL2P/AMar0vStSt9a0uz1C0Z2tbuFJ4mkjaNijKGUlGAZTgjhgCOhAq1QB5V/wyd8EP8Aojfw/wD/AAl7H/41R/wyd8EP+iN/D/8A8Jex/wDjVeq1k+FfFOm+NfD9nrej3ButNvFLQzGNk3AMVPysARyD1FAHAf8ADJ3wQ/6I38P/APwl7H/41R/wyd8EP+iN/D//AMJex/8AjVdrr3jrSfDfiDQtEu3uH1TWmkFnbWtpLOSsewSSOUUiONTJGC74UF155qjofxV8NeIPAt54ztryaLwxawy3T6jd2k0CNbxpvadA6gvFtG4OoIYdCaAOY/4ZO+CH/RG/h/8A+EvY/wDxqj/hk74If9Eb+H//AIS9j/8AGq9D8Oa9b+KNDs9VtIruC2uk8yOO+tZLWYDJHzRSKrr07gcYNaVAHlX/AAyd8EP+iN/D/wD8Jex/+NUf8MnfBD/ojfw//wDCXsf/AI1XqtFAHlX/AAyd8EP+iN/D/wD8Jex/+NUf8MnfBD/ojfw//wDCXsf/AI1XqtZPiXxTpvhGxt7zVZzb29xe2unxsI2fM9xOkEK4UHG6SRBnoM5OAM0AcB/wyd8EP+iN/D//AMJex/8AjVH/AAyd8EP+iN/D/wD8Jex/+NV2fhvx9onixo10u5kufMe9jVvs0qrutLk2twCxUAFZQVAJywBK5AJrWk1a2j1aDTGaT7ZNBJcooicoURkViXxtBzInyk5OSQCAcAHm3/DJ3wQ/6I38P/8Awl7H/wCNUf8ADJ3wQ/6I38P/APwl7H/41XqtFAH5l/8ABXb4I/Dr4a/s2+G9T8I+APC/hXUpvFttbSXmiaNbWczxGzvGMZeNFJUsiHbnGVB7Ciu1/wCC1f8Ayaz4W/7HO1/9Ib6igD6q/ZO/5NZ+Df8A2Jmjf+kMNeq15V+yd/yaz8G/+xM0b/0hhr1WgAooooAKKKKACiiigDyr4yf8lF+BP/Y53P8A6j2s16rXlXxk/wCSi/An/sc7n/1HtZr1WgAooooAKKKKACiiigAooooAKKKKACiiigAooooAKKKKACiiigAooooAKKKKACiiigDyr9pb/knWkf8AY5+E/wD1IdOr1WvKv2lv+SdaR/2OfhP/ANSHTq9VoAKKKKACiiigAooooAKKKKACiiigAooooAKKKKACiiigAryr4yf8lF+BP/Y53P8A6j2s16rXlXxk/wCSi/An/sc7n/1HtZoA9VooooAKKKKACiiigAooooAKKKKAPKvjJ/yUX4E/9jnc/wDqPazWD4u+HnjK7X45y6ErWN/4itbRNGuY7tYXmaOzEciq6ndCxIKBzgqSGHTNb3xk/wCSi/An/sc7n/1HtZr1WgDxv4L+DNT0G88bXEfhu88GeG9RFsumeHL66hlkhmSJluJwIZpY4xIWjG0PyYmcgF+fnvwv8A/iVpfw50XS9I8J6p4T/s/QNG0/xDps2q21y3iC4guImnaHF0UIEKSr+9eISLIIjhBx9pL4q0k3xs3vo7e5+2/2dHHc5hM1x5Hn+XFvA80+Vl/k3cI/9xsHhjxTpvjHS31HSZzc2i3V1ZGQxsn723nkt5lwwB4kidc9DjIyCDQB4/Y/DnxZZfsv+I/DGgXGraZ4mu7a/wD7Oj1WWGGe1MsjskMbQTSLEgDbY8SExqV+7twPMdV+B/xBufh7NZeDrTXvDGuzatNfQtqF1Z2UOnw/YDFLBCltcTgLcnCdf3cjNcYBRd/2JRQB8ZaL4O8S+KviZ4o/4RnwvqugatpfiywEHiC41OFrbRrNNEsWmsGiE7MxJcqVjjeNzIGLnYCDwp8D/H2m/D+5ivNJ8SS3znRF13RDe2UUWtpb3Be8aGZbtjJLIpO95jD5yBVfnIX628SeJ9L8H2MF5qk32aC6vrWwR1jZy09xNHbwrhQfvSSIuTwM5JAFW5NWto9Wg0xmk+2TQSXKKInKFEZFYl8bQcyJ8pOTkkAgHAB8teJPgpr0mueLdV8G+BrvwtqWueBotL0q9a9thNpV3DNel4ZHS4Zo2kingRGiLqm3G5QgNM0/4PeI7HR9JM3hPxJq3hv/AISKS91LwbJcafZkIdPaGN4EjvWh8pZ9rtG0y/vCZQpIBP09P4p0228VWPhuScrrF7ZXGoQQeWxDQQyQxytuxtGGuIhgnJ3cdDjWoA85/Z28I6p4D+CnhPQNas2sNUsLUxT2z3IuDGd7EAygnecEfNkk9+a+eta+CXxh/wCEi1Gz083X/CPfaLjwlbuNUjUroV/cT3NxfqN+RLbq9rboDiT/AEdyvDZP1d4g8c6B4V1bQtM1fVbfT7/XLlrPTbeZsNdTBC5RffaO/cgdSAd2gD5n1T4F+I4fiB4j8VaHYyafrt141gurLUhejaml/wBjW9rI3l+Zt2ecjho9u5jGrYO1COQ8F/APxt/wgradqVh4itNSurvw3FrFvLfW0Nvdrb6jHJfXUc0N28skjRebvkfy3kXYMFhtX7HooA8T0jwT4o8HfBn4g6FpWhx3119u1NvD+j3V3+5ktZGLQxBhKuxDuYBC8eBhcoOQz9n7wV4v8L+BfHOnX9m/hyW71eebQbedYVS1geytgpWGGaZIl+0CdvLDnkk/xV7fWT4p8U6b4L0OfWNXuDa6fA0aySiNnwXdY14UE8syjp3oA+aPCvwJude0n4W6ZrPw+1PSY9I1VbnxPJqerwzjUZRpF7A9yWiuXaVXuJYwSwV5A43ptU4xrP4W/FWLUvhzBN4YkE2gTaKp15byCa5W1jv2+2RSzvdhwotcDZHE/mBjuYn5V+xqydE8U6b4ivtcs7CczXGi3o0++UxsvlTmCKfbkj5v3c8RyMj5sdQRQB8W/GHwXdeAPDGhW+qx21lq3iTxX4gu9TbWr2OWC5tfMv2stxlvLeL5IriKSOPz1KMMhCVYp02l/DLX/Fms+A9b0mHxM/g1tD8PyaJfW6Wkd3pnkuZJ/PWW5jMTSKUMhiWXzELIchUDfYDxrIuHUMM5wwzVXTdYsdY0m21TT7yDUNNuYVuILu0kEsU0bDcroy5DKQQQRnOeKAPN/gn8NrnwT4Z8S3GoWUkHiXWdZ1a5uJprozvLA2oXT2YDb2CqIJI9qDG3cQQDmvOfhf8ADfxr4Y8YfCi8vvD95c3Nj4X0/SdevNWmtZ4LBorGQSNaSpcGUStOypIpjeOQYYMCuT9Habq1tq2k2up2zSNZ3MC3MTPE8blGUMCUYBlOD90gEdCM07StSt9a0uz1C0Z2tbuFJ4mkjaNijKGUlGAZTgjhgCOhAoA8V8XeCNfvPjdqWryeHb/WoLjTrODw9rcF7CttoE6Gfz3kheZHyxeJi0aSeYoCNgLg+Wab8DfG2paXpFnH4X1jw1bCHQbXxJDca7E76zcxapay3d4skVwzEC3jut0jlJZRMF2kqAPseigD5o8E/A7WvAfirSdWstOurKKHX9eS5c6kZFj0aSO4ayhVDIcRCTyCsSj5Cc7V+avMPgx8MfF3ir4f/DnWdL8MalpGnyaZ4Su9Uk1LVYZzrNxDqVndyXyjz3OEt45jmTZIwkVAh2AD7mphKwRE42oi9FHQD0AoA+N7j9nbxt4m0f4nadrlnqlzrWr6N4gso7uSS0Gm6rJcSs9iXf7S0xMeIvLDwoIQHQELjdtah8IfFerfEDw/fw+Htf8AD3hyK10n+zLfTXsDNoUkNzI9yj5vAEEgKF2hE3mRkow+VVP1PpWpW+taXZ6haM7Wt3Ck8TSRtGxRlDKSjAMpwRwwBHQgVaoA+PPFPw98XeGbfwnods0mn3vjjXvEHhrU7WO7AdNNutUutSF6hRjh0s0uQpBBDXag4IwPbfHXwzn8XfGXwfq9xYyXXh/RdE1Ipi62RR6i1xYtasYgw3sFiuCpKlVI7ErXa6P488Pa74XsPElvqVumjXjpHb3l0fIVnklEKIPMwQzSFUUdWZgBkkV0NAHw2nw/8Zahqtl4Ubw9q19410r4f+D4IdVj1eJYfD+oLLeie4kzON5/dHLxLKXEZTo/KaP8PvHvjrR/EV74K0vVNC1s3/jG1uPFFxq6CLVI21C6itrSICYyRlHVdpZI1iMRKn58n7k2jcWwNxGCcc/55oVQowoAGc8D1oA+TNP+D3iOx0fSTN4T8Sat4b/4SKS91LwbJcafZkIdPaGN4EjvWh8pZ9rtG0y/vCZQpIBPU6f8MfF2k/ss+DvCv9kXUup6bcWb6voNvqSefeWaXYee2W4aRVctH13SKJACrMAxr6LooA+Xfh/+z7ez/FDQtf17wkLTw9bw+II7PTtQuYp5dJt7iTT/ALNbHZI4wxjvpAsbMkYl25HArZ0v4G3tj+wvcfDVfD0MXiObwXJYvpSyx4bUjaEAF92zd5wX5t23IznHNe/3mq2WnTWUN3eW9rNfTfZ7WOaVUa4l2PJ5cYJ+ZtkcjbRk7UY9Aayde8daT4b8QaFol29w+qa00gs7a1tJZyVj2CSRyikRxqZIwXfCguvPNAHhfjL4B63cal41u/Dlg+n3Fv4MsNL8LPDqBgSC6DagLtIgr/uZGjlhTzioI3ja3ytjJ034G6x4i8aaSz+ENQ8M/Dd9eiubjwte6nF+7RNJvopZnSC4dDHLcS2imJXbcYy7LhmNfVVUta1i08P6Pf6pfyeTY2MElzPIFLbI0UsxwBk4APA5oA8G/Z7+EHiP4bax4Vub60vIBL4UktdfmutTN202oJcQmDzC0jl2WIzqHGQF+XIG0VA3gvx3dftQ6b4iHhldN0G21W4S51e1khxe6c2mSJH5rm5Mrn7V5f7oQKqFFYE8sfePDvifTvFVpJc6bLJNAhRS8kEkQO+JJVI3qNwKSIcjIySOoIGrQB4X4u8Ea/efG7UtXk8O3+tQXGnWcHh7W4L2FbbQJ0M/nvJC8yPli8TFo0k8xQEbAXB8x8P/AAV8cSR+GzB4T1Hw8tkfDp12LUNWguTq99bavaXFxfqVnfdsihuGMkmyWTzVG0lQB9hVk+LPFOm+B/C+reIdZnNrpOlWst7dziNnMcUalnbaoJOADwATQB86QfB/xhHp09nd6frEGnzab4zt5l0O+tluhJf67Fc2bR+ZKqF2t/McbiABlWKlsGCb4a/FHUfBtlDYaRF4Yv4fCPiLS47fTbmOyRJ5r+zezASOaQQSywQzHdG7rEzHDLwK+ktY8U6boOqaFp17OYrvW7p7KxjEbN5sqQS3DLkDC4jgkbJwPlx1IFa1AHyrpnwN1nxB420ln8Iah4Z+HDa9FdXHha91OL92iaTfRSzOkFw6GOW4ltFMSu24xl2XDMa9x+B+g614X+E/hrSPEImXVrG2+zyrcXAncKrMIwZAzbjsCc5J9ea7migD4A/4LV/8ms+Fv+xztf8A0hvqKP8AgtX/AMms+Fv+xztf/SG+ooA+qv2Tv+TWfg3/ANiZo3/pDDXqteVfsnf8ms/Bv/sTNG/9IYa9VoAKKKKACivmn4R+IPA3ij9p3xReeDPEGmwR6fZXmlajp0eriW61nUDcxyTXDW7SF9lt5bRLKVGTPIq/IilvpagAooooA8q+Mn/JRfgT/wBjnc/+o9rNeq15V8ZP+Si/An/sc7n/ANR7Wa4X9rKbxF40vND8A+EbDWr/AFVbW58QTyaHcW8MltJChj08ymeeFTGbuRZdoYlvshGCCaAPo+ivlHVv2uJ20q6vk1Cy0W61Lw/4e1DRdKvFX7Q91cXtzBqEKqeZWh8tFcDPl4ycA5rOT46eJPEmuX+lapc6fd6dp/ibRYNFuGswBrlrJ4hjt3vkzwPJAWH5OC4837ksNAH16rq4ypDDJGQc8g4NOr4+8LfEL/hXtjLfyn7Pa2mnfEHUXvLe0Se5iMXiSMLsDsq4/ekkMwXKqWICk1o+DPjR43+IEOjaLpvim3t3ufHdx4ebXhbWl7LJZJojaiCPJP2cyeZhN6ArheVJzkA+sKK8O+DfxO8V+NPiNrXhXVjGr+DYbi012UWwQXd1Lck2Doeig2cXnOo73Ufpz59pvjS3m0nTPAi60r+OofirfXM2h/aM3yWH9vXV6srRZ3iD7G0bhyNm1lGeQKAPrKivjXx98YPHFv8AD3xRqep6np+r6Zqdj40todJl0xFjthptxPHbMWzmQlIiHDcHK4CkEt7H8JdY1B/jh8Y9I1PxjPqTWuq201h4fumiza2j6fZsJYlA3iLzDKnHyllcnLliQD2RJkkaRUdWaNtrhTkqcA4PocEH8RT6+UvDOpXQX4a6mZZE1LUfi14p/tHkguYbPxBDFG47hI7a3UZ7RIfSsWw+P3xE0nwZ4Yvda8T6cV8TeHfD+tXOtS6ZHDBoK3lysVzLjdtaNUdcNKSFfLN8nyAA+xd6liuRuAyVzyAen8j+VKzBQSTgDkk18oXfxLl8I+NPFXimx8U2OvWAsPBMF54kCRC2ksZda1GC4nYofLVRE75kXCjBf5QOOZ+I37RWpeL/AA/4tsF8a6T4f8OXFn4kGm6o9rHLHrDQPFFb2kTMwD7kldv3Z8yTchQ4U5APtUHIyORS18l+A/GfieSTSPDmgaja+HjqnjCDR7i+jsEml+zp4TgvSwDHaZTJGoDsCAAAVIGKxfDP7Snjbxd448E6DP4isNDnuIdJa7Yixt4L3zJ7iO6+W4k87zH8mMRJbq43Oyk55QA+zqarq4ypDDJGQc8g4NeNfF34lXnhn4n+GNAn8X6f4C0O7065vv7S1CKJ/wC0LqOaBEs0MpC/dkZii/vGyuwja1eO+FviZ4g+EPhq61C710yeGb/UPG84s7fTI3lsGttVuXSVGZx5jEmTd5jKmCv3QjFgD7Jor5P8GfGjxv8AECHRtF03xTb273Pju48PNrwtrS9lksk0RtRBHkn7OZPMwm9AVwvKk5zys3x88UeNPCvxjurrW9PuLLR/DevSDw9dCwbM0FxLFCyQo7XJhESKJPPCHe4GOdqgH21RXzZ4k+LXjfQ/HXiK+TV7WXw/pfjKLw3Hoh08HfDJpEF0ZGlUmQuJpQQFH3QwIYkFbf7IvxY8Q/F2x1fVta8R2+qQ/Y9Plj05ZNPM9rNJEzzkraO5WEvxH5rbyEbI43MAfQyurjKkMMkZBzyDg06vizS/iX46+EPgnUtQ0e6g1y1vr3xxcWeivp4xazW2q3MiS71bfJ1lLrkAjaF2kEttz/tCa9Y+A3mvPHGnym91trPSNb0i70q4JVbLz2iu5S4tY23hioUeY6FAFzl6APrdmCrliFHqabJMkIUyOqBmCjccZJ4A+tfEPxK+OOt/EHwDpkWr+I9N8MPqHh7wtrMGgm1VpNalvJ1kujEWbftiKKB5f3MM0m5SAOn8VfFTUPFPwz+MVtf63b65rnhmW31bTpNHktp7CKRL2SSxSGWL94Jd9tEJIp/nVhkFlcUAey/tLf8AJOtI/wCxz8J/+pDp1eq15V+0t/yTrSP+xz8J/wDqQ6dXqtABRRRQAUUUUAFV7jULWzmtYbi5hglu5DDbxySBWmkCM5RAfvNsR2wOcIx6A1Yr5h+OWq6J4X+PGga5eahovivUlbS7S08GXGoSQavYyG6dftunRIx80ss/71SihkgIMm0FaAPp6ivj34Z6kfBnxua4m8Q+HNSsNJsNfvvFviXS9fkuy8AuEkgbUYjGI7aSL5lRfMcqscwXaikVR8Za3cSeN9fm0PUGl+McXjN49OsFuSbg6QLEFAIc4+yGLL52+WZjnPmUAfaFFfAtrrehLb+F5PD2uST+BLjS9A/4T+7XUZHjjna7AY3shbMcrnetxuIbZxL8uK9H/wCEvTS/2ePiRp/h3WZBay3er3PhsWNyzztosU8KXU1mwJYxRGaUIyHCgx7DjbQB9Z0V8SNqfg2P4npaprFh/wAKAl1lA1z/AGj/AMSU6h/Zbt5Rm3+X5ZOxiu7YZwP+WlfSP7N82oz/AAP8JSanJdTTNbN5Mt8zNO9t5j/Zmcv8xYw+USW5Oeec0AelUUUUAFFFFABXlXxk/wCSi/An/sc7n/1HtZr1WvKvjJ/yUX4E/wDY53P/AKj2s0Aeq0UUUAFFRXUkUVtK88gihVCzyM20KoHJz2wO9fOX7Juu+CvFPijx7rvgLXNNfwxfCzisdBtNUFzMqwecJNRmiLs0LXLSBcNhmS3jZvmYgAH0lRXxjDr/AI9sfDmi3iLYX2gx/FfXUt4Yp5/7QnKazqgWFsjZtLLtAzwoXirej/tM+I4tN0nVB4x0jxJpc1roeoeIb2C1iih8OPcanbQXVtIVP7tfJlnOJj5kX2d2ZsdAD7Dor5h8K/GvxT8SPiJb2mjeLNMsvDMT+Ib83q2aSx3dtY3dhHAolJwsTLcyFpFyWXBUjhh6F+zT8Rr34i+Cb+XVNWXW9X02++xXt7bPbTWTy+RDK32Sa3+SWH978pYCQZKuNynIB65RRRQB5V8ZP+Si/An/ALHO5/8AUe1mvCda+CXxh/4SLUbPTzdf8I99ouPCVu41SNSuhX9xPc3F+o35Etur2tugOJP9Hcrw2T7t8ZP+Si/An/sc7n/1HtZr1WgD5m8a/BvWdW8ZLrV94Sk8S6fp/wARY9YtbNLi3Mh01tBisy8YklVVC3QDFCVbETMAcjde+E/wV1vwL420LXF0yaxmudV8Uy63N9vDiS3udRlnsdyeYQQVKMqqPkLvkKWfP0XRQB85N4L8d3X7UOm+Ih4ZXTdBttVuEudXtZIcXunNpkiR+a5uTK5+1eX+6ECqhRWBPLHQ+KHwz8c618WIk8OytB4Q14Wl/q16bpV+wXmn+a8G2MtuYXEhslYKCuy0cN98BvfaKAPjPwn+zz4wvPAf9l61pevR38994Y/ta1uby1jtro2upRTXl5HLFdvI8pjEhaVvLkkUR8FxtXc1H4LfEewg8S6b4chudN05dJ8UWWjrHqixiMXN5YS2kUbBy0RaOO6VGwPK/wBn5RX1hRQB8teJPhP4p1azml8BeEb/AOHuPB+vaXa297qFuJobu4n014gphuJRGZFt58OjfKV3MVZhnvPgL4Y1j4f6bdQSaBr9tbavq+5rG++wQw6VGLQZljjhupQInkiVSqMWMkpfYFLPXtNFAHzb8evg78RPin4w1zVtCutJ0iPQtKt4/Dg1KzNzJc3yXEd88sUiXMf2cGW1soiZEfPlOcbT83HaboniTxp8YfF2p2fhfVrDVtP8ZWNxNr8mqxG302yXRrGS6sDGJ9xLmRlIjjZGaVXLfIMfYdIFC5IABY5PHWgD4T+FPwl8WePfhb4HurDw3rOi6NqOh+F/7be61xC+uOt/aXFxdqyXDOAtqs+S+yRllEYU7AB6RqnwP1688cXOmp4avorZtet2tPFEGpxpaW3h9bWOKTTljE3nLlVlj8sRbC0gl3bskfUiqEUKoCqBgAdBS0AfGV18Gfi5rGk6Ze+J7W61aSwvrfRbzS7a4trhtS02zs5ooL4xSTxxM0t1PLO0bOGAMRILxKol8Y/AnxlqGn2unT+HPEHi+ZNI0G30fV9R1e1il0pra5Z7xLkC55kddmWj80S4Cs2FBr7IooA+d/2m/hn4s8feJtEfT7fVtR8OLpV5ayQ6I1sLmzvXeExXSC4uIFDhFcJKrFoz0ADsa5vx18HfHl3da08Vhd6rot14zGp3djG1rJNqVp/YVpapM0Uk8UbhbmJyY3dTlQ6qSqZ+rKKAPmjwj8JdX03xlo0Xivwz4h8a6WuhaZp+n6pqWo2pfSDGJhdrdILnJkcPHueHzvMACsxC5OX8GPgBqWk2fwnstZ8IXGi2nhHwzfWt3C19D5MmsLJpwgugkMzCQMIbh0ZxlcfMEYrn6rooA+Xvht8MfFug6p4Ofxd4S1TX7u18JaHp9nqEOqW5i0K8ghdb0Sg3CsWZyhMkSy+YAFJwvOBD8L/iis3whgfwqY7zw9p/haK71yK5gkuE8mRBqkMszXYYKIw4KxROJQxy7cBfsCigD56+GHwf8Q+EfHeg+IZrK6gu7jU/Ex1u4k1HzfMtZ7+SXT1ZTIQVEYjKqo/d7mBClmzkfEL4I+KtUf4na3ptlcS6zqnifT3tlW8R3vNDjg077RbRI8yxoHlhn3Ru0Yk2EMdrg19OUUAfF3jv4WeJfDvw4Se88O+JvEGh2Ph/XntrGbUbW0n0O+kmWWCfEd2VESRq6xmOSSSJflCjcVHSeGfC/wAQ55dLtrfQtRvNKvPEWl+Il10ajbrbrYjRra3kiKNMJvME8bkp5e0g7txJxX1YwDAgjIPBBoAwMAYFAHyVY/APx7deCb2WaG4s/GVn8MtE0TR7qXVM/Z9USC9S/VCkhCykSRJ5/wDt5V+Dh2n/AAe8R2Oj6SZvCfiTVvDf/CRSXupeDZLjT7MhDp7QxvAkd60PlLPtdo2mX94TKFJAJ+tKKAPma8+CWs3f7IPhfwdqXhc6prujXemX0mhtdxTSOtvqUU80azPIEd2gWVQzOAxbkjJpsPwz8WyfE6K+j8MajY3i+JLPULTxM2owC3stES2iWTTTEs5cH5ZYjEsbRl3Eu8nkfTdFAHhfi7wRr958btS1eTw7f61BcadZweHtbgvYVttAnQz+e8kLzI+WLxMWjSTzFARsBcHyvTfgb421LS9Is4/C+seGrYQ6Da+JIrjXY2k1m5i1S1lu7xZIrhmOLeO63SOUllEwXaSoA+yKKAPky+/Z08RaleanptxpN0fDdjp3imPQ7ZNV2RwzXFxZyadtVZQRgLcmPdxFgfcO2n+HfhF8SpPie2sa3LrMGreatxZ69avaSW0cZ0xYfs1wzXPm+Ws+9jEkLKX2yA5LMv1hRQB8jab8E7ubwz8L5r34Uao2reGtbtbnXY77UrO5n1Jzp91bz3cbm6Kv+/lhkZpCkjhc7SVC1678RPhXc+KPjZ4Q8VWmnW/maV4e1m0TVpthNpdyyWRtTtJ3N9y5PAIGDnGRn1yigD4t8P8AwM+JNn8M9RtltPEFrrcq6LHq+mzTWRg1byLgvePEwvG82WRSd7zmHzk2I/VgtzxN8DfFd14LsdLfwt4j8VaXJouuWtlpV1qVnZy6PqFxOj28rBLvYsKpvWMxySPEnyhRuKj7GooA+X9E+B3ijVL7RLDxJpc83h9PF0d/e2x1BRG1inhiO1AZUky0f21Npj5yRuKlTmvGrOG90L4ueD/D3juSaWXQz4ftI7VpoLzUY5PtM4iWLfeI7RMJIPOaKG4ysZywZCI/0FppjUuHKguBgNjkUAeM/F7wfqmtfFDwvqlx4W1Hxp4XttPuYFsNOvobf7FqDTQNHduss0W4CNZFDoWeP5tq/PmvG/EHwh+J3iiT4qqPCC6QviDwl4h0wQ2tzBFBqF9LcR/YGMn2qR5GMPnHzZEi2b2Xaowo+zKKAPlXw/8ACPxk3jzTNW0bw1e+C/D8Gtm6t9N1TUILl7KT+w9Qtpb0hJpQRJPcWy4VizFGkZRuJrA8I/A3xfZ/DfVrTWNK8XLrE9tpUd5YwnTJ7W/u7eRpJLhke+/0lZG4mMrRPLGU/iX5PsmigDz/AOFPibUrqxs/DWr6B/ZGr6PoemyaibMhrCG6lRw9pExZizRCNWPLALNH8zZzXoFFFAHwB/wWr/5NZ8Lf9jna/wDpDfUUf8Fq/wDk1nwt/wBjna/+kN9RQB6/+zLoPxhm/Zt+FEmmeOvA9npreEtJa1t7vwVeTzRRGzi2I8i6sgdguAWCICQSFXOB6X/wjnxv/wCih/D/AP8ACDvv/lzR+yd/yaz8G/8AsTNG/wDSGGvVaAPKv+Ec+N//AEUP4f8A/hB33/y5o/4Rz43/APRQ/h//AOEHff8Ay5r1WigDyr/hHPjf/wBFD+H/AP4Qd9/8uaP+Ec+N/wD0UP4f/wDhB33/AMua9VooA8q/4Rz43/8ARQ/h/wD+EHff/Lmj/hHPjf8A9FD+H/8A4Qd9/wDLmvVaKAPl/wCLGg/GGPx58GFu/HXgee4fxbcLZyQ+CryNYZf7C1Yl5FOrMZF8sSLtBQ7mVtxClH9L/wCEb+N//RQ/h/8A+EHff/Lmj4yf8lF+BP8A2Odz/wCo9rNeq0AeU/8ACNfG7r/wsL4f5/7EO+/+XNH/AAjfxu/6KF8P/wDwg77/AOXNerUUAeU/8I38b/8AooXw/wD/AAg77/5c0Dw18blAA+IXw/AHT/ig77/5c16tRQB4nofwx+Lfhu+1u8sPHXgCK61q8+338zeB9QdpphFHCG+bWjgCOGNQowAF4HWtb/hGvjduz/wsL4f56Z/4QO+/+XNerUUAeU/8I38b/wDooXw//wDCDvv/AJc0f8I38bt2f+FhfD/PTP8Awgd9/wDLmvVqKAPFdD+Gvxc8Ny6pJpvjn4f2raneNqF0F8DagVedlRWcA60QuQikhcAnc2MsxOp/wjfxuIwfiF8P8dP+RDvv/lzXq1FAHlP/AAjPxu24/wCFhfD/ABjGP+EDvv8A5c0f8I38buP+LhfD/j/qQ77/AOXNerUUAeU/8I38b/8AooXw/wD/AAg77/5c1w+tfs5fELxB4ol1++8beCpL2aa1ubiGPwrq8drcy2zK1vJLbrroikZCiEFlP3FznaMfR1FAHlJ8NfG5sZ+IXw/ODkf8UHff/Lmj/hG/jf8A9FC+H/8A4Qd9/wDLmvVqKAPKR4a+NygAfEL4fgDp/wAUHff/AC5rh/B/7OXxC8CavFqWkeNfBUdxbwzW1qt14V1e5is4pnWSWOCKXXWSFWZEJCAcKo6ACvo6igDx/VfA/wAZNc0u806/8efD26sbyF7e4gfwHfbZI3Uqyn/ic9CCRXN+B/gP8Tfh3cXNzo/j3wa13cW8Nm9zqXhXV76UW8JcxQq8+uuVRTI5CggZYk5PNfQlFAHlP/CN/G//AKKF8P8A/wAIO+/+XNIPDPxtC4HxB+HwGc4/4QK+65zn/kM16vRQB5T/AMI38buD/wALC+H+en/Ih33/AMuayvEXwz+LfizT47HVfHHw+u7RLu3vRCfAuoKpmgmSaJjt1obtskaNg5B28gjiva6KAPl/9oPQfjDF4D0ptQ8deB7q3/4S3wwqx23gq8hYSnXbAROWbVnBVZCjMuAWVWUMhYOvpf8Awjnxv/6KH8P/APwg77/5c0ftLf8AJOtI/wCxz8J/+pDp1eq0AeVf8I58b/8Aoofw/wD/AAg77/5c0f8ACOfG/wD6KH8P/wDwg77/AOXNeq0UAeVf8I58b/8Aoofw/wD/AAg77/5c0f8ACOfG/wD6KH8P/wDwg77/AOXNeq0UAeVf8I58b/8Aoofw/wD/AAg77/5c1Tl8C/GKbV7bVJPHXw7bUbaCW2huT4Cvt6RStG0iA/2z0ZoYif8AcFew0UAeM678O/i94m0m50vVPG/w7vdOusCe2k8BX2yUAg7WA1r5lOBkHgjIOQSK0P8AhG/jdnP/AAsL4f59f+EDvv8A5c16tRQB5T/wjXxu5H/Cwvh/g9f+KDvv/lzR/wAI38b/APooXw//APCDvv8A5c16tRQB5T/wjPxu24/4WD8P8en/AAgV9/8ALml/4Rz43/8ARQ/h/wD+EHff/LmvVaKAPKv+Ec+N/wD0UP4f/wDhB33/AMuaP+Ec+N//AEUP4f8A/hB33/y5r1WigDyr/hHPjf8A9FD+H/8A4Qd9/wDLmj/hHPjf/wBFD+H/AP4Qd9/8ua9VooA8q/4Rz43/APRQ/h//AOEHff8Ay5rzT4saD8YY/HnwYW78deB57h/FtwtnJD4KvI1hl/sLViXkU6sxkXyxIu0FDuZW3EKUf6gryr4yf8lF+BP/AGOdz/6j2s0AH/COfG//AKKH8P8A/wAIO+/+XNH/AAjnxv8A+ih/D/8A8IO+/wDlzXqtFAHlX/COfG//AKKH8P8A/wAIO+/+XNH/AAjnxv8A+ih/D/8A8IO+/wDlzXqtFAHlP/CN/G//AKKF8P8A/wAIO+/+XNJ/wjPxuwR/wsH4fYPX/igr7n/ys16vRQB5T/wjfxv/AOihfD//AMIO+/8AlzQvhn43KuF+IXw/Ueg8B33/AMua9WooA8q/4Rz43/8ARQ/h/wD+EHff/Lmj/hHPjf8A9FD+H/8A4Qd9/wDLmvVaKAPl/wCLGg/GGPx58GFu/HXgee4fxbcLZyQ+CryNYZf7C1Yl5FOrMZF8sSLtBQ7mVtxClH0PCvxM8e+NvEk2gaP8VfA91q0P+tt3+GOsQ+V8u4b2fVVVcryMkZ7Zru/jJ/yUX4E/9jnc/wDqPazWD4u+HnjK7X45y6ErWN/4itbRNGuY7tYXmaOzEciq6ndCxIKBzgqSGHTNAG3JoHxthjeR/iJ8PwigsT/wgd90H/cZrO8Lt8X/ABn4Z0jxBpHxJ8AXOlatZw39pMfAF+hkhlQOjbW1kEZVgcEAjvUvwX8GanoN542uI/Dd54M8N6iLZdM8OX11DLJDMkTLcTgQzSxxiQtGNofkxM5AL8/Pfhf4B/ErS/hzoul6R4T1Twn/AGfoGjaf4h02bVba5bxBcQXETTtDi6KECFJV/evEJFkERwg4APpP/hHPjf8A9FD+H/8A4Qd9/wDLmj/hHPjf/wBFD+H/AP4Qd9/8ua56x+HPiyy/Zf8AEfhjQLjVtM8TXdtf/wBnR6rLDDPamWR2SGNoJpFiQBtseJCY1K/d24HmOq/A/wCINz8PZrLwdaa94Y12bVpr6FtQurOyh0+H7AYpYIUtricBbk4Tr+7kZrjAKLvAPb/+Ec+N/wD0UP4f/wDhB33/AMuaP+Ec+N//AEUP4f8A/hB33/y5rwfRfB3iXxV8TPFH/CM+F9V0DVtL8WWAg8QXGpwtbaNZpoli01g0QnZmJLlSscbxuZAxc7AQeFPgf4+034f3MV5pPiSW+c6Iuu6Ib2yii1tLe4L3jQzLdsZJZFJ3vMYfOQKr85CgHt0dj8YpdUn01Pif8OH1GCGO4ls18EXhmjidnVJGT+2shWaOQBiMEowHQ1a/4Rz43/8ARQ/h/wD+EHff/LmvI/EnwU16TXPFuq+DfA134W1LXPA0Wl6Vete2wm0q7hmvS8MjpcM0bSRTwIjRF1TbjcoQGmaf8HvEdjo+kmbwn4k1bw3/AMJFJe6l4NkuNPsyEOntDG8CR3rQ+Us+12jaZf3hMoUkAkA9J8KzfF3xr4fs9b0f4l+ALrTbxS0Mx+H+oJuAYqflbWARyD1FVde1f4s+G/EGhaJd/EbwQ+qa00gs7a1+HGpzkrHsEkjlNXIjjUyRgu+FBdeeazNN+H/i7w3+yj4b8Jp4Vh1bXLf7PBfaPd3CXe2D7TulOWniS4ZU+YB5QGI53fdOL8LfgHrEus/DW/8AGvhtJ20bS/E9hctezQyvbRz6lC+nw4SV+PsokACswQfKSDjIB6Hpdj8Ytc0201HTfif8ONQ0+7iWe3u7XwReSxTRsAVdHXWiGUgggg4INWv+Ec+N/wD0UP4f/wDhB33/AMua+dbf9n3xra/DP4d+HB4V1nS9O0fw/caTqFjo01g9xHqgFuq6lCXvI0+YRyeXLu82M/wKHY19E/Cf4Z3Xh3x98QvE2tQXE2p6jqUUWnX91ciRnsF0+xVgqKxWIG4hmLABSSueRtNAC/8ACOfG/wD6KH8P/wDwg77/AOXNH/COfG//AKKH8P8A/wAIO+/+XNcP8HfBfjvTvj1qfiDWfDK+HNFurDVIbtrWSHyLu4N9A1nISLmWSZjAJz5jpHt3Mu1QQopeLvhr4zvtX+Kps/DuqT+KdX+0NoPi+LVoobeGzaziRLJP3wmhbesq8RbA7+bu3cgA63XLr4t+G9Q0Wy1D4l+AILnWbmS0skHw/wBQbzJUt5bhhkawQuIoJWycD5cdSBUHhHV/it4602yv9F+JfgS6tbzTrXVYJW+HepRq9tcqzQsC2rgZIU5X7y8bgMjPI+GvhL4mHxG0TWNN8JXnhLwfba4LuPQL6+t5JLP/AIkuoW01yFinkRRLNcWybUcklGdgNxNZem/BfxpafDa30fU9H1ZhD4M8Iaatlps9ncA31i1211DJDNcRxywgtAsi7wJFb5WJXIAPVYbH4zXGq3WnJ8RfAZu7aKKaVT8PtQChZC4QhzrG1jmN8gEkYGQMjNz/AIRz43/9FD+H/wD4Qd9/8ua8z1f4d/EfVNNnuLvw+Y4ZtF8JRX/h7SNSSNLn7Lc3b6lZQM8oCjZLCPncLIvyF2G41ij9nvxR4ikvxfaDf2Hh3+yfEjaHoUurqG0ued7D7DE3lTlN26K7lTazJDvADKQtAHs3/COfG/8A6KH8P/8Awg77/wCXNU9UsfjNo8EU118RfAaxyTxWy+X8PtQkO+R1RAQusEgbmGWPAHJIAJrL+M/g34ha18NvB934W81/HFjF9jvFN2kfyXVm9tPIzFgreTLJFc8HLfZ8LksAeO8IfB/4i6f4dubfUo7qS60nxD4e0bSd2oo7XGg6bqcc32x238SSQyS+YrfO3lAEE4FAHYz618UIb7RrRfit8ObibV9QuNKs/s3gS+mV7qCOeSaJmXWSFZBbThgxGGQqfm4roP8AhHPjf/0UP4f/APhB33/y5ryXw7+ze51DQ9GvvAxtNFsfiFrOtahcLdQrBe2FxBqhtXAjm8xlX7VbxNG6g5JG1kBNdpP4P8aaf+zHoXhuTw+viPXrc21readqE6XTfZVuAGb5riNJ2WEAhXmAbHO77rAHTf8ACOfG/wD6KH8P/wDwg77/AOXNH/COfG//AKKH8P8A/wAIO+/+XNc/4H+F/irUP2XbzwZrUtxofieQakthM86NJYn7bPJp7ZjkdQI0+zEIHYAKF7V5L4m+DfxR8aJaa/4k0nV4rjxBHqVzqOi6Jd2k8+iXjtbxWbxNLdRRB0trdQJY3YxyGQgYkZqAPYtHuPi5r13r1tY/ErwDNNod59gv1/4V/qA8qbyIp9ozrHzfu54jlcj5sdQRVvT7P4y6po9tqlv8RfARsriBbmNpPh9qEbeWyhgSjawGU4P3SAR0IzXEr8C/ENl4/wBX8V21hdNrU/jW1u01Fr9VeXSho1tbTsUEm0BpUkDJgFiitghUIq/Df4X+LND1Twc3i/wlqniC6tfCWh6faahDqluYtDvIIHW+EqtcKxZ3KEyRLL5gAUnC8gHc+F2+L/jPwzpHiDSPiT4AudK1azhv7SY+AL9DJDKgdG2trIIyrA4IBHetT/hHPjf/ANFD+H//AIQd9/8ALmvDvD/wL+IFrdfDe31e01qK20nw34as4J9Gls5G0e6tB/piM0lym1XIUO8Ky+bGChztVT9GfHfQNZ8VfBTx5ovh1JX1/UNDvLWwWCcQuZ3hZYwshICHcRhiRjrkUAYn/COfG/8A6KH8P/8Awg77/wCXNH/COfG//oofw/8A/CDvv/lzXmPiz4D65Z/FrTho9lrEXg+1TTDpFzostu7aXJFdSzXe9ri5R180upkdFlMqFlYHaqmO1+HfjvSbPxj/AGZ4X1B7dfEej69bSXs9nFq2qCLVTc3kBljuWjlVYQBE0piYhhG+Qu4AHZ61rPxR8N6wmmar8Vfhzp9w2mXWsM9z4Evo4Y7S2aJZ5nlOs7EVDPHncRwSegONK3s/jLdanc6fF8RvATXNvDFPIP8AhX2oBNkhcIQ51jax/dtkAkjAzjIz5Fr3wP8AHfxE0/xwdW8MyWn9ueHfGFnZ2uo39vKYZr2ewksI3KSMoJ+zu3ykqhTk/dJ6HV/hL4m8RR3lvYeGNQ8OeHr2HwfCuk/2jDBJBHa6vczakmYJyFIt5FJKN84YBSxBAAPSf+Ec+N//AEUP4f8A/hB33/y5qneWPxm0+7sLab4i+AxNfStDAF+H2oOCwjaQhmGsEINqNyxAJwM5IB+Vvjho83gXXz4X8Q7rLwjax6xf2dgZ4Jp4rJ76B4msEmvIB54VJURV85lWTZ5QDKsn2N8QvD2sa14h+Gt1osEo0/TdVuLi/CyCLy4G0q9hj3KxBb99LCNoBIJBwApIAM7/AIRz43/9FD+H/wD4Qd9/8uaydQm+Lul+INI0S5+JfgCPUtVWZrOH/hX+oHzBEqtJ8w1jAwGHUjOeKyv2cfhHr/wwuvDrXtlc2cc/gnTbbXDPqH2ky6xET5rPmRtzgMw8wZUgKoOFUDza4+EHxAtNel1a18A3GpeJrSDxIt7q2oaxEbXWmuZCbMIi3Kvt8vCgOIfLGIwyrlgAe6f8I58b/wDoofw//wDCDvv/AJc0f8I58b/+ih/D/wD8IO+/+XNeS+CPgd4q1OHRtL8SaBcWvhWLxzc6k+ktcQ28UeltobxqphguZFEZvmP7kO3LFiu0mjwf8GfHfw/8HxPp2gzalrN14FubLVLTU9YMwvtUWaL7OkrmcF2ERnUMHVduE3oMYAPWv+Ec+N//AEUP4f8A/hB33/y5o/4Rz43/APRQ/h//AOEHff8Ay5r5Y+IGh+J/BHhHT9C8QWlvoOlap4sv7qx0zWHtIrRbH+yIlwIv7QjgjK3LTSJH9qyHXeEPLJ3Wl/DLX/Fms+A9b0mHxM/g1tD8PyaJfW6Wkd3pnkuZJ/PWW5jMTSKUMhiWXzELIchUDAHtv/COfG//AKKH8P8A/wAIO+/+XNH/AAjnxv8A+ih/D/8A8IO+/wDlzWb8BfCWv+E/FXjpb/Q7mx0a9uVu7TUtWNudRu5nmuHlSRoJ5VljjDRiORxG+1tjA7Aa9noA8q/4Rz43/wDRQ/h//wCEHff/AC5o/wCEc+N//RQ/h/8A+EHff/LmvVaKAPzL/wCCu2k/EWx/Zt8NyeLvFXhfXNNPi22WO30Twzc6bMsv2O8w5kk1C4BXaHG3YCSQdwwQSu1/4LV/8ms+Fv8Asc7X/wBIb6igD6q/ZO/5NZ+Df/YmaN/6Qw16rXlX7J3/ACaz8G/+xM0b/wBIYa9VoAKKKKACiiigAooooA8q+Mn/ACUX4E/9jnc/+o9rNeq15V8ZP+Si/An/ALHO5/8AUe1mvVaACiiigAooooAKKKKACiiigAooooAKKKKACiiigAooooAKKKKACiiigAooooAKKKKAPKv2lv8AknWkf9jn4T/9SHTq9Vryr9pb/knWkf8AY5+E/wD1IdOr1WgAooooAKKKKACiiigAooooAKKKKACiiigAooooAKKKKACvKvjJ/wAlF+BP/Y53P/qPazXqteVfGT/kovwJ/wCxzuf/AFHtZoA9VooooAKKKKACiiigAooooAKKKKAPKvjJ/wAlF+BP/Y53P/qPazXZ+G/H2ieLGjXS7mS58x72NW+zSqu60uTa3ALFQAVlBUAnLAErkAmuM+Mn/JRfgT/2Odz/AOo9rNeR618G/iI3gvX9P07T7iG6ufD3ju1gSDUIoybu/wBYS40/BEg2s8O9g+RsyQxUnFAH1jWTp/irSdTuILeC+jW7uPtJhtZ8wzyrbyiKd1jcBmVHZAWA2/OhzhlJ+fT+z5qPh3x1qWr+HtLu7eK28V6Pd6U/9qsyxWHlwJqRRHlO0P8Av/MBG6U8kMdpqrY/BfxLb+NPBniC+8NNfapZy+LrUaiZ7eV9NN5qwudNuX3yjdGsSsdqbnXzANnUAA+oqwLHx5oN9pet6mupwwados9xbajd3RMEVs0H+uLs+AFUAkt93AJzXyn4S+CPj3TPAFzFe6P4jnvmOiLruiPeWUUWtJb3G+8aGVbtjJLIpO95jD5yBUfqQvb6R8EtWv8A9mH4seCpPDTaPd+In1t9J0fUL2OcxidWNqHkWR1UhtnG8hNuAcAGgD6STaRuTbhvm3L346/lVS61mws76GxnvbeK+mhluYrVpAJZIoygkdUzllUyRgkDALrn7wr5a8U/CvxXrE0o0nwLqulyXGlabB4YuBqVpEnhO5jmla4aVEuTgkskhaAS+ao8tsAAV6d8TvhxJrHxy+H/AIuj8LnXYLDTNU0ye7ieFXsZZpLSS3mYSSISi+TcD5NzAyD5TkkAHqHhfxLp/jPwzpHiDSJjc6Vq1nDf2kxRkMkMqB0bawBGVYHBAI71qV8W2f7OPj3wj8NfDek+HdMu7IHwt4fh8RafHqMcrXt3bXCG7hAknCM5iLry6xuiiMvswB65Y/DnxVY/sweIvDGhy6xY+Irq3vjYW+pTwW9zb+ZI7LBFJBLKkK7SVjIkPlhk+7twAD3aivkT4hfB7xD4lh0OLQfBHiPwx4RSxv7b+wrO5sJL2xvZGgMd6ga+WFG2pIEkSVnjbJ2jzXNdRN8DdeuvHWo6/dWN3fXU3jK1cXVxqA/eaIdIt7e5UxiTYEeYTbowoLMA2DhDQB9E6Xqtlrmm2mo6beW+oafdxLPb3drKssU0bAFXR1JDKQQQQcEGrVfEFv8As++NbX4Z/Dvw4PCus6Xp2j+H7jSdQsdGmsHuI9UAt1XUoS95GnzCOTy5d3mxn+BQ7Gvon4T/AAzuvDvj74heJtaguJtT1HUootOv7q5EjPYLp9irBUVisQNxDMWACklc8jaaAPVqK+UrT9mfUtU1S0utZ0e8ma8m8Vvqu/WHKzCbUGk0oOomwyrEQ0a4xETnCNUesfD/AOKeqeIvhnPP4aZr/SIPDbXviCO4ge4BjnU6rHLM10GUeXvBWKJxKHOXPAUA+p9S1Wy0a2FxqF5b2Nu0scAmuZVjQySSLHGmWIG5ndUUdSzADkirVfIuufBPxJrfhXx7pk3ga41XT31/Sdesv7WezXVNSeLVTcXcJkS5aORVgykTymJtsmxs7d1eo/HzwvrnibwX4Z0rQvBserWDTYvLGYQSS2EYtnEZWN7qGJmVyilvMfZ95VY4ZQD2msnUPFOm6X4g0jRLm4MepaqszWcPlsfMESq0nzAYGAw6kZzxXzEvwP8AHuraHa6pq9nfXHi/TvCPhK3sbhtWG6PVbaed9RYYl279rRhpDw6sVDMCwrU+Gfwn8UaX8ZvD+uat4Uvre9sLjXjq/ie41SGWHUhcTbrRo4hMz4EYVQHjQxABFytAHv8ArXj7QNAile71OH9zqVppEyQHzXhu7p4UgikVMlGY3EJ+bGFkVj8pzXQV8s+MPgDe6t4t+JENv4NkMHiPxh4d1saxbXcMKzWMMum/bI9wmWZXVrW5lOFGQRtYsdtc34w+Afjx7g6XDp+sS+DIbjWodNsdFubWS40/z7iKS1uIRPdQqm1fNEbBi8J4CqrEgA+n/iB8UvDPwts7e78T6hJptrOSqTLaTTICCowxjRtuS6gbsZJ4zW3oOvWfibSLbU9PeSSzuFLRtNA8LEAkco6qw5B6gVw/xq8I6v4s+Dt7oWlxSanq0jWWBK8cbyeXcwu7MSQoO1GPXtx2rgfjR4W8fXnjDxYnh3QL/WLDxDpmh29tfWuoW8ENjLaX1zLc+YskquN0Use0xq24ghtuM0AfQ1Uta1i08P6Pf6pfyeTY2MElzPIFLbI0UsxwBk4APA5r5E1L4M/FVk8WmLT75tL1C9t7rStMGpQSvY6aupvLdabtaZEZp0ZJuX8soPszOqRoXd4m+Bviu68F2Olv4W8R+KtLk0XXLWy0q61Kzs5dH1C4nR7eVgl3sWFU3rGY5JHiT5Qo3FQAfXumalb6xptpf2j+ba3USTwvtI3IyhlODyOCOtWa+VfDHwl8cWPi7R2u/D9/HrVtren3aeLRqcJtbbSYrSFJrDyxN5nJSaMxrEY2aQS7s8iD40eGdc8a/HrxfpmhaDqep6xF4e8PyaVrFvqSQW+g3DX2oFrl0eZCcrGMmNJGYRlCMPggH1jRXxzqnwr+Kms3/wAT57bws+gS614U8QafGNPu4IY7y/kuIv7PkEv2t5JJDF5pE0ixbN7LhBgDU+IHwJ8XWGvX9n4c0q8ufh//AG3b30miw3MVybpTpzwySCK4uI1cLOI3ZZHG5v3oDOvIB9OWvinTb7xRqXh6Gcvq2nWtte3MHlsAkU7TLE27GDk283AORt5xkZg8YeOdA+H+mQaj4j1W30iynuobKOe5barTSuEjQe5J/AZJwATXk/wp8FeJ/h1r95f3Gl6zrkE3hrw1o0c2oXdqb53hub4XLTETFS0MdzG7kO28AhDI3Bd+0F8IvE/xu8QaXodrPp2leFLTS79rm81Sya9Wa7uYWtFWOKO4hdHjgluT5hJGZlwCQcAHudFfEureHviB458a3ul6p4Z1K5+INt4R8NqurWmrQx2uiagL3UFlvivnjKyCHzB5ayOUXy2A3EHOtfh341+IHhXxjceE/D+sWWrTS+N7KfxBJrMSpqwkvLyGztYgZ96GOURkF0jSPyWKn95kgH3S0auVLKGKnIyOh9adXy38Rfgfrtp4g1PTvC3hm+uLVrGwh8Ka1a6okcPhy5W4lkuZpVknWUszOsjPGsjSgbG4ABw/EnwR+Kd1Drmnwpcy6H4cuo7TQYYr2J5NX0y41Fby7jKvKi5jgjtrZVmZN4hlUnZKSwB9Z61rFp4f0e/1S/k8mxsYJLmeQKW2RopZjgDJwAeBzUmmalb6xptpf2j+ba3USTwvtI3IyhlODyOCOtfIXib4G+K7rwXY6W/hbxH4q0uTRdctbLSrrUrOzl0fULidHt5WCXexYVTesZjkkeJPlCjcVHovxf8Ahz4t1z4e/DXTrGwn1Gz0poxrui2vkSPOosnjX5JZoopVjlKkqZOuHUMyKKAPa7XxTpt94o1Lw9DOX1bTrW2vbmDy2ASKdplibdjBybebgHI284yM61fJetfBP4gxaBqcOmJq96smh+E7KU6lc2zahqMdneXsl7bSYn8tpBFNFu3SiOXJUyMCxq3o3wl1/R7rwa2qeFfE3i7w3awakItFnvrK2l0i8lvI5IZii3fl+UkYdYikkjwr8oUbsAA+nbHUrDXLeSWzurbUII55Ld3gkWVVlikKSISCQGR0ZWHVWUg4Io0rVrbWrQ3No0jQiWWHMkTxndHI0bjawBxuRsHGCMEEgg18v+G/2drhbrStAuvBcthoEHxA1jWNVlivIo7fUdPni1OS0bbHN5jojXFrG0bqDuH3WUE1bt/hj4ttda8PXHibwlqni/R7e78RPHp1lqluhsri41l57O8ffcRgj7MQFZC0kWSAgLHAB9K6Vq1trVobm0aRoRLLDmSJ4zujkaNxtYA43I2DjBGCCQQauV8c/FL4W/FTU/h//ZGmeFW1DVlm8S3ljqa3UD3VldTapNNYMjyXcSwqYWRhIokdcBCE5Deg3Hwf8Q/8LW1LxfFZXX29vHVrdW13/aPA0X+yreCdVj8zaqGYTbo9oZmVWwcKaAPoWiiigD4A/wCC1f8Ayaz4W/7HO1/9Ib6ij/gtX/yaz4W/7HO1/wDSG+ooA+qv2Tv+TWfg3/2Jmjf+kMNeq15V+yd/yaz8G/8AsTNG/wDSGGvVaACiiigAooooAKKKKAPKvjJ/yUX4E/8AY53P/qPazXqteVfGT/kovwJ/7HO5/wDUe1mvVaACiiigDza8+N1hp/x9tvhdcabcRXFzo0OqQ6sXXyHlke6CWu373mGOxuZQem2JvSsTwf8AtReGPE1r4rvbq3vNK0zRNYbSobryXuTfqIhKLiNIVZhEy7mBIxsAYkA034tfs7S/EvWvEes2Ximfw1rOoWGj22nahaWokm0uewub6Xz0JcB/Mj1CSIrgYXdyd2Bk6t+y7cQ/abfwv4q/4R7SJby1kGk/ZZzbm2g02OxjgfybmF32+Wsi5bbkAMjYBAB6avxa8JyalDY2+rC+uJrBdTT7DBLcp9naN5EcvGrKN6RuyKTlwp2g1zGg/tO/D7WvAPh/xfNqs2j6Zrdp9ugj1K0kjmjhVUaSSRQDtjj82MPNkxLuHz8gnI8Ffs73/gvXPh7dW/iS1jtvCui2mjXD2WnS293q8UFo8Cx3Li5Mbxb385UaJmRhhX5JPM/8MjX3/CP+ENPm8SaPqUnh3RZfDSLqGi3DW1zp5MXlCSKK9jJmURYZt+xw7Dy14IAPbdH+JXhrX/GGq+FtO1WO913S0V761hR2+zhljdQ742glZY2C5yQcgYBxzMPxwtJvCdnro0ucR3Pi6fwkIfNGVki1WXTjNnH3S0Jkx1wQOtbnw/8Ah5F4Bv8AxdPDcpNFr2qx6ksEcHlLbBbG0tBEPmO4Ytd2ePv4xxk8TZ/APVLfWILN/FNtJ4It/E8/iyLSBpZF79rluZLwxtdedtMQuZXkAEIbG1d2ASQDX1T9orwPDZ+JBpuv6ff6lolpfXU1tNK8EWbRtlwhl2EZjfAfaGK7lJGCM7ng/wCLOheN/GPi7wzpy3y6n4YvFsr03Fm8cTuYYpcxuRhhiZRzg5BIBXax828U/sr/APCS+CZPD3/CTfZtyeJl+0/YN3/IXmml+75o/wBT52Ovz7c/Jnj0fwr4DvvC/wAQPGutrqtvcaT4luYL9tPNmyz29zHawWpIm8za0Zjtozt8sEMWO4jigBG+NXgZbczt4msUjGlXWuMWcgrY2zhLicgjIWNyFbPIPGODWJrn7Qnh3wv4gttK1RLgy3viD/hHrZtOhkutsv8AZ63u6dVQGL5GxtG8/MjdN+zzvWf2LrXVvFWoauPFUsEF1rq332MWIIGlvLcXF5phbzOUnuLueQyYGAUXadmT2+sfAu+m8QXGuaX4it7TUm8ZR+LYPtenNPCmNKXTZLdlWZC2YxI4cMuGZflIU7gDQ+Ffx88O/Ey9vNJS5hs/Edtf6paNpgdnJSyvpLVnVyoVmwsTsgJKCZc8EExf8LY8SL8XJvBcng62jtYbUak2rf2yMCzMzRCTyvJzv+UnZn/gVHhT4H/8Ixqvhm9/tn7T/Yuo69f7Psuzzv7SupLjZnedvl+Ztzzu25wucV0snw/Wb4nXPi173KT6GuitY+VjgTPL5m/d/t427e2c9qAGf8Lg8G+Xo8h8QWoj1e3tLuxkO4LNFdOI7Z84wBI7Kq5xlmA6kVU/4Xp4Da50qBfEtq7ap5ZtXVXMbCWVoYWZwu1FlkRkjZiBIRhC1eTWv7Iep3nhuDw54g8b22p6Cnh+w8KPb2uim2ll0y2lDlWkNw+JpVARpVChRkoqNgi5pf7Jsum61o97c69peuxW9jp2n3kOq6PKRNHYyObd41iuo445PLKK25HXfGHVVGUIB1+p/tLeDrP4gWfhqHVbKWFYdSm1PUJZjFDYrZKvnHcy7JArFkcq2I2UhueK7bwf8RvDvjy0vbjQ9SW7WxkEd1HJFJDLAxUOu+ORVdcqQwJGCCCMivFdW/ZK1DXdPGi3njWIeHrOPWI9Lt7fSNt1D9ulMoaaZp2WUxPgDEaBlBDZJyPTPBPw51bQdU8V+INe1i01vxHr0NvbyPptg1jbRwwI4iRY3mlbdullYsXOdwGAFoAZov7Qvw98SabdX+k+JItStreCG6P2W3mkeWKVtkckKBN0yswK5jDDcCOoIpdW/aF+Heh6TpepX3im0gs9Tt7i7tH2SM0kUDKtw5UKWURMwEm4DZzuxtOPHPh/+zJ47m+Gfg1dd8aRaL4j0rwxpeiQWtjp0kK28MTQy3FtcvDdhpy5hSIvFJEMITghyD2Hhb9mBvDuh2thJ4lW6eLRPEejtItgyqx1W/juzIA0zMBF5ezaWYvnJYYwQD0ab4veEY/E3/COprdtLrbZWO3XcUeTyfPEIlA2eaYf3nl7t+z5sbeat/DDxk3xE+GvhLxW1oLBtd0i01Q2ok8wQmaFJNm7A3Y3YzgZx0FeU+D/ANlmPwf4wXU11TTdU083CX3l3+mzvdQ3K2aWxeGQXQiQHZvG6FmG513EEFfV/hn4N/4V18N/CnhT7X/aH9haTaaX9r8ry/P8iFIvM2ZO3dtzjJxnGTQB0tFFFAHlX7S3/JOtI/7HPwn/AOpDp1eq15V+0t/yTrSP+xz8J/8AqQ6dXqtABRRRQAUUUUAFFFFABRRRQAUUUUAFFFFABRRRQAUUUUAFeVfGT/kovwJ/7HO5/wDUe1mvVa8q+Mn/ACUX4E/9jnc/+o9rNAHqtFFFABRRRQAUUUUAFFFFABRRRQB5V8ZP+Si/An/sc7n/ANR7Wa9Vryr4yf8AJRfgT/2Odz/6j2s14/rvwE8VweFrG4i0i7v7u88X6xqHiKwS4hupr6ye4v8A+zztmuI4njjSaFhCXXbuDbd6YoA+tap6xq1toWlXeo3jSLaWsTTStFE8rBVGSQiAsxwOgBJ9K+Mvij8PfE3g/wANRXmraT4l16O00nw/Z6V4gu9VgSfR3juyt2lyqXOTJIHjDNEJhKMK7YXNbXjH4cfFbWPDOseG7Hw5qSS2lv4xWDVjq1qsV81/NNJp4iHn+YMLIqkyKmxhgZHzAA+v6pa1rFp4f0e/1S/k8mxsYJLmeQKW2RopZjgDJwAeBzXzh8Qvgj4q1R/idrem2VxLrOqeJ9Pe2VbxHe80OODTvtFtEjzLGgeWGfdG7RiTYQx2uDXK+Jvgb4ruvBdjpb+FvEfirS5NF1y1stKutSs7OXR9QuJ0e3lYJd7FhVN6xmOSR4k+UKNxUAH1lD4m0qe00e5+3wRR6wVGniZxG10zRNKERWwWby0d9oGdqMcYBrUrwf4k/Cu61zw58F5rjwofEtx4U1S3nv8AT4pIBKkR064t3KGSREbbNJA5G7kRkjJABx/hj8NvGGk/E7R9Q1DQ7/Tr60vtXl1/xNPqMUtvrtvNJIbSKONZmkwu6FlWSNBCIWReDyAfSFFfMvi74a+M77V/iqbPw7qk/inV/tDaD4vi1aKG3hs2s4kSyT98JoW3rKvEWwO/m7t3Iz9M+Bus+IPG2ks/hDUPDPw4bXorq48LXupxfu0TSb6KWZ0guHQxy3EtopiV23GMuy4ZjQB9VUV8g6Z8AvHcmiz3eo2F/L4h0nQ9AtdCmk1gM0NxbajePOQfO27xbtbAu3LqxTJy61Db/BL4neX49kEmu2viu7sdZgi1SC6tYbPVRPc77ceety06yCIBImaJPIy6ghcbgD66l1Wyh1K306S8t49QuYpJ4LRpVEsscZQSOqZyyqZIwSBgF1z94VkzeOtJh8bweEt9xLrclp9uaKG0lkjhhLOqvLKFKR7mjkChmBYowGcV4do/wnt4fip8N/FNh8KL7Q9L0221TT5bW6urN59OkmkspILlgty6+XmC54iZ2zJnZlyaufFb4La/rnjn4o+JPC9jHYa7q3gmz0rSdZWdYpTeLLfedGrBt0bGJ7dRJwBlSDlTgA+hayfFPinTfBehz6xq9wbXT4GjWSURs+C7rGvCgnlmUdO9fKd38FPGf/CJ2EVjo+vjRW8Qte6l4UuotOA8k2JiVoIFvTC0Qm2u0bTLl90iqWALQ+MfgT4y1DT7XTp/DniDxfMmkaDb6Pq+o6vaxS6U1tcs94lyBc8yOuzLR+aJcBWbCg0AfXmlatba1aG5tGkaESyw5kieM7o5GjcbWAONyNg4wRggkEGrlfKupfAXxV4otVt9b027uYrfTfGht0/tQIFvLvV0m0xvklGW8jcyMeIiBnYwFcR8KNTe+/aitP8AhLJmu9et9Xns4BCYJ7tJ10qNXW4P2rzVtlMUzKRahPMkUiQq+6QA+4ayfEvinTfCNjb3mqzm3t7i9tdPjYRs+Z7idIIVwoON0kiDPQZycAZryXxP4P1tvjpfa7deEr7xVZyWFlHoGoQ6lFBbaPNG05uBIjTJIpkLREvEkhdcKcBcHxjT/gz8Rr/wX4pg1HwLcW1teXfhPUB4dsby2sllmtdRabU/JK3soVjEkQ8x5VaTaueQTQB9gz+KdNtvFVj4bknK6xe2VxqEEHlsQ0EMkMcrbsbRhriIYJyd3HQ41q+P0+CvxJks9en0DTLrwqlzoPia00OxuNRi87ShdXGmvbWu+OVhGX+zXTqY2Kxb1G5SAKNQ+Dfiu2+Hcw0nwv4iutSXWW1Kx8NarHpi6WsgsxEFlhS/ISBmJbdHJvSUGQIc/OAfYFFclp3ia78ZWXi2z022m0u7024k0y31C4UGCecW8bmWLuyRyyNGSQPnhcdq+etF+Fuu2vg3wTa3fwx16a1064jPizR5dYs5ZdeuBZyx/awTd7J1WdldvOaNnyrFCYlFAH1lRXxsnwV+JaaSLPUdF1TVdck06yi8N60mtRMnhWRbueRlmLzh3aOJ4A0kSymYRbCSAM9C/wADta0vSdLvr7wpqHiY3Xi/WdQ8Q6RbapH9ovbV59Q/s190s6RmOJZoGEW9du4Nt3pigD6G8H+PtE8eWi3OiXUl3A0EdysjW0sSmN3kRSC6gE7onyByMDIG4Z6HaNxbA3EYJxz/AJ5r4+8H/APx9a+BoNA1DS7y1tmt/CNtNbx6ypZY7bWrqfUFEqyhiRbSxlmBzIDgbmBApfE34N/EtPC2q+HfDPhA3Ntb3GtT+Hb2K7gefTXeaN7MRNLdxi3TmQhlWRl2hdqLwwB9c3HirSbdrhPt0c8lreQ2FxFa5neCeXyzHHIqAlCRNE3zAAK4Y4U5rWr5o1L4Pa3p/wAQ/H95o3hSSCXW/GXh3XYtct7m3jSayhl037ZE2ZRIGBtrmQqUwwbgsW21xnij4L/EnVND8SW2m6Bqll4tlsfEkWoeI/7YhWPXxcpMLCGLE+9SrPAy+akYhEJVTg8gH2VVXS9Vstc0201HTby31DT7uJZ7e7tZVlimjYAq6OpIZSCCCDgg15v8NvhifB/iD4haX/Z7ReDdTltnsLWa5M6SbrVY7k4Z2YbmX5t2NzFm5LEnwTw78EfEug/DPwNoN58NNT1Cz0nwxc6RNo9jqlnB5esgQKmpbvtKqUcRvslBMsfJEY3mgD7M2jcWwNxGCcc/55rnfBvjzQvHVmtzoVxJc27QpdCRraSJSjvIoILqATuikyByMAkDcM+X/EbwH4o1Dwj8L7TVtMu/H8Gkug8S6dp93FBJqEosZI1n/fSxJIq3BV9rOOSrgEoK8u8LfAzxvpPw3vdG1bRNYVP7D0G2gsbC8tL7NzbX2ozTRypPcRpPFtlthIGdTIr8Esp2gH2JRXzTo/gPxpJ4u0zUvEHg2WTUpPDml22lXml6hCdP8L3saSi6UxvOHI3tGd0azeYqhGJC88bpvwN8balpekWcfhfWPDVsIdBtfEkVxrsbSazcxapay3d4skVwzHFvHdbpHKSyiYLtJUAAH2RRXyZffs6eItSvNT0240m6Phux07xTHodsmq7I4Zri4s5NO2qsoIwFuTHu4iwPuHbT/Dvwi+JUnxPbWNbl1mDVvNW4s9etXtJLaOM6YsP2a4ZrnzfLWfexiSFlL7ZAclmUA+przVbLTprKG7vLe1mvpvs9rHNKqNcS7Hk8uME/M2yORtoydqMegNWq+RtN+Cd3N4Z+F8178KNUbVvDWt2tzrsd9qVncz6k50+6t57uNzdFX/fywyM0hSRwudpKha6z9rjwX478b2kFp4O8Mrqk8elXj2WqwyQi5sdRzGYNjS3MIhBwx81VkbKgYUE7gD6NrJXxTpreKn8Ni4P9sLZLqBt/LbHkGQxht2Nv3lIxnPtXgniD4M+LLjx/r/irS4Li212XxnDPp+ovqGUi0k6RBBIRH5m0R+eJd0e3cxUNtOFNM/Zs+Fuu+D/HEWral4O1Dwwv/CJ2el6hcahqsN41/qUcrNPOPLnkJD53eY21n/iUECgD6UooooAKKKKAPgD/AILV/wDJrPhb/sc7X/0hvqKP+C1f/JrPhb/sc7X/ANIb6igD6q/ZO/5NZ+Df/YmaN/6Qw16rXy/+zL+038HtB/Zt+FGman8V/A+nalZeEtJtrqzu/EdnFNBKlnErxujSAqysCCpGQQQa9L/4ax+CH/RZPh//AOFRY/8Ax2gD1WivKv8AhrH4If8ARZPh/wD+FRY//HaP+Gsfgh/0WT4f/wDhUWP/AMdoAveHPi5cat8WL7wPfaEtjPHYzajb3dvqEd1+5jnSHFwiD9w7mQMiktuVZOQUYV6PXyp4b+JnwgsPjA3jvU/jz8JzNHZ3VlHBoV9Z6fJdJNLE4a9lN5J9oaMQgLhUALyNj5sD1b/hrH4If9Fk+H//AIVFj/8AHaAPVaK8q/4ax+CH/RZPh/8A+FRY/wDx2j/hrH4If9Fk+H//AIVFj/8AHaAD4yf8lF+BP/Y53P8A6j2s16rXy/8AFj9pv4Pal48+DFxafFfwPdW9h4tuLm8lh8R2brbRHQtWiEkhEmEUySxpuOBukUdWAr0v/hrH4If9Fk+H/wD4VFj/APHaAPVaK8q/4ax+CH/RZPh//wCFRY//AB2j/hrH4If9Fk+H/wD4VFj/APHaAPVa5L4p+OW+Hfgu41eG1W+vpLm006xtXk2LNdXVzHbQIzYOFMsyZODgZPauX/4ax+CH/RZPh/8A+FRY/wDx2vPvjp+0J8I/F3gER6L8XPh/eaxpmq6brdra/wDCWafH9pezvYbkwhmmCgyLEyAsQAXBJGM0Aez3vxc8I6f4qk8Nz61CutIWRrVY3b94IfPMIYKVM3k/vPKB3lPm245rPuPj14At9Njvx4ntLm1mNssLWavcNM1xCZ4UjWNWZ2aEGXaoJCfMQFINfP0Pib4J6b8UNW8WWXx1+FM0N9qT6zFBqmqw3E9neG2EIaORdQSPaCobBiLYZ1Dcgrz/AIR/4VB8N102Xwr+0r8No7zTtUfWbdtWv7G4ia6uLRre+LpHeRErKxWVFVl8o7kBaMqigH0/4P8AjJpPijXtZ02R4bQwa6NE0xxKX/tFv7Mg1Devyjb+7lk454iznnAwfiF+094L8GeH4b2y1S11i/ultpLWzjd0Ekc1yLdGZwhEe5hIF343mNguSDjyG98bfCpdWbXtO/aQ+GcHiNfFA8TR3F3qNnNbbm0dNLlieFb1GYFQ8oYSLtYqMMAd3KWMPwo0fw7Jodh+0/8ADhdPv7PTrfVXub2xknnezuZJ0eFheqsQcSbWUq/3cqVJNAH05dftC+C9A0uC68Ra5Y6RJcTakkUUcklxujsrpreeTKxggIQpk4wmTkkKWrYX4yeDpPGlv4Ti1pJ9duHMUVvBBLIjOIhMyeaqmPcI2VypbIV1J+8M/Otl4i+CFmswP7Qnw/fzNM8T6d/yG7EY/tjUUvd//Hz/AMsdmzH8ec5TpXnPwp+JvgfwJ8cFvJviT4CvtFXU5d2oXvi6x+zQ232BYFubZV1Mqs8jQxoym0DBXkBlP33APtnXvih4a8O+JYPDt3qca69PCs8diqO7BGLLG0jKpEYdkZVLkbipC5IxXHfDH9prwb8Rfh3p3iUaglvdSaVY6lfabbxzXElublRtSMLHunHmB490akFkYcEEDgLr4y/Cq1+J2q+J9F/aE+GVlp+uWtpbatp95qtncTP9n80IYJhdoItyy4IZJB8uRgk1w82p/CO18NeGdO0j9pvwHpl3ovhrS/DhuE1y2RbuOzlR2L+VexyKkoUqUSQEBvvMMqQD6Y/4Xl4Fz4bUeIrd38ReZ/ZcaJIz3HlyLHL8oXK+W7qr7gNhzuxg4z7T9oLwfr1u7+H9Uh1Nob3TbWbz0mtkC3s6RQOjvFiTfv3Jt4fjDAHdXz/4V8T/AAd+H+i2klp8fPh3repaboniOwhg/t+xt0uZdTv470fNJcy7AjRCP5t+7duJ4weF+Bvjj4ew+FToHiH4reA9CtrO48N6hFqeo+KLOe+uZdPulme1I/tW6AhVYI1Rg0YUyyERt1IB9iW/x/8Ah5c32q2ieK7ES6XHdy3hcsiRLav5dyN5AVjExAdQSV3LkYYZ2fCPxK0Dx7pep32gXUl7Fp072tys1rNbPFMqhmjZZUVgwBGeOM18efFrWvhLffCm507Q/jn4B1bVLZ/EE8NrH4i06Frj+1Lx52RWe6UK0SyEA7l3lRh4iQy9z+z1+0R8MvD/AIP8QWHiH4n+ANLe41KSW2uLjxXaPe3kbwxbp7ndqF0fM370H74/JGnyp0oA9U+Gf7T3gn4gfDnT/E8ur2unTPpdhqN9Y7ndrdroBY44zsBnzLuhUxg7nUqBu+Wuhuvjr4Fs9F0/V5dfjXTL1pES6FvMyRGOTy5fPIT9wEk+RjLtCtkHBFfL+rW/wN1Pwt4U0v8A4aK+Hy3Phzw/pGjW076zZ+XLLYTJIs0iLdq2x9pUxq4IDZEmQDVbxwvwl8YeCV8N237SXww0GyuLHULW/tdP1VFtJprpw32pYv7TyZlAKkzNKDuYgJkggH0p44/aE8MeD/GOj+F0vba81m71aHTLqBpGjW08yFpiWk2lC6xhXMe4NscMcDmrd18a9JuLPwpqujhtS0HWNai0ea9kiltzCZoXaCVFkQGRXk8hAR8pEwYEgc+B6x4u+FF94suby0/aP+GVv4fm8SL4pGmXN/ZTzfavswgaNpvtihoTjft8sNk437eKzLPxv8L/AA9oPhvw3H8dPhzqelHxjZ63PHZeJLS1stGs7WNZUgtoZryZwjXFtF+7Vyqmd8KqrigD7Woryr/hrH4If9Fk+H//AIVFj/8AHaP+Gsfgh/0WT4f/APhUWP8A8doA9Voryr/hrH4If9Fk+H//AIVFj/8AHaP+Gsfgh/0WT4f/APhUWP8A8doAP2lv+SdaR/2OfhP/ANSHTq9Vr5f/AGg/2m/g9rXgPSrfT/iv4Hv7hPFvhi5aK28R2cjLFFrthLLIQshIVI0d2boqqxOACa9L/wCGsfgh/wBFk+H/AP4VFj/8doA9Voryr/hrH4If9Fk+H/8A4VFj/wDHaP8AhrH4If8ARZPh/wD+FRY//HaAPVaK8q/4ax+CH/RZPh//AOFRY/8Ax2j/AIax+CH/AEWT4f8A/hUWP/x2gD1WvLvEXxb1KH4zaZ4C0LSLa9mhht9R1eS8vEgk+xTG4iVrSMnMrRyQq0hxhU4GXYYj/wCGsfgh/wBFk+H/AP4VFj/8drx74vfFT4YfFTxhoFvN8c/hLb+ELOaLU2uW1OyfWLO6t7iGRFtbn7WFiEoDhn8ssoQrz5gKAHt+g/Gqx8SfGTVvAdlp1w6adYvcvrBdfIlmjkiSaBB1Yp50YLdN29OqNiha/HWO4+Jni/w09hp9vpvhZ9uoX0uroLoL9hhuzKtoELmMCdU3buqt6YrwWTxF8GPh3rl14q+H3x78Hya1Dot9p2m6XrHje3uLRbq6nWX7RKWueY1k3SOgGWOSDuxnd8b+Pvg78S/F+nXniP49fCl9B064muYLbTr+zt9QkMlpLatHLdteuDHtnckLGpOEBOFO4A7uH9qJ0jsYL/wZe2Gs63a2F74f05ryJ2v47ubykEjjiF48q8q/MFU5UucrXVW/x0sofhj4n8WarpN1Y3Phu4ubHUdIhkSaX7VEwURRP8quJN0ZRjtyJF3BTkD50XUvhXdQ6Ne6l+018NbzxH4bttPtPD+oR31nHDAlrN5ha5i+2kzvMAqOUeIYHyBTzW/ceM/hBqXgXxD4cvv2jPhy58RNfX2qXlvqtlG51GWSF7aeAG7YRxwCLb5Tby/ykuCDuAPUP+GhtQHiA+EG8Guvj/7atsuj/wBpIbYwm1Nz9pNzs4jCq0ZGwt5gxgr89ejfDnxxa/EjwTpPiSzt5rOG/iLNa3OPNgkVikkT7SRuR1ZSQSMrwcV8tv4w+Gb+Lo/HZ/aU+Fn/AAsFbwSfbftlr/ZptRam3+zfZft/mY+Yy7/Pzv7bflr034a/Hj4FfDfwNpHhyH43eA777FGfNu5fE1grXEzsXllKiXC7nZ2wOBnFAHvdFeVf8NY/BD/osnw//wDCosf/AI7R/wANY/BD/osnw/8A/Cosf/jtAHqtFeVf8NY/BD/osnw//wDCosf/AI7R/wANY/BD/osnw/8A/Cosf/jtAHqteVfGT/kovwJ/7HO5/wDUe1mj/hrH4If9Fk+H/wD4VFj/APHa80+LH7Tfwe1Lx58GLi0+K/ge6t7DxbcXN5LD4js3W2iOhatEJJCJMIpkljTccDdIo6sBQB9QUV5V/wANY/BD/osnw/8A/Cosf/jtH/DWPwQ/6LJ8P/8AwqLH/wCO0Aeq15x8L/jVY/FTxR4u0zTtOuILLQ5IBb6lK6lNRjkMq+dGo5Cb4JApP31CuPlYVjat+098C9a0q90+4+M3gRILuF4JGg8W2cUgVlKkq6zAqcHgg5B5FebfCjxl+z98IfF2uatpXx88J3Vhf6fY6db6bfeMrWZLSO2DhQpa4ORhwFGBtAIGd1AHptl+0hoF9b6btWIX954svPCp0/7ZGZ4nt725tTOy9djfZS4GOjit7Rvjx4B8Qbv7P8TWtx+8tY0O11E32mYQ27xFlHmxySEIsiZQn+KvnaaX9nO60S3s5vjV8Nft6+K9R8ST6rFq+nJczR3d5d3Btt/n7htW7Ee/Jz5YO0ZwMo3/AMLLzS9JXUP2mvhlcat4dsdNsNAuoLyziihSzvba7VrqL7cfPaRrSFW2NEAN+0KW4APqTUPjd4H0rWbPSbrxFbR6leXU9nDbBXZ2lgdEmGApwIzKm5jhVDZJAya3PB/jTR/HujjVNDuZLuwZtqzPbywh/lVgyiRVLKVZWDAFWBBBNfL/AIE8ZfCDwn4qk8R3/wC0V8NdY1SaDWklA1KyhgaTULi0nJCfa2ISM2m3YWJYPywK5bpvgv8AGL4OfCrw/qGmXPx7+HOoQXF59otLOx8QW1vZabF5UaC3topbuZo49yM+3ftBkIVVHFAH0tRXlX/DWPwQ/wCiyfD/AP8ACosf/jtH/DWPwQ/6LJ8P/wDwqLH/AOO0AHxk/wCSi/An/sc7n/1HtZr1Wvl/4sftN/B7UvHnwYuLT4r+B7q3sPFtxc3ksPiOzdbaI6Fq0QkkIkwimSWNNxwN0ijqwFeK6742+HcHhaxuIvib4Lv7u88X6xqHiKwTxhpd1NfWT3F//Z52zXscTxxpNCwhLrt3Btu9MUAfoSyhlwwDD0Ipa+DvDfxd+HOi+J9MOpfErQPEkkXh7TbHQvEGpeONHL6DcRrMJ2ukF9lpCWiLPCJvNChWYheeT03x94G1LS9Is4/Hnhfw1bCHQbXxJFcfEXTWk1m5i1S1lu7xZIr1mOLeO63SOUllEwXaSoAAP0dor8977xN8MtSvNT024+J3gk+G7HTvFMeh2yePbFI4Zri4s5NO2qt0CMBbkx7uIsD7h20/w78VPDUnxPbWNb+NHhiDVvNW4s9etfFejSW0cZ0xYfs1wzX3m+Ws+9jEkLKX2yA5LMoB993mq2WnTWUN3eW9rNfTfZ7WOaVUa4l2PJ5cYJ+ZtkcjbRk7UY9AaZdazYWd9DYz3tvFfTQy3MVq0gEskUZQSOqZyyqZIwSBgF1z94V+f2m/ET4NzeGfhfNe3vhNtW8Na3a3Oux33jrRbmfUnOn3VvPdxub8q/7+WGRmkKSOFztJULXqvxO+NXwU1j45fD/xdH488Aa7BYaZqmmT3cXivS1exlmktJLeZhJcoSi+TcD5NzAyD5TkkAH1L4X8S6f4z8M6R4g0iY3OlatZw39pMUZDJDKgdG2sARlWBwQCO9alfmxZ+I/BvhH4a+G9J8O/FHwVZA+FvD8PiLT4/HOmyte3dtcIbuECS8CM5iLry6xuiiMvswB6ZqP7QHw18L/sl+KNE0r4u6D/AG/cQXiafYz+JtNN5bmeZhHDGttdSKsa7/kUSgImAWiCkoAfbdY8vi3TIfDeoa9JNJHpdgtw9xLJBIrIsDOsp2FQxAMbYwPmABXIIJ+DvA/xC+DmtW+gaNqfjrwfp1ja+NrnUvEenyeItP0+yaB9InEIt1jv5hNbCWS2XaJX/eCQMqhSq1fG3xL8E6x4cksdU8c+EfFcE9v4shtLK1+IGlwGxvLvVJZrG7kZrxBtNuwAZCzxAlQg3MKAPv8Ah8TaVPaaPc/b4Io9YKjTxM4ja6ZomlCIrYLN5aO+0DO1GOMA1Y0rVrbWrQ3No0jQiWWHMkTxndHI0bjawBxuRsHGCMEEgg18ffEn4u/BrXPDnwXmuPHPgDxLceFNUt57/T4vFmlCVIjp1xbuUMlyiNtmkgcjdyIyRkgA+beNPiN4U1qw0u2vfix4ZvNL87xKGt9I8YaPJd2c1zq0k1ldp51/CgYW7DZIHLwk42rubAB+hV5q1tp93YW0zSCa+laGALE7gsI2kIZgCEG1G5YgE4GckA3K+X/iJ+0V8L9S1P4by6f8Y/Bt7BpWo3M2qSQeMdNhmMTaTewq3M6gsZ5YQMcBmDcBSRj/ALOf7Qnwv8H/AA91bRdV+JPgLSEhu2TTnuvE2lR315D9niHn3Qgu5YvPMgkDOjDftDlVLGgD64pvlqHL7RvIwWxzj0r83NQ8RfD/AE/4ffDfSo/ih4ZlhTwu0OuwaV4z0m4vrfXZIrUNeb7jUIkMo8qRUmSRjGV+UBXJG74i+Nfw/tvixYXd18QfDup3s/i+2mTxhD4109rdNK+wCPyJIY7reoWZWLKYhFuPmbtzCgD781TVrbR4IprppFjknitl8uJ5DvkdUQEKCQNzDLHgDkkAE1cr88PDfxw0W+s/BNtfeP8AwlpJ0DS/C2l3ktz4+0dxdzWWqW8t7Mnl3jExmGN2Bfa7jIKA4Bl13xt8O4PC1jcRfE3wXf3d54v1jUPEVgnjDS7qa+snuL/+zztmvY4njjSaFhCXXbuDbd6YoA+9PFPinTfBehz6xq9wbXT4GjWSURs+C7rGvCgnlmUdO9a1fnF4x8eeAtQ0+106f4g+H/F8yaRoNvo+r6j4/wBIil0pra5Z7xLkC+5kddmWj80S4Cs2FBr650b9sD4NalaSS3fxS8DaVKtxNEsFx4s012dElZElBjnYbZFVZACdwDgMFYEAA9koryr/AIax+CH/AEWT4f8A/hUWP/x2j/hrH4If9Fk+H/8A4VFj/wDHaAPVaK8q/wCGsfgh/wBFk+H/AP4VFj/8do/4ax+CH/RZPh//AOFRY/8Ax2gD1WivKv8AhrH4If8ARZPh/wD+FRY//HaP+Gsfgh/0WT4f/wDhUWP/AMdoA9Voryr/AIax+CH/AEWT4f8A/hUWP/x2j/hrH4If9Fk+H/8A4VFj/wDHaAPVaK8q/wCGsfgh/wBFk+H/AP4VFj/8do/4ax+CH/RZPh//AOFRY/8Ax2gD1WivKv8AhrH4If8ARZPh/wD+FRY//HaP+Gsfgh/0WT4f/wDhUWP/AMdoA9Voryr/AIax+CH/AEWT4f8A/hUWP/x2j/hrH4If9Fk+H/8A4VFj/wDHaAPVaK8q/wCGsfgh/wBFk+H/AP4VFj/8do/4ax+CH/RZPh//AOFRY/8Ax2gD1WivKv8AhrH4If8ARZPh/wD+FRY//HaP+Gsfgh/0WT4f/wDhUWP/AMdoA9Voryr/AIax+CH/AEWT4f8A/hUWP/x2j/hrH4If9Fk+H/8A4VFj/wDHaAPVaK8q/wCGsfgh/wBFk+H/AP4VFj/8do/4ax+CH/RZPh//AOFRY/8Ax2gD1WivKv8AhrH4If8ARZPh/wD+FRY//HaP+Gsfgh/0WT4f/wDhUWP/AMdoA+Vf+C1f/JrPhb/sc7X/ANIb6iuK/wCCu3xu+HXxK/Zt8N6Z4R8feF/FWpQ+Lba5ks9E1m2vJkiFneKZCkbsQoZ0G7GMsB3FFAH2/wDsnf8AJrPwb/7EzRv/AEhhr1WvKv2Tv+TWfg3/ANiZo3/pDDXqtABRRRQAUUUUAFFFFAHlXxk/5KL8Cf8Asc7n/wBR7Wa9Vryr4yf8lF+BP/Y53P8A6j2s16rQAUUUUAFFFFABRRRQAUUUUAFFFFABRRRQAUUUUAFFFFABRRRQAUUUUAFFFFABRRRQB5V+0t/yTrSP+xz8J/8AqQ6dXqteVftLf8k60j/sc/Cf/qQ6dXqtABRRRQAUUUUAFFFFABRRRQAUUUUAFFFFABRRRQAUUUUAFeVfGT/kovwJ/wCxzuf/AFHtZr1WvKvjJ/yUX4E/9jnc/wDqPazQB6rRRRQAUUUUAFFFFABRRRQAUUUUAeVfGT/kovwJ/wCxzuf/AFHtZrD0b4t+LNE8T+Pf+E2u/Ddr4Y8GxRTX1zptlc/aJVkt/OXYpkbkZC7QrFjwOSK3PjJ/yUX4E/8AY53P/qPazWxrvwY0DxHF47ivpL14/GMUMV+qShDD5UIiRoSFyrAANklvmAPtQBa8I/E+x8Z/25bQ2Go6PrGjhDd6Xq8AinjWRC8UnysysjgNgqx5VgcFSB5h8O/2udD1T4aeHNX8VWWo6Pr2oaHpupC1awMKajJdeXFmzDMcp58gX5yu1WV2Ow769O8FfDGDwjca5fXOt6p4k1rWhFHearqvkLM0cSMsUarBFFGqrvkPCZJkYknNec2f7HfhiHw7Y6TfeJPEetDSbCy03RbrUXs3l0qC1lSWNYgLYJIS0ce7zlk3KgU8ZyAd9pfxs8K6n8M9S8dtdy2ehaWLoX/2iI+dbPbuyTRsi7tzBkIATcGyCpYMCeZb9qzwLZaRc6jqsl9otvZ3radem8gVvss4tvtMaOY2dT5sf+rKlgzkR/fIWuon+EOk6l8LNR8B6tc3GqaXqFvNb3FwYbe2lIkJOVW3ijjUqSNpCfwgncck8vqX7MegeJPCieHPEGs6trOlLcyXbQiKysRJKYfKjdhaW8ILREmWNuqybX5KJtALg/aQ8MReIpNKvbDWtMW3v4dKu9RvLHZaWl5NbR3McEsm44YpKgyMqGIUkblzn6X+1h4G1fTbu7txqhkSOxltLL7Jm41GO8lMVq0CBjnzHBG19jJ1kCDmszRP2ZZLrxZ4mvvFXifVNZ0S91621eHRmkg8i8eHTbS1We6xAriXzIJHKxusZ2xnb1FaWj/su6JonhJfD9t4i1lILWWym0y7jt9PjudOe1ffCySJar5x4Cn7R5u5RzkliwA+T9pSx03xZ4i07W/C+t6Bo+h+HrfxBd6tfRoPKSR7pGiaJWLZBtSFKb97EgDAVnsWf7TPhfULbZa2Gs3Wt/2l/ZX9g29qkt7532b7USArmMp5Hz7w+P4c7/lqXXv2d9L8VPqLa34k17VP7W0EeH9WEzWq/b4VkmkilfZAuySN7mUqYti8gFWAApsf7PVrDY6UIfFmt2mr6Vfvf2es2dpplvcR74DBJEY47MQujIxJ3xs27BDDCgAFv4a/Fm88T/A7RPHN/pVze3l9b+c1jpdsUkOZCoASVhswAC29gFwckYrlLz9oi98S+Mvh5Y+D9KvLrRtctNU1C+mewWWYfYZ4reW0UGeMJIJZGVn+dQQmAwYkdTffs+6DefCHSvh4NS1RNK0yaCe3u3aCe4Z4ZhMnmCWJopQWHKvGQfqARP4A+A+g/Dubw3Lp97qNzJoUOrQ25uWhAkGo3cd3cF1jjRciSJQgQKApIIPBABx2k/tgeHG+GnhXxXr2iatok+t6OddfS1WO4ktrNEjaW43BhvjUyqFwPMfnbGcED0Xwn8WNJ8beMNe0DSLTUrj+xSkd3qhtttj5rwwTpEkpPzuYriN/lBAGckcZ4WD9lHQrPS/DVpb+JNaSbw9ZSaVYXc1vp1y6WDGMrbFZrR42WPyk2uV8zrl2DEH03wp4HsfB9/4ku7OW4kk17UV1O5WYrtSUWtvbBUCqMLstozg55Lc4wAAZmhfFfTNb8fXng97DUtM1iG2lvIRfQqiXdvHKkUkse1iQA0kfDhSQ6kAg5rM1X49eG9H1DxPHcQaodM8NLIuqa1FZM9nBMkKzNAGBLPJsdOFUgswTO87az/h1+zj4f+GvjyfxXp+p6nd3skN/brDdLahES7uo7mXLxwpLKwkiUK0ruQpIJPWpda/Z90rW5vF0Muv65BoPihpJ7/QYJLdbYXLwpEbiNzCZkceWjgCTYHG7bQBlXf7QP27xh4W0HT9NutJ1C51iSx1bTdctfLuYYTpV7eQSJscqQ72qjcC33ZFIDA4zPBn7TEDeB9H1rxN5b3l14b8N6m9lptsUZrvVDKioryS7ArSRYUMV24O5juGOo0v9n3S7bxNZeJNT8Qa54g8RW96L1tT1BrZHlC2VzZxwskMMcYjRLudgFVTvbJJHFQWP7OGi6P4dfSNN1vVrSJ9A0rw3JJJFZ3XmWdgJxEHjnt3jYuLh9+UwcLtC4OQC5qnxu07w7rOrwanHcx/ZrDR54NKisma+ae/muIYoeHKs7PAF2jATazM23lcjUP2qPCmmxbX0rxFNqMMOoT3umQaaXuLBbIw/ajMA20bVuIWBDEOHGzcSoM0f7Mfhq10mGzs9U1qzmtdO0XT7O+jniae0/suSaS1mQvGymQmdw4dWRhgbAM5sab+zloFjc317Pqusahqmo6fqlhf6hcyQiW6+3tbGaVgkSoHVbOBECKqqq4KnrQB03ij4seHPB9vo91qV20Vhq1vcXNreqhMJWG2a5fJ7EwxyOBjkRt6Vyi/tFeHdd0fSr3QriQrejQLkvdWbkJDql59nhiYBgUmysgIOfLO0sCODr/ED4F+HviR8PdH8H6rPfx6bpb27QzW0qJOyxIYmRmKkFZYWkicADKSuBtyCM7Rf2bvC2g6brVla3Op+Vqnim38WSNJMjNFPDdRXUdvH8ny24khACckB3wwJBABx6/tRalf/APCLXMHgnWLSC+8Y6p4YuLHyVubm5W1h1Ha8GxwFYyWUe/fhUBcbiBvr1ex+J2m6x8ObLxnpFnqOr6deQR3EFrbQBblgxA2ssjKEKnO7ewC7Tk8Vi6L8C9L0XXrLUU1nVriKw8Q3viWysJmg8m3ubuK6S4QFYg7Rsb2aTDMSG24IUbTHqvwC0LVPhTp/gH7fqMOl2FzDdwXP7iWXzI5/PXeskTRSLu6q8ZGPcAgA0IfjV4bm+FUvxC3XSeHrcSG6Zof3tt5U7Qz+YueBE6SbyCQAjEEjGed8Y/tSeCPBOqaxp942oXNxpDzi9+yW4cRRQRQSTzAlhvRBcxqQuXLB1VWKNjp/Bvwf0Lwb8MZ/AamfVNCuPtwuFv8Ay90y3c0s0ykRoiBSZ3ACqAFwK4az/ZJ8M6XpPh22sdc1qHUdHgu7c6xcx2V7dXy3M4nmacXFtJGzmUbgyopXJA+UlaAJfD37Rltc+P8AxR4e1K0uhaQ+II9H0nWLayc2TeZpdteRpLLu5kYyTYKjaAIwcFl3afhH4/ad4osvDtvZ2eoazqWoaFYazeXWm2DC0sku4i0LS7nLIHKOQgLsqjLEDDHVuPgfoVzd3tw13qAe78RQ+JXCvGFFzFZxWioBs4j8uFSR13E4IGAM7wr+z3pvge40dtB8S6/plrZ6Rp+i3VnG9s8epQ2cbRwNOXgLK+1iGMLRhhgEYAoA53wj+1ZoDeEvAUviVnTW9a0TRtR1OSwg/wBFsZdQVVh37n3BXlLABd5RcM+1SGPofjD4raT4M8XaF4burTUbvUdXgnu4zZ2++K3toHhSaeeQkLHGhuIySexOATgHkNF/Zf8ADvhrUvDt5pOq6lZyaRpem6Q6yW9jc/bYbJSsDSGa2dkfaSrNCY8g9iqle91j4faXr3i+08Q3pmluLfSL3Rfs24eRJb3Ulu8u4Y3bs2qAEEDDNkHIIAPPLH9rbwNqOlXV7ANS3ItjLa20kCRyXsV7KYrWSMs4VQ7gjErRsnG8LuGes1T40aBoa6uNQiv7SbSbHTr+8t5IBviS9lkihUgHG4PE4YA8Y6muc8P/ALNun+GPBd54YsPE2qLpk8ENogm03SZGS3jBAibdZETBlIBMwdjtByGLFql9+yn4euLHT7C18R+JNN0630jTNFubW2uLcrfwafK8toZmeFnDK0j58tkDBsEEACgCp4N/aK1PVvEmgaBfeGri7n1ebxKf7UsNot7WLTdWNnGHRn3NlGRnYHg4wp3nZc0v9qLw4NL8OvfQandy32i6PrF5qFhpjiytYdQYxwSyEsSitIjDblmUcnIVmG9Y/AbSdJ1LQb7T9Z1eyuNJudYmBRoGFzHqV39ruoJA0R+TzQm0ptcBANxySaNj+zV4Z0/wzLocd9qzWkmhaN4eLtNF5n2fTHke3bPl43sZW3nGDgYC9wDU8G/HTRPHPjSTw7pun6sG8i6uYdSngRLS5jt7j7NK0bb9xxLleVGcZ6EE0dS+O2neH9Y1TTru2vtYvV8Sf8I7YWOjWDPM8/8AZkd/sbc+0/uy7eZlEAwDjBY8X+z38BfFnwn8canqN/JosOm6gl49+bIxTTX9zJdedDLv+xxTIqK8wKyzzkmTqSN7elR/BjRYvGC+JBdX/wBuXxC/iXyzInl/aW0saaUxsz5fkjdjOd/O7Hy0APm+NHh1PhrpXjeH7bd6Zqpt47G1htmN3PNPIsccAiOCJN7BSGIC4YsQASOC0L9p6C18Ia34k8TaHqtnpVhrWoWUs0Vj5f8AZ9tbyKu+5V5M7hkkiPcSFLKpUZrsp/gfo7fDTSvBlvqWqWUGk3UN9YapDJEbu3uIp/PSQFozG2GyCrIVKkgg5rg/En7FvhXxVp9zbaj4l8SXMl4mopeXUxsZZZ/tro87DfalYm3RjDQqhAOOgUAA6rxB+0l4c8P+K7zw+2keIr+8tdUTRDNY6Y0sD372q3Udsr5ALNE4O44RcfOyZBM2rftFeG9I8B6d4yksdYk8O3CSyXV4loo/s5YnMc32hWcEMjhwVQO3yMQCBmtST4MaLJr0+rG6v/tE3iWPxSy+Ymz7UlilkEA2Z8vy4w2M7txJ3Y4rhvGP7HvhLxpotvpVzrGtW9rHbanZt5f2SVmjvrk3E2DLbv5bBzhXj2NtABLYBoA624+Pnh+38fjwr9j1R3+1zWD6qIUWxjuIbYXMsbOzhsrEysSFI5IBJVsYFj+1t4G1HSrq9gGpbkWxltbaSBI5L2K9lMVrJGWcKodwRiVo2TjeF3DPM6H+zx4l0/48a74tm/sP+yNa1G6k1GYmKa4u9PktfKS1CtZ+dGwdISWF2UxHwmCETr/D/wCzbp/hjwXeeGLDxNqi6ZPBDaIJtN0mRkt4wQIm3WREwZSATMHY7QchixYA9Y0+7N/p9tdGCa1M0SyGC4ULJHkA7WAJAYZwRk8irFYvgnwnZ+A/B2h+GtOeeWw0eyhsLd7p98rRxIEUs2Bk4UZwAPQDpW1QAUUUUAfAH/Bav/k1nwt/2Odr/wCkN9RR/wAFq/8Ak1nwt/2Odr/6Q31FAH1V+yd/yaz8G/8AsTNG/wDSGGvVa8q/ZO/5NZ+Df/YmaN/6Qw16rQAUUUUAFFFFABRRRQB5V8ZP+Si/An/sc7n/ANR7Wa9Vryr4yf8AJRfgT/2Odz/6j2s16rQAUUUUAFFFFABRRRQAUUUUAFFFFABRRRQAUUUUAFFFFABRRRQAUUUUAFFFFABRRRQB5V+0t/yTrSP+xz8J/wDqQ6dXqteVftLf8k60j/sc/Cf/AKkOnV6rQAUUUUAFFFFABRRRQAUUUUAFFFFABRRRQAUUUUAFFFFABXlXxk/5KL8Cf+xzuf8A1HtZr1WvKvjJ/wAlF+BP/Y53P/qPazQB6rRRRQAUUUUAFFFFABRRRQAUUUUAeVfGT/kovwJ/7HO5/wDUe1mue0T9o5LDR7vVfFDwwWljaeKtRuYrGzkaT7LpWq/ZQ6neRnyiuVwSzNkFQMHofjJ/yUX4E/8AY53P/qPazVfUv2ZfC+qaNqGmS3+rLBfabr+lSMk0QYRaveLd3LD93jcsigRkjAXIYOeaAHaX+0t4c1DxGuizaN4k0u6XUYNKuJNQ0toYrW4uEV7VZGz/AMtg67duSpYCQISBVLR/2iBceMPD2gyaLc6hbaquvSy65aqsFvZrp2oraMHSRyxA35dweylVIfCdVqnwY0TV9Y1TUZrq/WfUNa07XZVjkQKs9kIhEq5T7h8ldwJJOTgjjGbB+z9olnd6LPbapqsP9mz6y7x7oHS8h1O6+1XdtKGiP7syBNpTa4CAbzkkgGVpP7V3gjWtNu7q1XVHlRLGW0svsgNxqMd5KYrVoEDH77gja5Rk6yBBzVXT/wBoS+j+CfxJ+IV34eublvCt1qoi0fyzaXDxWmSEl3ltrcHc4yMAsobgGxo/7Lui6J4RXw/beItZSC1lsZtMu47fT47nTntJA8LJIlqvnHgK3n+buUc8liek0v4I6PY/DnxV4Nu9S1XWLHxOb5tTvL6WP7TK12pWcgxxoi53HAC4XPAwAKAM7VP2itA0FlXUtJ1yzNva215qzfZFdNGindkia6ZXIGSjEhN5VRuYKpBrR8X/ABYm8L/FLw34Mj8OX+oDWtLvtR/tWBk8m2+zyW6FXUkEj/SAWI+78uA247cPU/2b9P1t5v7Q8XeI7qLULO1sdcgJs0TW47d2aP7QFtwUOHZGMBi3JgHOAa7LxT8ObbxP4v8ADviQapqGmahosN1aqLPyjHc29wYTNDKJI3+UtbwnKFWGzhsE0AeWfDj9rbRNZ+GOg614ns9R0nXLrRNJ1F7VrBoUv5LzbGptA7HKGfco3ldq4djsIc+h6Z8bvCupfDHU/HhuprTQtLFyL4TQkzW8lu7JNGUTducMhACbg2V2lgwJ5bUv2VfCWpeHdB0mS91ULoei6fothc7oHkiWylWSCYq8TI8m5AGDKUYEgpg11s3wj0zUPhbf+BdSvbq/06+glgmu1it7Wcb2LB0FvFHGrISCpCfwgncckgHN+Jv2mvDXgvTbe417Sde0m6kt7i+l065s1Fzb2kGzzbh1DlSg8xMBGZ2+YKpKOFtS/tGeGR4puNDt7HWr54b5dL+3W9lm0e8ezW8igWUsAWkidcH7oYgMV3Lmprn7Odt4kvNM1PU/GOu3/iGxhntRrF1aaXLLLbytGxiaJ7MwAK0SlWWNWBLZYhiDvH4KaG2pXN79qv8AzbjxJB4oZQ8YUXUNpFaqgATiMpApI67icMBgAA4XSf2wPDjfDTwr4r17RNW0SfW9HOuvparHcSW1miRtLcbgw3xqZVC4HmPztjOCB6L4T+LGk+NvGGvaBpFpqVx/YpSO71Q222x814YJ0iSUn53MVxG/yggDOSOM8LB+yjoVnpfhq0t/EmtJN4espNKsLua3065dLBjGVtis1o8bLH5SbXK+Z1y7BiD6b4U8D2Pg+/8AEl3Zy3Ekmvaiup3KzFdqSi1t7YKgVRhdltGcHPJbnGAADzm4/as8MR301pBoPiq+kEmoxW7WukMyXbWE5hvPKYsBiNhnc20N0Qs3y10up/HHw/pdx4XZ7fUZdI8R/Y1sdajgH2QvdMFt0JLB8uzIPlQhd67iuaZpnwL0HSptPkiu9RY2La08e+SM5OqXJuLjOE/hc4T0H3tx5rlpf2SvCsmteG9QGrawDoUGjQQwsLR/MGmSiW2LSNbmRMsPnWJ0VvQHJoAs+Iv2l7HT/Bd/4k0XwxrHiCytdftNABi8mITyS362Ujx5ckeXISNrqjE7B8qvvHceL/iTY+DbPRTc6dqV7qmsy+RY6PYwrJdyyCJpXXBYIoREYszOFGAMklQeOvP2a9I1BvFtxdeIdak1TxFLp80uoxx2UMtvJZXJubV0WO3VHdJCMtMsjMqKpJArq/Gnwzj8ZR+Hpzr+raRrmhTGaz1vTxb/AGjc0LRSh0kheFldXOR5eAQCu0gYAOQT9qrwVPNbC3g1q6tmt7O6uryPTX8nT0ubmW1j+0E4KMJ4JEZcFl2kkbVYiv4X/aS0yHwzrF54q3Wt9p412+CWduxW4s7DVZ7LEQ3EvMAtuCo6tMmPvYF+x/Zl8K6bomr6XDeasIdVsbGyupGnjaR/st3cXYmz5f8ArJJrqVnOMHI2hazPFX7Ndjq138Pbaymc6ZoPim98RX811PieaOeee9NsAqBWjN61s5VsfLbqCWPUA9k1DVLbSNLudRvpVs7O1ha4nllOBFGqlmZj6AAk/SvE/AP7TRvPh9qmu+NdCuNE1Wx1KxtDpGnRPcztHqHkNYEJ94uwukjfHAkilA4FekeJvhvb+MvAWteEtZ1fU77T9XadbqZmiWZreWZna2BWML5WxjCPl3eX1Yt89eZePv2UNBuIZpfAEFv4EvL280RryPRIYLO3Mdjqcd2LhUWFlNwiecqFgVO4KwIAwAbNx+1J4Yt1SFdG8SXOqrHfyXWk2+m+ZdWS2TQi584Bto2i4hYbWO8OuzcSAbC/tN+EbibVvsVtrOo2mny2lqL61sS0F3dXUdtJbW0DEgySOl3E3Tao3F2UDNctqH7LF1J4y0++svG2vWNvLpusxazrEMlqNR1C4vprE/MptjCsYitWUGNEZNkW3+I12K/s6+GrTw1qWi6bd6lpEVzqtlrNrcWksZl065tbe1t4DBvjZSoSzjysiuG3ODkHAAK8X7Tng37LrrXa6npt3othdX97p93abbhPs7ok0KqCQ8oMsGFUkMLiEqSHFQr+1Z4BW61eOe6vLa30+1vrwXb2+6O6SzkEdyIQhZmZHIUKVBkzmPeOaLr9l7wvqTaHcajqWsahqem663iC41GWaJZtTnLRMY7kJEqGHdb2p8uNUH+jRDoCGZbfst+GLXTfE2lJqOojQ9civI209YbNDaG4lMrvDcLbi4yrklA8rhc4wQFCgGn8Mfi9c+OPEvj631HTLjw9YeHZbVEh1S3NvcRq9sJZDKd7Iw5yGQ4xxnIOOYuv2qNG8RaXav4UWUXsmqaAnl6pb7RPp+o6jFbC4jCvkZRpMK+HRgu9BkA974M+Edn4Vk8Tz32t6t4qvPEnl/2lcayYAZAkPkhVSCKJFXZgEBffqSTzfhn9mfQvDPhy20JNa1S70yzvNLu7SOSCxikh+wXMdxAhkitkeUFokVjKzsVHDBiWIAh/ar8ARXmsRXF7dW1rptrfXYvnt90N2lnIIrkQhSXZlchQpUGTOY945qaP4+SyfEHwv4ZfwL4jshrVhfX0lzfRxRNZi2ktlO5N53KRchiysdvyjDEsEq2v7Lfhi10/xLpS6hqP9h63Fdxtpyw2aG0NxKZWeG4W3FxlXJZA8rBc4wQFC7qfBuSTWvDus33jXxFqes6Ot3B9uuFsla6trnyTLbyIlsqBM20JBjVHBU/NyaAOb0r9qLw5qmn2HiKVL/RvCtz4dvfEMb6ppskdxc2sBs8TxAMTsIuwoQpudsbeB83Q2fxgN54hsbKTRdW02SbR9Q1M6Pe6cRfv9mltEyhWQoQRdAbeSSw5XYwqjdfs1+Fr7wroXh+4udUksdH8KS+ELdvPRZDav9l/fFgg/fKbKFlYYUEt8p4wa9+zzY+LrG4i8R+LPEWu3k+jahoT39w1pFL9nu3tnfCxW6R5U2ke0bNpDOHV93AAJ+0l4cl060li0rXZ9UuNak8PLotvaLLdrfJatdmNtjmPHkLv379gDDLDnGxqHxw8N2Hwt0zx8F1C70TUntIraG1s3e7eW5mSCKLyfvb/ADZFUr2OfSsjwV+zj4f8EXlhd2+o6ldXNpr8viMNIlrCjXMmmnTmXy4IY0WPyTuCqqnfzkjitmD4MaLb/D/Q/B63V+dN0fUbPU4JTInnNJbXiXcYY7MFTJGAQADtJAIPNAGPb/tKeEG8WW3h+6F9pt3JMLOWa8iRYra8+y/ajayMHJEixZJYAxhgU37vlqtov7UPhLWZ7SI2Gvaeb1dPms2v9OaFbmC+uktrWZCT91pJFyDh1HLKOAdGL9n/AEG38d6x4khvLqOLWJ3ub/SWtrOS3mleAQOwleA3CBlVSVSVRuGcDcwbhrX9lGSHXjBceMdcvtCttF02w0u8uJbb7fp01jerdW3lhbYRuqGOPLSrIz8h9woA6vXP2i/Duh6rrMlxcSJpOh6XrV/qKCzdp/8AiXS2yTNGwbBAFx93bliQQRtIJe/tOeFNJ1LT7DU7PWNKurj7N9ojvbRY208XM7QWxuF37l8x0zhQxRSrSBAapN+yp4buNL1q0vdd8QahLrGm6xpt5eXE8HnSLqckElzINsIVXDWybMKFUMw2kYx0Wv8AwN0jWviQvjSLULvTdTkjtoruGG2s54rtYHdo93nwSPGfnZS0TISpHOVUgAwtO/aAj8UfFjwz4b0TTrw6JqB1WOTVbyydILp7MrG32aTdggSb1O5RuABTK/NU8f7RVla6948sNU8N6vYQ+GdZttEt7iNUnOqXFxDbSRRxIp3B2a6UAH5QgDsy/MFt+E/2f9K8I+LdO1q38Qa7dW+ly38mmaPcyW5s7IXkhknVNsKyMNx+XzJGKjgEDineIvgFpniDWfEeojX9b06TWb+y1fy7NrfbZ6hapDHFdQl4WO7y7eJGRy8bAHKfMaANSz+NPhubwDr/AItvGu9JsPD7TxatbX1uRc2csIBeNo13bmwVK7CwcOpUncKydU/aB0vR7a3F34Z8UR6pJbXF9Jo66cGu7e0h2eZcOocrs/eIAFZmYkhVJVgt6L4H6I/w98S+E7++1LVE8RyT3GqapcSxpeTzyBV84GNFRGQJGE2oFURrwcHOXq3wBfWpILy5+IPiz+3Fs7jTbjWIvsCT3NnMULQOotPKUKYwVdEV1Jb5vmNADtO/aW8H6v4ji0uyTVLm1kvIdPXWUsm+wG4lskvYYxKTyXhkUggYBIDFSy5zdL/ay8E6noA1ZrfWrCC4srG/0+K/sDBJqUN5J5Vu0AZud0nyneV2ghzhCHrZ0/8AZ38LaRZizsXvrSyTW7XXIreOVNsUlvYw2UUS5QnyxFAnBJbdk7scDI1L9lXwlqXh3QdJkvdVC6Houn6LYXO6B5IlspVkgmKvEyPJuQBgylGBIKYNAF/S/wBpLwvry6RHo9jrOsahfm78zTrGzEk9ktrMsFw843bQqSMqjaWL5zGHHNbPwf8AinL8WNH1e/k8Oah4d/s/V77Sgl88bib7NdS25dSp6kxZZSPlJIBYDccqL4CwWd1ol/YeLdc0rV9Nt57KS/0+DT4WvbaWVZWhliFr5SgMg2tGiOAT8xJJPU+A/h/B8Pzrkdlql/eWWqanc6qtneeUY7OW4leaZYisauVaWR2w7ORnAIHFAHxV/wAFq/8Ak1nwt/2Odr/6Q31FH/Bav/k1nwt/2Odr/wCkN9RQB9Vfsnf8ms/Bv/sTNG/9IYa9Vryr9k7/AJNZ+Df/AGJmjf8ApDDXqtABRRRQAUUUUAFFFFAHlXxk/wCSi/An/sc7n/1HtZr1WvKvjJ/yUX4E/wDY53P/AKj2s16rQAUUUUAFFFFABRRRQAUUUUAFFFFABRRRQAUUUUAFFFFABRRRQAUUUUAFFFFABRRRQB5V+0t/yTrSP+xz8J/+pDp1eq15V+0t/wAk60j/ALHPwn/6kOnV6rQAUUUUAFFFFABRRRQAUUUUAFFFFABRRRQAUUUUAFFFFABXlXxk/wCSi/An/sc7n/1HtZr1WvKvjJ/yUX4E/wDY53P/AKj2s0Aeq0UUUAFFFFABRRRQAUUUUAFFFFAHlXxk/wCSi/An/sc7n/1HtZrk/B37S87abrWreKtNurVLjxLf6DoWjW9lGlzL9kknSQmRrgo5227MzN5SqfkG8lc9Z8ZP+Si/An/sc7n/ANR7Wabrn7OPh3WdHsrNb/ULS5sdd1DxBa3wS2nkinvJZ5J49k0LxNGftDqAyEgKh3bl3UAVW/at+H7SaGbe9uru01S3sbr7ZFBiO0jvJDFa+cGIZSzgqQqsUxl9ikGuW8eftWRaVqZ/sWzuIdDg0/XbqXWtR0yR7adtPTDGArIpdVkV1IO0uBlCV+auz/4Z20aPxZp/iK31e+ttRgtbO0u9tlpzpfLbMxjZ1e1IiY72BNv5QIIwAVUrjap+yX4d1izvtPuvEviR9GmtdWs7XSxNbCHT49R3G5ER8je3LEp5rPswAOMggHR3n7QnhjTvGt54cubfVoTZ6kNIudVayb7DFdtaLdpEZc8lomByAQDgEgsubnww+NOk/Fa81C30zS9XsPslraXwk1KBIlnguVZ4JEw7HDKpOGAI6EAggUPFvwJ07XLHxE9nf3cGp6nrQ8RxvJIBFHfJYx2kanaobytsKMQG35LEMOAOZ/Zb+CviL4J6bqGmaiNJtNGe1s0gsdO8iR/tMaus87yxWVrkOvkgK6uw8sncM7aAOw03436brlnrF7pOgeINVsNPmlgivLeyUQ3zxTGCUQO7qMJIGBZ9ikKzKWUE1xmpftSWcev+FrrTdI1TV/DWqaFrOo3MVjp7S3ttNYXdrBIGAcKqx+ZcBhyWZVCFiQG1b79mXS77w7eeHm8V+IV8PPfjUrLSWFlJb2Eou/tWED2zGVPMyNk5lAU4GMAion7Kej2OkaNZaT4v8T6G+m2urWX2qwezEk8GpXS3V0jq1sUH7xF2GNUKADHrQAab+0xpMTeJLi+b+0bT/hIY9K8Pw6VGPOvoW0m0v95MjqowJpW3MUGAi/eIDdT4L+PPhn4ia9p2meHFvdUW80u31g3iQqkVvBOJDD5gdhIC3lOvCEKw2sVJArAvf2V/CMlmsNhc3+lSQaomq2csa21x9lZdPh0/yljnhkRojBAmQ6s275gwIGNW8+B8LeIvDXiFdavL/UvC9uy6Va3NvZQQecbeSAtI8FssoRxIS0aMI8hSE+UCgDrvHnjvTfh34f8A7W1NbiZHuIbO3tbOIyz3NxNIscUUad2Z2A5IA5JIAJHHav8AtFeHtBmKahpevWv2W3gutXd7D5dGjmkeONrohuMtG5/d78KN5whDHV1T4WS+KPhroPhzX/EeoXWt6X9iuR4ltViiujfW5RhcqjI0YLOpJRkZSGKkEVgax+zjYeILi6k1Dxb4kuY9Utre012AtaLHraQyO6eeBbgpxIyHyDFuTCnoMADdU/ak8GaJbane3sWrW+j2kGozwaq1iTbX/wBhDm7S3IOWZBHIRuChwjFCwGaxviP+09H4e8OztpHh3W11uJbKW4i1DTGMenx3N35EX2kK+UMipIygZKjaZAgIzc1T9lHw5rWl6jpF7r/iCfQZoNThsdKMtuIdKN+si3D27CDzC22aVU81pAgkIAxjG14+/Z/0rx94g1HUpfEGu6RFqkVnHqen6bJbrBem0laWBnMkLupBYg+WyhgAGBAoAyrj9pjRNB0uKXULTVNYupDrlxt0PTHcR2um3xtriRwXONmUyc/Oc7BkqldJc/G7RrbxVp+hf2dqskuqQvJpV2sCeRqLrbtcmKElw24xI5BZVQlGG7IxVO1/Z88O2ayhL3UyJLHXdPO6WP8A1erXq3lyf9X95ZEATsFyGDHmsjwz+yz4Z8K/EDTPFtrqurTXenXX22C2nFqyGX7AbE7pRAJmXyjkIZNqt0AHy0AUvB37UGn694T8M+KdcsJ/Cemap4TuvE89jdwm4mSOE2eWjkjPzr/pQVV8ve5K4C42nYn/AGlNAtbqHTZ9C8SReI5r9NOTw+dPDXrSSW01zG2A5Ty2jt5jv37QUYMVKnFWz/ZZ8NQ+F7HQLzWNc1PTtP0G88NWa3E0CPb2U72zqqtHEhLxGzh8tzk9d284I1tF+Aemaf4s0/xRqPiDW/EPiSzv1vzqWoNbK822zuLSOFkhhjQRql3OwCqp3tkkjigCPxd8fLHQ/hHonj/RdF1DxLp+rXum2sNpABBOou7qK3y4kxtZDJjYergKSoJYWh8evDy+KItGks9WhU6hDo82pPaf6Hb6hLEsiWjyBj+8IdFyoKB2CF93FS3PwR0ib4T2/gGHUdTtLC1lguLbUIniN3DNDdLdRSAtGYyVlRDhkIIGCDVGL9n/AExfEw1SXxDrlzYtqsOvT6JI1sLOfUYo0RbltsIkB3RpIUWRY967tg5BAM343ftAR/DiLUdO0fTrzU9cshYSXMyWTzWdkl1ciGPz2VgQXCy42524DPtUgnR8N/HfTdU1LRtGMVxqmsape6pDGun2wiSKGz1B7OSVxJJkhW2Bim4nl9qr0Xx9+z/pXj7xBqOpS+INd0iLVIrOPU9P02S3WC9NpK0sDOZIXdSCxB8tlDAAMCBUF5+zjot9b6HZvrWrDTdK1ybxDHZ7LRt93JqD35bzWgMsYEkjJ+6dCY/lYtkkgFgftEeHGsNQ1CPT9cm0yC9/s2zvo7AtFql19p+zeTa85dvO+XLBVIDOCUVmGXqH7VHhTTYtr6V4im1GGHUJ73TINNL3FgtkYftRmAbaNq3ELAhiHDjZuJUGz/wzjp8ekXGkw+LPEdvpUeof2ppVpG9pt0a5F19pD27G3LMBIWAWcyrsYrjBqXTf2ctAsbm+vZ9V1jUNU1HT9UsL/ULmSES3X29rYzSsEiVA6rZwIgRVVVXBU9aAJI/2kPCMnil9HC6mLeO+j02TWmsyunpcSWa3kcZmJ/ihcHIGAcBipZc5ml/tYeBtX027u7caoZEjsZbSy+yZuNRjvJTFatAgY58xwRtfYydZAg5rTt/2c/C8OmyWD3Go3NpJrNtrckc0sZDyw2MNksZwg/dmKBSR13FiCBgDL0f9l3RNE8JL4ftvEWspBay2U2mXcdvp8dzpz2r74WSRLVfOPAU/aPN3KOcksWANrwr8apfFHxUvvBp8H63pa2ujWmrNqF8saBDPLcx+U8YYlcG1IDAsGJbGFAZ9XUPi5pWk/ECz8J39jqVldXxkSyvpoVFtdSRwNO8aENvyI0kO4qFOxgGJGKboXwr/ALD8aweKW8T61qGpnS49KvvtYtdmoRxyzSxPKEgXa6NczY8ry1wwBBwK55f2a/Dy/FY+PTqeqNqP9oy6oLUra+UJpLFrJv3nkeeU8pyQhlKq2MADigCpo/7Vvg7WtEj1KKx1+AXVpYX2mWtxprRz6pFeSeVbm3Qn5t0nyndt2jDnCENVjwX8eIr34Y+OvHPiS0uNL0vw1qGppLB9kdLmO2tSSQ8ZJJkAU52nDcbeCDTLj9mHw3Jo/hyyt9X1qyuPD2kadpGmahBLCZ4BYypLBP8ANEUaTKANuUowLDZzWvb/AAJ0hfhf4u8D3Or6xqFn4oN82o6jcyw/a2e7UiZ1KxLGp5JA2bR0xjigDNvf2nPCmk6lp9hqdnrGlXVx9m+0R3tosbaeLmdoLY3C79y+Y6ZwoYopVpAgNWx+0R4caw1DUI9P1ybTIL3+zbO+jsC0WqXX2n7N5Nrzl2875csFUgM4JRWYWtf+Buka18SF8aRahd6bqckdtFdww21nPFdrA7tHu8+CR4z87KWiZCVI5yqkZX/DOOnx6RcaTD4s8R2+lR6h/amlWkb2m3RrkXX2kPbsbcswEhYBZzKuxiuMGgCtqH7VHhTTYtr6V4im1GGHUJ73TINNL3FgtkYftRmAbaNq3ELAhiHDjZuJUHSj/aQ8IyeKX0cLqYt476PTZNaazK6elxJZreRxmYn+KFwcgYBwGKllzHpv7OWgWNzfXs+q6xqGqajp+qWF/qFzJCJbr7e1sZpWCRKgdVs4EQIqqqrgqetSW/7OfheHTZLB7jUbm0k1m21uSOaWMh5YbGGyWM4QfuzFApI67ixBAwAAZml/tYeBtX027u7caoZEjsZbSy+yZuNRjvJTFatAgY58xwRtfYydZAg5rZ8K/GqXxR8VL7wafB+t6Wtro1pqzahfLGgQzy3MflPGGJXBtSAwLBiWxhQGfF0f9l3RNE8JL4ftvEWspBay2U2mXcdvp8dzpz2r74WSRLVfOPAU/aPN3KOcksW63QvhX/YfjWDxS3ifWtQ1M6XHpV99rFrs1COOWaWJ5QkC7XRrmbHleWuGAIOBQB5540/aW1DRZfGUFp4T1CD/AIRjxZo2gSXUkQuVvoruaw8wxRxtvEvl3jbFwRwjHklBrat+1h4J0PSUvLyHVobhBfPe6c1qv2qwjs5BHcvMu/GEZlwELs4OUDgHG9qvwL0vVvEet6pJrOrRQavq2l65cabG0H2cXti9s0UqkxGQbls4Edd+0qDgKx3Via1+y94c1TXpNcttV1PTdXlub2eS6SCyuty3UkckkWy5t5UCholKkLuGWG4hiCAdf48+LGj+AdL0u8lt77WX1Qv9itdJiWWWdUged3XcyrtWKNm5YZ4AySAeI8RftPaLa+H9RuNNsNVW5t/Cq+K5Lq404y2tjaSxTyQNcFZBksbZwI0bcTjoMkN/aR+Cep/F638IQ2Fvpt/ZaPdTXE9nqMsUQdmgaKNl820uojt3NkNDnB+Vhyr6lr8B117wVrlj4u1ee813xP4Us/DOu3emLHBCRClyGlt08vCMWu5jyNvCYRcEEAq+Mv2gI9O8d6J4Z0PTry7MniW30HUdTksnayjd7czPCsoYYlCGM7iCmSVyWBUHxB/aAk8HeJvHuhnQbu2i8M+Fo/EZ1+VFntMP9q+VoldXIH2UgYOWJYfKFDNpXX7P+lXHjb/hIF8Qa7Ba/wBtx+I/7DiktxZfb1hEJl5hMuGQcp5m3cSwAPNWfiB8C9L+ImqeIbu71nVtPj8QeHm8Nana2LQCO4tszmN8yROyyRm5mKlWAO75gwAFACv8f/CafEdPBnm3J1Br7+yvtYiH2YXv2f7R9nLbt27yud23Zn5N2/5aj8X/ABs0zwH4k8QWWqM08en2+kmG1tYMTPNfXFzBEvmPIseGeAAbtgXByx3DEul/A3SNE+JN/wCMNP1C7tpdQuzf3Wm/ZrOSCS4MKxFxI8BuEyFViqSqNwzgbmDWPFfwesfFGqeI9RXVr/TrrXrCy028EUNpcRNBbPcuqeVcQSoQ/wBrkDbgchVxtwSQDt9Puzf6fbXRgmtTNEshguFCyR5AO1gCQGGcEZPIqxWL4J8J2fgPwdofhrTnnlsNHsobC3e6ffK0cSBFLNgZOFGcAD0A6VtUAfAH/Bav/k1nwt/2Odr/AOkN9RR/wWr/AOTWfC3/AGOdr/6Q31FAH1V+yd/yaz8G/wDsTNG/9IYa9Vr5f/Zl1/4ww/s2/CiPTPAvge801fCWkra3F340vIJpYhZxbHeNdJcIxXBKh3AJIDNjJ9L/AOEk+N//AETz4f8A/heX3/ymoA9Voryr/hJPjf8A9E8+H/8A4Xl9/wDKaj/hJPjf/wBE8+H/AP4Xl9/8pqAPOfhV8ZtS8b/tNXttdajq1rpV/o179g8O3WnzwR2yW91FHHM++MAyygzSFs4CyRp95efpuvH2vvjE2qJqZ+GHw4OpJC1st4fG955yxMwZow/9i52llUlc4yAe1W/+Ek+N/wD0Tz4f/wDheX3/AMpqAPVaK8q/4ST43/8ARPPh/wD+F5ff/Kaj/hJPjf8A9E8+H/8A4Xl9/wDKagA+Mn/JRfgT/wBjnc/+o9rNebftNfG3VfA/xC0tdGu9aj0/whZw+INet9K0q5vIbuGW5WMwzyRROsQW1jv5f3hX5xA2cA034sa/8YZPHnwYa78C+B4LhPFtw1nHD40vJFml/sLVgUkY6SpjXyzI24BzuVV2gMXTu93xb8zU3/4VV8NN+qAC/b/hNbvN2AgjAl/4kvz/ACAL82eBjpQBDqHx5vV1bUNPs4NN8xPGtv4VtZZZGZXjl0yG9ExAIyczHgHBUZ964rwB+0lqfxZm8I3jabFpMNxr82iyQWt+5Yyx6JdXckx2kLJbuwQwbh88eyb+JQu1N8PvGNzqSajN8Bfg7LfpbpaLdP4nnMqwomxIwx0PIVV+UL0AGOlakOjfEm31CC+i+DfwqivYBGsVyni+5EkYjikhjCsNEyNsUssYx0WR1HDEUAcN8LvjNqWkfD3RvtOos+qHwL4Nmhu9T+16gbm7vRdRti3jJZ5WMWSVILkguwCZHReFfj146+In/CG2Ph/SNCtNT1Sx126v5NUM4jRtN1CKyKxxjDDzWkLYc/IOu4jBu3fhLx7f6S+l3PwQ+Elxpr21tZtZyeK7hoTBbEtbRbDomNkRZii9ELErjNXNE0v4m+GfsY0j4PfCzShZRTQWv2LxhdQ+RHNIssyJt0QbVeRVdgOGZQTkigDa+Bvxrk+Ng1G+tdPSy0qxs7CKfcxM0WqSRGa7tGHT9wslup/2mcfw1wPw2+I+vap4F/ZkuLjWZ73Uda0T7Vre6TL3ckejs0rS+pW5KbvRyAea2Ph7oPxc+G+i3mnaZ8PfAcgvNSvdWuribx3d+ZNcXVw88rNt0RR96QqOOFVR2p2h+F/iB4Y1rUNY0f4JfCXStX1HcLy/sfFlxDPc7m3N5jrogZst8xyeTz1oA5PSf2ivFmvaF4Qm8QaXptm/iK38La5ZjRby4QwxX2pwQSQyscF8CRW4wrBmRgQNzenfAfxZ4u8QeD/E2peLL2x1Wez8Qa1ZWo0+1MDCK2v7mFY2G4g4WNQpxnAG4sxLHEXRPiQkVjGvwa+FKx2ENvb2iDxdc4t44HWSBIx/YnyrG6IyAYCsoIwQKs6Pb/FTw9fape6V8Jfhjpt5qk32m/uLTxndxSXcuMeZKy6KC7Y7tk0Aec+G/jp4x8P/AAt+F1l4e0aTxf4o8QeD28Y3ck6zT/apZPJleCMqf3YeW6YCRsrEojGxg3y7PjD9rDV/CPi3xpoU3h2zebw3pM2tlpLrYs8Xk25itiRnZOklypmPzCOLynwfOUK+x+FnjiHwfo3hjU/g58MPEukaMZRp0Wu+Mbi7NpG7EiKPdofyoilYxxnYigljknfm0H4jXAYS/Bj4UShpJ5jv8XXJy80ZjmY50TrIhKMf4lODkUAYHxK+JnjL4ZeI5NZ1mfTb+90XwD4k1d7HTJJo7CeSCbS3iaSNmJDKryLnJO1iQRuIHQ+Jfjtrp+Ktz4B8PWmj/wBonU4bGC+1GSQwxr/Zz3sm9UILOQgVVBHDFznbhqui+D/Hnh2xFlpXwP8AhHptmIJ7UW9p4quIk8mYoZo9q6IBskMce5ejbFznAqjH8M/FMehNoifs/fBldGaZLg6eviSYW5lQEI5j/sPaWAZgDjI3H1NAHDfCn46eKdN8AQTRJDrmuyWHhaFJNS1Sea2eXUtXvbNm3YJwoVTvVcuAoI+UAbmvftQeOre8j8NaXoOmXvjCGfUbaRbeyvLu3u5Le7hgjVFiObYSJMXMkzbFMbLuIyy9na6B8RrGJY7f4L/Ci3jX7NtSLxbcqB9nlaa3wBon/LKV3kT+6zFhgkmvO/ip+z34/wDixqj3t98PfAmm+daz2lzDZ+MC6SiZw8koM3h6RopmIGZoijnC5JKoVAPdfid4513w5qvgzw9oEOmtrniS8mtlvNTD/ZbdYbaSeRtiEM7Hy9qoGHVmJwpB8o0H4teLvCXxC8Xz6q+lXfhSfxrbaRK0l5M8lo0mh2cxaFiNiwLIM7cZbzXb5SMN1XibSfib420aPSfEfwg+F/iHTI3WRbTVvGV3dRh1BCvtk0UjcATz15PrSxaX8TII/Lj+Dvwrjj+0pebF8YXQHnpEsSS4/sT76xoiBuoVVUcACgDktP8A2oPFGoaTrsdlpmlajqkNx4bGmXU1rd6fazw6vetaozRygy4TYzhwBvBHyrgitvw58bPG3iP4s3fhNdM0+bTtJnmstZu7bT7wKhjsopTPHclvJAeeQxiHLSIFyc/NtXQ/A/jfwxbyW+j/AAK+EGlQSSW8zx2XimeFWeCQyW7ELoYyY3JZD/CeRg1x1j8CfiTZ/FQ+Oz4I8GXGpf2jNqqwy+Nn4mlgaBlM48Pi4eIIxxE0pQYUYwqhQC7oP7Rni2HwjoN/aaVpk+j2HhLwtrmpNf3c8t7N/aUkkTxxuc5ZBCX8xySx4I+bcvZ/BX41+Kfit461SJtKtrfwnareL9pWwuo3jmivGgijFxJiK43xo0u6EELkKT0LJFonxIhsms4/g18KY7RrW3sTbr4uuRGbe3LG3h2/2JjZEWYovRdxwBmuB+GfwL+JXwt8ZP4k07wT4Nu7/wCz3VshuPGzxtsuJkmkMskPh9JLht6Lhpncjk/eZmIBtR/FvxV4D+JXj24uorfVvB58bxaR5LTSvfQ79Ds5h5Cn5FQSD7n8RmdsqR88vhH9o/xfrngl9e1bQbXQbXU7TTLjRNQewu54pZrtyPsiwofMuXVShWSPYr7ySIwpJ6hrf4qPcSTt8JPhg00l4uovIfGd3ua6WNY1nJ/sXmQIiIH+8FUDOAKwIfhv4tt9P1Kwi+AXwbistSdJL22TxNMI7lkcuhkX+w8MVclhnoxJHJzQBzmvftHeLfGfwvuV0ay0rRdXPhvxDqWoXV9NPAqDT7prIi3x80bM4Mm5s+V8gIYtkb+j+Pte8XaDr3gvxBM3h4XXhKSfSLxVnF1eRraW4kvo7wMY9ySTkNHhZEIRvmDZqxeeAPGWo6Xpum3XwF+Dtzp2mPJJY2c3iadobVpGLSNEh0PCFmJZioGTyearat8OPH1/pviK3sfhB8MvD17r2nS6XeatovjG4tr3yZE2MFlGhkggBcZzgqp7CgDR+Ifie48bfs2fDnxFdp5V3q+t+B9QmQLt2vLremSMMduWNe+18sfHTUPizY/DXQrGX4f+BdN0228UeFo7dbLxpeSlWTXLDyI9p0lAELiNGbJKKSwVyoRvUv8AhJPjf/0Tz4f/APheX3/ymoA9Voryr/hJPjf/ANE8+H//AIXl9/8AKaj/AIST43/9E8+H/wD4Xl9/8pqAPVaK8q/4ST43/wDRPPh//wCF5ff/ACmo/wCEk+N//RPPh/8A+F5ff/KagD1Wvn341S6h4a+Kug+Ltfn1K78B6ZPp0Vp/Yl/HFJpWoyzS27y3NuwBuIpkuoovlZmRd+2PJ311v/CSfG//AKJ58P8A/wALy+/+U1chq3gbx9r3xA0vxtqHwa+Ft54n0y3e3tdRm8ZXTyxqzIwYMdEzuUx/I2cqHkAxvbIBr+CZ7+T48eJLnSfEurat4L07T7iDW5NUuhLZrqzTxvHFa8AJ9nhWZZQmFHmxA5dXxzvjrxF4m+FvxS1nX9VXVNW0zWryW38LxWWtO9rFImj+Z5E9hhQQ0trdtvUucupIAGRT1T4M+JtRtNcih+A/wi0mbXIZrbUr3S/FU9rdXUMxzcRvMmhhyJQWD85IY855robHwv8AEHTfFUvia0+CfwmtfEcqlZNXh8WXKXbAqFIMo0TdyFUHnkKB2FAHljeN/E+kX/gPRbbxxrGpad410rQbzVtWluVeW0kuboI0kD7cQC5BaJVXCrtzGFbJru7r4ia/4W+AfxSlg12e4vfD2rahpumazeMs1xHapLGhmZmGJDbmV1LMD/qRv3HOb9n4D8aafo+q6Ta/Aj4PW2laswbULGHxROkF4QcgyoND2uQeRuBwau2vh74i2Nna2lt8FvhPb2trZz6fbwReLblUhtpirTQIo0TCxyFELIOGKLkHAoA4ltU12L47D4VDxbrx8Jyaksh1A37G+8z+zHnNiLr/AFgBZVuMA7sfKCEO2vaP2e/Emp+Lfg34Z1TV7ttRv5YZI2v3VQ12iSvHHOdoC5kRFfIAB3ZAxXnv/CvvGP8Awi48Nf8AChfg7/wjon+1DSf+Enn+yCbGPM8r+w9u/HG7Ga6uz1f4z6dZwWlp8Nfh3a2sCLFFBD45vUSNFGFVVGi4AAAAA6YoA9boryr/AIST43/9E8+H/wD4Xl9/8pqP+Ek+N/8A0Tz4f/8AheX3/wApqAPVaK8q/wCEk+N//RPPh/8A+F5ff/Kaj/hJPjf/ANE8+H//AIXl9/8AKagD1WvKvjJ/yUX4E/8AY53P/qPazR/wknxv/wCiefD/AP8AC8vv/lNXmnxY1/4wyePPgw134F8DwXCeLbhrOOHxpeSLNL/YWrApIx0lTGvlmRtwDncqrtAYugB9QUV5V/wknxv/AOiefD//AMLy+/8AlNR/wknxv/6J58P/APwvL7/5TUAepyKWRgGKEjG5cZHvzXjPwBfUr3xL41v7LxBq/iL4fu1rbaNea1c/aHubuPzhfXEDkAm3YtAi4+QtDKUARgToTa78a7iF4pfhz8PZYpFKvG/ju9KspGCCDo3IrmPBfg3xz8OJJ38JfAz4QeF3uEWOZtF8UT2ZkVfuqxj0NcgZOAelAHCp8avHWn6Hpdxd6bqEmjxfErWrCTW476J3ubODVdRRLUQ/fwEhSIA9oxXS2X7THiizbwodX0rQ5U8UWui6nZvps8rLZ299qNraNFKzffcLdqySDarlHGwY56mO2+KcdvDAnwk+GCQQ3smpRRr4yuwqXTyPI86j+xOJGkkkcuPmLOxJyTWLZ/D/AMY6fper6Za/AX4O22navj+0bSHxPOkV5glh5qDQ8Pgkkbs4JJoAs6Z8dvFfiz4lReGdA0zRHt4bnXDdXF1PJuaDTrqzg2R7eBJJ9qIyx2qVzg42nt/gh8QtT+IPhm9k1+GGw8R6fdC11LSY7OW2fT5jDFL5DiRm8wgSgiVGKOpVlxkgcZpHhv4heH4Uh0v4KfCbTYY4JrZI7TxZcRKsMpQyxgLogwrmKPcvRvLXOcCrXhXT/ih4F01tP8OfCH4X6BYNIZmtdM8ZXVvGXIALFU0QAnCqM+gHpQB7dRXlX/CSfG//AKJ58P8A/wALy+/+U1H/AAknxv8A+iefD/8A8Ly+/wDlNQAfGT/kovwJ/wCxzuf/AFHtZqrJ+094WS3uJk03XJFGrXGiWebRIv7Qurd51uFgMjqCsZtpNzsVX7qgljtrz74sa/8AGGTx58GGu/AvgeC4TxbcNZxw+NLyRZpf7C1YFJGOkqY18syNuAc7lVdoDF0p6x8FPibq3h7SdMTwX4PtZtK1m/1uzvx45lnljmvJriWdCk2gPE8ZNzIoDISAqHO5d1AHpVz+1V4JSxsb+yj1jV9LuLKxv5r/AE/T3kis47yQx2wnzhkZ2VgVwSmMvtBBM/jL9orw/ofge91q1nkhk+z609vJc2bSxq+mPJHcF0V1JUPG2ACCw7ivGPGnwF+M/ia1mTT9N8MaLJdW2nW2oRw+NXNvqH2KbzYnljXQE2NywPkNEpG3KkLtpmsfs3/E7XE1a2u9B0NtKvYtZih0xfiFKsFiNUZ3vDEf+Ef3kl5GZfMZ9mcD5eKAPc9c/aL8M+H9W8TWFzZ6uR4fu4NNurtbQC3kvZ1t2htYnZgHkZbqJuyqNxdlAzXPeKP2rPD8HgS81Xw9Zapq2rrp+p3YsIbAzPZGybypmuVVuEWUovyMxcElNygsOT8TfCf4neKtL8UWd14F8Gxtr2uW/iJ7hPHtw72t5BDbRRtEr6EyFdtpHlZFcHc4OQcDJ1j4HfF3WNNtbf8Asbw7p1ymm3mj3d5pvjcWz3tncuryQyIvhzy1wVG140RwM/MSSSAfT3hHVpte8J6LqdwqLcXtlBcyLGCFDPGrHAJPGT61r14d4Ti+N3hKxezj8H+DdQtR5S28V749uiLWOOCOIRx7NDU7T5ZkO7cd8j4IXaq7n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qtFeVf8ACSfG/wD6J58P/wDwvL7/AOU1H/CSfG//AKJ58P8A/wALy+/+U1AHyr/wWr/5NZ8Lf9jna/8ApDfUVxX/AAV21b4i337NvhuPxd4V8L6Hpo8W2zR3GieJbnUpml+x3mEMcmn24C7S53byQQBtOSQUAfb/AOyd/wAms/Bv/sTNG/8ASGGvVa8q/ZO/5NZ+Df8A2Jmjf+kMNeq0AFFFFABRRRQAUUUUAeVfGT/kovwJ/wCxzuf/AFHtZr1WvKvjJ/yUX4E/9jnc/wDqPazXqtABRRRQAUUUUAFFFFABRRRQAUUUUAFFFFABRRRQAUUUUAFFFFABRRRQAUUUUAFFFFAHlX7S3/JOtI/7HPwn/wCpDp1eq15V+0t/yTrSP+xz8J/+pDp1eq0AFFFFABRRRQAUUUUAFFFFABRRRQAUUUUAFFFFABRRRQAV5V8ZP+Si/An/ALHO5/8AUe1mvVa8q+Mn/JRfgT/2Odz/AOo9rNAHqtFFFABRRRQAUUUUAFFFFABRRRQB5V8ZP+Si/An/ALHO5/8AUe1mvVa8q+Mn/JRfgT/2Odz/AOo9rNeq0AFFFFABRRRQAUUUUAFFFFABRRRQAUUUUAFFFFABRRRQAUUUUAFFFFABRRRQAUUUUAFFFFABRRRQAUUUUAFFFFABRRRQAUUUUAFFFFABRRRQAUUUUAFFFFAHwB/wWr/5NZ8Lf9jna/8ApDfUUf8ABav/AJNZ8Lf9jna/+kN9RQB9Vfsnf8ms/Bv/ALEzRv8A0hhr1WvKv2Tv+TWfg3/2Jmjf+kMNeq0AFFFFABRRRQAUUUUAeVfGT/kovwJ/7HO5/wDUe1mvVa8q+Mn/ACUX4E/9jnc/+o9rNeq0AFFFFABRRRQAUV5JF4y8ft8dZfCDP4b/ALCSwXWPOFrcfaTbtcNEIs+bt8zC53Yxz92qfhP43av4q8HfBDU00+ytr34haWl5OrF2jtJG0trwBBkFlDqF5OdvvQB7PRXy5J+1pr974F8Q65baHp2kyeGdS0vwxrTai0ssVtrVxqUFpdogQhpIII5llDjBk8xAMbWrtJPih431LXPA+g+H5/C2p3+uaNq+szahNBdQ2rrZ3NjCkca7i6FvtvLNux5fC80Ae30V4B4N+PXi/wCMks1t4I0TRtLvNK0+O41ddfuJZUW9ae5gNnEYgOFe0lzOR0eMiM5YDW8TftAPD+zjoPxN023stKfWJNFTy9bl/wBHsPt19bWsjTOpXKwid2JBAPl9QDQB7TRXhPh/9p+2t/h7N4o8SaXJNpdrf3lrPr3h4C40yS3gcL9tR3ZWaJgT8qeY2Y5Mbgu49VdftBeGLHxtd+G7mDVIDZ6kuj3OrSWZWwiu2tFu0iMxPUxMDkAgHAYgsuQD0yivB7r9qjRvEWl2r+FFlF7JqmgJ5eqW+0T6fqOoxWwuIwr5GUaTCvh0YLvQZAPUftA/EDxT8LvBF34o0C10e+ttNiMs9hqDSi4v5C6JDaW2zhZZWbYrNu+dkG05JAB6hRXgXib9ozVfDOpaprdxpdifAemeIW8N3BV3OoGRYNzXC/wbRMfK8vqRl94+5UVj+0V4g0HRtQvPFujaas8vhOPxXpdrpMsjM5dhGLBy/wB+XzJLdFkXaHMp+VdvIB9BUVwnwi+IV3448BnUtdtrfS9e065utN1m0tnZore6tpWjl2FuTG20SITyUkQ968nm/aI8UW/gv4Z6/dvoug6Z4q0W61+91jVtPupbPToy9tJa28jxMFibybpt0kjBSbdjx2APpOiuDjvvHkvicJ9k07+wG1ySMXC4Mn9l/wBmh45R+85f7b8h4+5/Dj5qsfBvxnd+Pvhroms6kkUerMklrqC24IiF3BK8FxsBJIXzYnwCcgYzQB2lFFFABRRRQB5V+0t/yTrSP+xz8J/+pDp1eq15V+0t/wAk60j/ALHPwn/6kOnV6rQAUUUUAFFFFABRRXjHj74qa3ovxu8N+FVvdL8MaI5tbj7XrSyKuvNM08UllbS7fLSaLEUoXdvdmRQApYkA9nory7Q/iB4pX44XPgnWLTR7jT5dHn1mG40ppTLYItzHDDHc7+GaZXkZWULzbyjDAbq5PxN+0ZqvhfVNU1u40yxbwHpniJvDVwyu51AyLBua5X+DYJj5Xl4yR8+8fcoA99or5t/4aP8AGWm3Hh/SNU0PRF1/xdZade6GtvNKYLb7TMI5YrknlzCjK+5NvmHK4j+9XXL8ctR0r4S+NfEGq6Vaz+IPCt/c6TLaWkrJbXdyrIsDKzAtGkgmhJzuKbmHz7ckA9korwD/AIXd41X4gH4aPY6D/wAJq12pXUgJ/wCzxZG0acymLd5hkDoYtm/ByH3D7leofCXx1J8Svh3o3iKezXT7u6R0ubWOTzEinjkaKVVYgblDo2CQCRg4FAHX0UUUAFFFFABXlXxk/wCSi/An/sc7n/1HtZr1WvKvjJ/yUX4E/wDY53P/AKj2s0Aeq0UUUAFFNfcEbYAWxwGOAT9a8y+FvxA8T6/468aeFvEttpEk3h+KwlGoaGZfI8y5WVmtXEnPmxLHE5IPzLcRnaucUAen0V88Wf7W2lzNp9hNJYw65J411Hw1d2jeaFgtba+u7cT7yNu4x2yOecZc+ldbpf7THhPUmsVktdZ006l9hk037fYmL7fb3dzHbQ3EQznZ5k0W4PtdQ6kqMjIB61RXl91+0N4ah8UW/h+Cz1jUNRluL6BxZ2JkSBbOWGO5mkbOFjQ3EZz1OcAE4B6j4b/ECy+J/hO08RaZZ3lrpt4BJaveCMGeJlVklXY7DawYdSCCCCAQRQB1FFFFAHlXxk/5KL8Cf+xzuf8A1HtZrZ0L4x6T4m8TT6Xpmm6zeWMF1cWMmvx2J/s0XEG4TR+bnPyMjoX27N6lN27isb4yf8lF+BP/AGOdz/6j2s1xV18F/iCvwz8VfC+0/wCEcbwtqLao1prk9/cC78u6lmnS3mtRBtYB5fKdxN80eTs3HFAHumk+LtC163t7jTNa0/UYLiVoIZbS6jlWSRVLMilSQWCqxIHIAJ7VjWvxS0C58Sa/pRu44YdF02z1W51OWaNbTybiS5RcSbv4TaSbicAZXk848e/4Ul46h8dW3j+z0rwpputQaxb3Y8M22pzrYvDHpt5ZNIbkWgYTE3an/UY2W6LnnIxdG/Zf8ZaT4bEc1x4f1LUILbw6RYyTzLaXk2naje3cscjGJikbLcx7G2uQ6ZK4AyAeyTfHTQF+GvjPxvDFdXej+FzffaPs/lu1yLVSztCQ+1lYD5SSM57V1LePPDS6PcaufEWkjSbeY2818b2LyIpAQCjSbtoYEgYJzk14/b/AbX5P2d/ij4Hki0DS9X8XPrMttb2DyNYWpvVbYjN5SMQpb5iEGeSBziuR1n9mjxnrXiMeKktPDuh3ceo28y+GNG1OSKyaKKwmtfOFwbM7Zj5+APII8uMJu5yAD6J8ZfEPw38PdAh1vxFrNrpOkzXNvaR3k7/u2lnkWOIAjPBZxz0AyxIUEjP8LfFnw54t8Sa5oVpfwx6lpd99iEEs8e+7/wBEt7oywKGJeMJdIN2OobtgnjfEnwXupv2e9C8D6JZafDfaK+k3FrY399JPahrK7guPINwYd+xhCYw/lcBgdmPlrn9R/Zx1PVtZ1nWQNH0nV9S8YWuvi+s2Zp7a1TSYbJo1l8pSXV1m2jhSr5ypYqAD3PSfEWla+12ul6nZ6k1pKYLgWlwkphkHVH2k7WHoeapXHj7wxZxX8tx4j0mCPT2VLx5L6JRbMzMqiQlvkJZWAzjJUjsa8p/Zr+Bup/CON21q1s11CLR7HRVvrHV5LlLmK28zafINtCIQC7EDdIRvZd2Bluc1T9mPWrfw3oR0oaV/bFh4t1rxBeQxXRs0v47ye9MRaf7PKRNHFdIPmjYcOgYAhqAPoN/FGjR6pa6Y+r2K6ldwm4t7NrlBNNEBkyImcsoweQMcVkeLPiXovhPS9NvpJ11CPUL3T7OBLKRHZheXUVtDN94Zj3zKSwzwDjJ4rynwj8Bdc8G+LvCMuh2un6BoVjpMGl6uo1iTUHuYIradIoUjktF2tFJMNs6SRkx7laMghRy/hz9nH4gi18IW2sSeG7eLw1p3hrSYmsr64ma6j0zUoLmWdg0CeW0kcJ2xjdhsAuQcgA+hvBPxG8M/EezvbrwzrdprUFldzWNw1q+TFNFK8TqR1+9G2D0YDcpIIJwvH3x08IeAPCOqa9Pq9nqUen3cOnyWtjewGT7VNKsUcJLSKqMWbneyhQGY4Cms/wCGPw11fwj4c8aaBdLp+n2+o6xqt9p+paXMzTmO8uZ7gGRDGojeIzbBhnB2ZyvSvJLH9lzxPfaToVtqFj4T0d9D07RNIjj0ueWWLUY7PU7W7lnl3W6eW3l20ixx/vMNcSAvg5oA+m9P1q3vLfTjIyWt1fQfaI7SSaNpMYUtjaxDbdyglSRyOcEVV0/xt4e1bUv7Oste0y81DyBdfZLe8jeXySARJsDZ2EEfNjHIrhP2gPhj4h8feHNLm8E6lZ6H4v0m4drC+vC6xRxTwSW04OxSTiOYyKuMGSGLJA5HB6X+zz4s0n4q+Gby2n0e38E+GruX+zLeCfy5UsjpEllHCYVtQWdZGVmkedsqowBgKAD3W38c+G7qzv7yDxBpc1pYKr3lxHextHbKV3AyMGwgK8jOOOawvDfxo8J+JLeWZdXs7CP+1J9ItWvbqGMXs0RAJg+c+YrbgRjk5HFeGW/7Juu6H4Y8FW2lQ+Gjc6D4f0CyvNPZ3htdTu7C7W4kEjLCT5bHzGWQozByCU61leK/2XfiXrHgjxBoGmv4S0i11x9anksrG5aGK0mu5UkhIlNk7yImH3Kghy2H54CAH0fpXxQ07V/EupaLDaXYuLDWzoUsreWE84afHfbxl9xTy5VXgFtwPG0bq0l+IXhZtJfVF8S6OdMSV4HvRfxeSsiKWdC+7AZQCSM5ABNeXX3wP1u48e3OueZplzZSeMbjxD9llnkQyW0nhz+zBGxEZw5m5OMgIcglvlrG8F/s9+IreHwPaeIU0afQ/DHiV9Ts9KluDfta2I0iazhh89raIzuk8gZWkQMqAAu7KMgHvGl+JNI1u5ubfTtVsr+4tlRp4rW4SR4g67kLBSSoZeRnqORSSeJtHh1xNFk1WxTWJIjOmntcoLhoxnLiPO4rwecY4rx74H/s+3Xwlv8AwZKsWj2sOk+FZ9Evl01Snn3D3MMyOB5a7lAWXlsHL9OSaz9Y+AniTUvHWoyiLQTpF54st/FQ8QPcSf2rF5VvHH9kEXk7Sp8ry/M84fupGXZnqAeseIfip4W8OeBdf8Xza1Z3WhaHby3F7cWdxHKE2RiQpkNjeVK4UnJ3r6ik8J/EzRvE+k6Ncy3VrpV9qsH2iDTLi/tpJymHOR5Ujq42xu2UYjCn0OOD0/4Ez6X+yLJ8KbSHSbXWZPBzaFJJCpWze+ay8lpiQm4qZPmLlNxHOM8Vn+O/2cZ/F158QriD+yLWfXfCFh4d024eIs9u8L3rTI+FBWCQXMSsEOWAfI4GQD1lPiF4Wk0b+118S6O2k72j+3LfxGDeoLMvmbtuQASRngA1e0vxJpGt3Nzb6dqtlf3FsqNPFa3CSPEHXchYKSVDLyM9RyK8G0/9nnWtb+J2k+MNf0nwxpltFrdvqFx4f0+Z7u2VINLvbSOZWe3jDzmW6i6ooVIEwxKgVr/A/wDZ9uvhLf8AgyVYtHtYdJ8Kz6JfLpqlPPuHuYZkcDy13KAsvLYOX6ck0Aewx+KNGm16XQ49WsX1qKMTSaatyhuUjOMOY87gvI5xjmm6h4q0XSdQgsL7WLCzvpyqw2txdJHLIW3bQqk5OdjYx/dPoa8am+D/AI51D9oLSPF17e6S3hrS9ZuL+3WGfy5jbyaZJaiIwragtIJXDM73DAqBgLgKF+LX7OcnxM8T+MdTmtdDu01jT/D1janUIy7xiy1Ge6uVb922FdJIwACdzL8wAANAHrUfjfSbwaJLp91Dq1nq9xJb297YzxSQApFJIxLb+R+6Zfk3HPUAAkS2vjbw7fWl9dW2vaXcW1goe7mivI2S3UruBkYNhAV5yccc15PZ/AjVtP8AF9rqFtLpdvplv40vfESW0TOuy2n0WWyCKoTAk8+QuR02knJbiuGtf2Tdc0Pwz4KttLi8Ni50Hw9oNjeaezPFaapeWF0s8iyssJPlsfMZZCjMHIYoeaAPpBfG/h17fTZ11/S2g1JgtjILyMrdEsEAiO75yWZV+XPJA71avPEWlabqllpt3qdna6jfbvstnNcIk0+0Zby0Jy2O+Aa8R+G/7POo6H8VLPxprtpoKgf21dDTLJmnj025vJtPaP7OzxJn5LOZnk2od87YUgk1ueIfhXr9x8Wtf16zs9Ev9M8QadZWL6lfXLx3+jG3ac7rZBC6yZMwdf3kW1wTzxgA7HxB8WfDmh6f9qhv4dZ26xY6JPFpk8cz29xdXUdtGJAG+XDygsDzgHAJ4qPwr8WtI8WRiaKG4sbbdqqvcXjRIkY0+9NpMW+fIBcFgcY2j5ipwD4fov7Mvi3Z4TN3beF9Bfw3baDpqpo9zM6ajFZana3cs8mYE8ttlswjj+fDTyZkwc1s/wDDOOstayQ38Ok6zZyad4rsprE6jPaed/amsw3sAEyQs0e2KNgzAEq+NoYfMAD26x8b6Tq19p8Wn3UOo2l9ZT30Oo2k8Uls0cTxo2GD5JzKOQCo2nJBwCkfxC8LSaP/AGuniXR30re0f25b+Iwb1BZl37tuQASRngA14VrH7PHjrxh4XjtNb1zS21JvC+v6G824uC15fWs9skhSGJZU8m2Mc0gRCxYkIdxNWtP/AGeda1v4naT4w1/SfDGmW8Ot2+oXHh/T5nu7ZUg0u9tI5lZ7eMPOZbqLqihUgTDEqBQB9Af2tY+TaTfbLfybwqttJ5q7ZiwLKEOfmyASMdQKzNb8baVouh3mqfaYr6O3t7i4ENrPEZJlg4lCbnVSVPynLAA8EivLm+Cev2f7OOj+DdOudLi8W+H3t77SJ3eQWUdzbXQngRmCb1iIURNhchGYAGvO9C/Y/wDEuh+CfH/hs61pt9a3fha50Pww80ku63nvokfU5bg7DgS3caSApuOCcjPFAHtmuftAeCdFm1a2j1iDUL7R9ZsND1KztZF8yznu5reJGfcQNi/aoyzAkDDL95So7ez8QaXqGirq9rqVnc6S0bTC/hnR4CgzlvMB24GDk5xwa8Q8WfAHWPEniHxvE1j4fuNA8Q+KdB8RmW6lczMlm+ni5tpIfJKkMli7K28hmkCsqjLV0Vp8LPEXh/4ZfEPQtCuNIs9W1nUtSv8ASPNj32sAuH3oJEaNlB3FifkdQWzh+QQD0rTvFGjaxop1mw1axvdICs51C3uUkt9q53N5gO3AwcnPGDTNV8XaHoVvLPqWtafp8EUaSySXV1HEqI7FUYliMBiCAehIOK86+Bvwp1fwZoPjez8WCyvP+Ej1qTUPs0N0btRA9lbQNHI/kQgsWhkJ2xgYcdya8js/2TfG1lY6PfXes6frWuaLqUdtax/b5LYT6NbWMtpZo87W8pW4Xz5pm/dspa4lUNzvoA+ho/it4ePj678IzXsNpqMNnY3kMlxPGkd4Lp7lY0hy2XcfZXJAHRlxnnF+38faKdPt7y+vrfRkub2bT4E1G5hjaaaOZ4tqYchixQkKDuwRkA5A8Jb9lOePSdSgsrPRrOY+HPDuj6X59zJdSWD2F7cXEqidoVbZiSHYwUEmMZVMCruk/AXxT4Z8QaPq0en+GfFHkv4ggmsdXu5YoraLUNXa9jmiP2eTe/llUkjKrkqAHwMkA9a8O/Fbw9rvh+LV572HRbabVL3R4V1SeOFpbi2u5rVlTLYbc8DFQDkgjgHIrsa+VPE37KviTVLezSRtN1q1ZfElpeaW+rSWEZt9S1R7xGWX7LMc+WVSRdi8gFXO35vpXw/DqNot1a3sFtFZ27xxafJDcvPLLAIY8tNuRdr+Z5owCwKqjE5YqoB8Lf8ABav/AJNZ8Lf9jna/+kN9RR/wWr/5NZ8Lf9jna/8ApDfUUAfVX7J3/JrPwb/7EzRv/SGGvVa8q/ZO/wCTWfg3/wBiZo3/AKQw16rQAUUUUAFFFFABRRRQB5V8ZP8AkovwJ/7HO5/9R7Wa9Vryr4yf8lF+BP8A2Odz/wCo9rNeq0AFFFFABRRRQBz6+CbFfH8ni8S3H9pPpi6UYty+T5SytKGxjO7cx5zjHbvXEeEf2eNN8G3Gk/ZvE3iC6sdBtJ7Lw9p909q0OixyJ5eYNsAdykf7tDO0u1eOcnPq9FAHis37KHhWHRhp2k6trmgKYNMWWexmgaSe5sL5L22vZPOhkV7jzkbe7KRIJGDA4Qrt6x8EbnWdS8O6s/xE8V2+v6LZX+nLq9vHpiz3Nvdy20kqSqbIxjBtIdrRojAA5JJzXp9FAHkUf7Nuj6I1u3hHxJ4i8DMNMi0m7bRZ7eRr6CN5HRpmuYZj5oaeY+chWQmVsseMdPqPwg8O3vw80PwTBDNp3h/RbjSp7OC1cZUafdQXMEZLhtylraNWzyVLcgncO2ooA8n+NX7OHh/45TxSazqWp2G3TLrSWWxW1cNBOUL7fPhl8t8xrh49rY4JIxjT1T4F+HdaudUlvJb6ZNS8QxeJLiEyJsadLOK0Ef3M+UY4VJGd2SfmAwB6LRQB5B4Z/Zn0Lwz4cttCTWtUu9Ms7zS7u0jkgsYpIfsFzHcQIZIrZHlBaJFYys7FRwwYljufEz4PD4la/wCG9WPi3X/D02gvJPaQaWtlJA0zgKJnjubaYGRF3BGGNu98cnNeh0UAeU3H7Omg33iK4vr7VtXvtJutQ/te48PTNB9gmvjb+Q1wwWES5K/MUEgj3/MEBrJh/ZP8L3FjZWWvavrXi2xs47G0itNba2liNlaSGWG0dVgUSReZ5bsX3O5hj3OQMH2yigDifAfwf8M/DO48Rjw3YR6Tpeuzx3U+jWkUcNlDMsKws8USKNhdEj38kEoDwSc8bovwB1Kb4NeH/h9q/jHVNP0vTdJbw9d2+iG28vUrFAYYvMea3aWORrdUDmJlILvhiQr17RRQBBb2qafYx21pEqRwxiOKLOFAUYVc84HArkvg34Huvhz8NdE0G/nhudUiSS41Ca2z5T3c8rz3DJuAOwyyyYyM4xmu0ooAKKKKACiiigDyr9pb/knWkf8AY5+E/wD1IdOr1WvKv2lv+SdaR/2OfhP/ANSHTq9VoAKKKKACiiigArzT4hfB+6+I/iewbUfFeqJ4MURz33hiFbcQ3VzBPDNbN5phMyoDG5dVkG4iPoN4b0uigDx2H4D6z4ZTxve+GfiJr6614naeV5tWisJUtZpQESZWS0WZvs6cRRtIUARVIxk1evP2dtA1HxJdaheanq13pF1qJ1ifw3K8H9nyXxt/IM5xF5uSvzbPM8vf8+3PNeqUUAeLW37LOiRabBDceJ/El/qFhBY22j6tcy2pudJitJfNgWDbAEb5sBmmWRpAAHLCtlvgBo9x4R1Lw5ea3rd7YatHfHVGklhWS+ubmSOQ3bskS7ZojGBH5exFDEbDhdvqFFAHkTfs5WTXya0fF/iT/hMlvhfDxV/oX2zi2Nt5Pl/Zvs/leWT8vk/eO/O7mvQfBPg/T/h/4T0vw9pQl+wafCIY2nffJIerO7fxOzEsx7lia3KKACiiigAooooAK8q+Mn/JRfgT/wBjnc/+o9rNeq15V8ZP+Si/An/sc7n/ANR7WaAPVaKKKAGTRtLDIiyNCzKQJExuUkdRkEZHuCK8/wDg/wDB0fB7TbjT7fxdr/iS0mdpmXXFsi5mdy8kzSQW0TySOT8zSM2cDpXodFAHnEvwG8OXHhm10Gea+uNOg8RXniXZJImZLi6urm5libCf6rfdyKAMNtCjcSCTzcf7LGjNpUNpdeK/EuoXNhbWVno+oXMtqZ9IitbmK5hWHbbhXPm28BZplkLiJQxPOfa6KAPMPBfwC0rwTrn9tW+va5f6wYdTje+vpIGd3v5reaeUhYVUMHtY9oChQCw2kYxtfC/4V2Hwss9ajs7+71KfWNQbU7y4uoreHfMYo4iVjt4oolysSk4QFmLMSSa7WigAooooA8q+Mn/JRfgT/wBjnc/+o9rNOm/aG0NPB/i/xTFo+tz+H/Dlre3TaiLVFhvhaO6TrAS+SweN1G8IGxkZXmm/GT/kovwJ/wCxzuf/AFHtZrzrxL+zx4u8UR/E+G0svD/hCy8VeG9T0uTTdO1a5ubPU9QuSvlX88LW6JbOqiUOYxI0hnO4t5algD35vHXhuPRrjV28Q6Uuk20pgnvjexCCKQHBRpN21WBIGCc5NXP+Eg0vy3k/tKz8tI45mbz0wI5CRG5OfusQQp6HBxXhOv8A7Putad8Sn8VeGtN8N3Wm2+q29/beHL2Z7O2kC6Y9kzkpBII5UyuwhGBUFflyCOWt/wBmHx5oGg3ei6VN4buLTWdN0u2vpJ7ueEac9rqV3etFbRrA3mxbLsQpuaMqIgSDnaAD27/heHhqLwDfeLLyf+zrK2utSs47a8lijnuZbK4ngkSIF8MzNbuVGckEZxyBZ1v4waD4bsvBl7qbtYWXiiUxQXVy8cUVriymu90zMwCjZAy5GfmK9ua8T8RfszeLLjSbi2t7bwtr7X1l4o02SDWriVYbNNT1N7yG4jxA+9ghVZIyEyVXD4GT3vxB+FPiDVtD+E/9maf4f1y+8G38d7c2GtXEkNtcbdOuLX93IsMpDK86upKfw9jQB6lJ4s0SG6022k1jT0uNTXfYwtdIHu1wDmIZy4wQflzwap+OfHmi/Dvw/datrV7BaxQxSSRwyTIklyyIXMcQZhuchThQa+avDX7IniDQtW0k6g+na1pjw6abq3t9XlsV02W2vp7tUtwLWQywxtMPLG6E5j5wHyvovx++DOv/ABG1k3uj2Ph3WYbrw1qXhyW28RzSRpZm5aFhcxBYZd5/dYZDs3YTDjBoA9R0fx5oWsnTIU1O0g1HULJL+HTJriNbryWUNu8vdnAHUjI4PNS2vjfw7fWd/d2+v6XcWtgoe7nivI2S3UruBkYNhAV5yccc14BpP7N3iqy1C3sZk8PSWA1+x8Qv4iW5lOpI1vaQwm1WIwYKkwmMSeaP3MjLsz1xpv2Qdes/BXhLTdJm0TT7vRvDeg6fdw2kr28V/eWF0txJucQNhGPmMshRmDsGKHmgD6K8YfEbSPCPw11rxwZP7W0TS9Nm1Rn010lM8UcZc+WdwViQpxzj3rU0vxZomuMq6brOn6gzPJGBa3SSktGQJF+Unldy7h23DPWvJrj4HX9x+zL40+H1nb2elax4hsdVjCT6jJfWyXF35pLtL5EZ2lpNzBYgAWYDd1PmPxF+CPjmx0/VPFmi2OkeGPHF5qumWGkWHhfzbu1tIXhfTp7iRvJiwBFdPMfkCqLODLErwAfUmpeMdA0bR4NW1DXNNsdKnKiK+ubuOOCTd93a7EKc9sHmn3fivRNPv7WxutY0+2vbootvbTXSJJMXzsCKTlidrYx12n0rzX4nfCnXbjwV4R8M+BBptno+jgWc1neSLCxs1tXhjSOU20+3aSm4BFLKCN68hvP7L9lbWl8KfZb19Dutci8IeFdBtr9y7NFc6ZcTTXDq5i3KjF4ihHJKfMFwDQB9F634q0Xwysbaxq9hpQk+4b65SHd8wXjcRnllH1YDvSN4q0RdaXRzrFgNWYMVsDdJ552qGbEed3CspPHAIPevD/j94F8ReMvi74aGh+F9F8QRt4Q1+wlm8RNJFaWrTzaeikSJBL+8Kh/3eFLoJMMMGuH8Dfs/+KT4u1zS207So9L0rxZpV7/wll8ZY9Uu1s9FsIsRJ5JV45HV0MnnYAaddpPUA+nG+IvhRLNbxvE+jLaNcC0W4OoReWZioYRBt2N5VlO3rgg960zrumhVY6hahWne2DeeuDKgYvGOfvAI+V6jafQ1832n7M+veFfBfgXTNH0bwhrE+l+CZPCuo2OpSyW9olxLHbiW8iK27mTe0LB1ZUZxsO4EEHL1r9jfxBf2es6BD4mtX8MvoUhsGuPM+0f25LYw2E1xIuCohaCGQnDFi17Pkd2APpVfHnhltCGtr4i0k6MZPKGoi+i+z787dvmbtuc8Yz1qp4P+Iuk+MPAVn4vSQ6Zo9xC05k1Bkj8pFZlLOdxUD5Sc56V4hY/s9+JNPl0rXIdC0G61i316TVL3R9V1+a6s70NpzWQm80WK+XKgKgAQNuQHLAt8urN+z5r6/sz+FfAFvd6bBrWhXVldmO1leCyn+z3Yn8kP5TtGpAG1vLbayqdrYoA9Xj+JWjXHi7RtCtZhe/2tpF3rNvqFvIj2pgt5baN/nDckm6QjAIwrcjjN3/hPvDP/AAj513/hI9J/sQP5Z1L7dF9mDZ27fM3bc54xnrXz9qX7LGtap4VuNNtJrLw8154b8Q6ZPH/aUt9i71G8tLgNvMEQMTfZ5fMARcGTChslqnsv2e/EumT6T4gg0LQrvW7TXn1a70bVPEE1xZ3u7TzZrN5wsV8qVBtAHkMCoOWBI2gHtOm/F7wVrGpeINPtfFGlyXegTpbanG1yqfZpHSN1BLYBBE0Y3DI3ErncCBYt/iR4el03UdTn1OzsNIsriOA6ldXcK202+GKVHSQORtZZlxuwSegwQT43q37POtazd+KrKbSvC66JrviLw94gdVlchVsjpy3NmYfI2tGVsXZDuwxkCsqjLVY174D+Irfxhc+ItLs/D+sxxeLn1210LU7mS2tnt30WDTxudYJPLljeJ2UCN12NjKk8AHr0nxE0Gxh1O41PUbXRrKxvFsWvNRuoYoZZGhjlUo2/oVlAAbDEg8YwToXfivRNPv7WxutY0+2vbootvbTXSJJMXzsCKTlidrYx12n0rwjXPgf48MGtro8nh62g1jxENSuLGObylS1/sa2svKjle0l2bZoGO1YwWjwN65ZTmWX7K2tL4U+y3r6Hda5F4Q8K6DbX7l2aK50y4mmuHVzFuVGLxFCOSU+YLgGgD6H8YeL9H8AeFdV8SeIL+PTNE0u2e7vLyUErFGgyxwASx9FAJJwACSBUUPjzw1cDSjH4g0t/7W/5B4F5Hm8x18obvn/4Dms/4ueC5PiR8KfGXhOCWGC41zRrzTYprhSY43mheNXYAZwCwPHPFeLeLfgH4y8XTaz5ul+FLQeJdK0zT7q4+3zSTaC1rNK5az/0UecP3gkTJh2ygk5ByAD6F1jxFpXh/wCy/wBqanZ6b9qlEFv9suEi86Q9ETcRuY+g5qH/AITDQft2oWX9t6d9s06Pzr23+1x+ZbR4zvkXOUXHdsCvPviN8Odc1f4oaD4r0vStA8R29vpN1pE+n+ILl4FthNNBIZ4dsEockRFWQhMgJ84wa8k8UfsqeL/EnhTU/Dm3w1aLDa+JEtNcS5mN1qr6ms4RbtPIHlKDOHkIeXc8KEAdAAfSzePPDK6bJqLeItJXT45Xge7N9F5SyICXQvuwGUAkjOQAc1Yl8V6JBdabbSaxp8dzqa77GFrpA92uM5iGcuMEH5c9a8Zuv2bzJ8XLHXorLQU8LW3iC31gaX5WNoi0a5sQVi8vZvEkkBHPCx5yCoB4bw7+yT4h0XVdFW/OnazpMdrpdvNDDrEtl9hNjeTTxeSBaSGRAJEZV3Q4ZWGcNuUA+hPFXxg8EeCIbqXXPFWlaeLW6trK4R7lWeCa4kWOFXRSWTczDkgADLEhVJFP4lfGTQ/hrZ+HJLo/2hc+Ir9NP0y2trm3jNw7RtIWDyyImwIhOd3JKgZLAHyZ/wBn/wAVp8PdV8Lro3hG5uLbW01vT9amvJRcamy6zHqJjuh9mPkl1Ty2ZXmyxB24GK9V8deALzxpqXw1vmg0+A+Hdb/tS9gdi6hDp93blITsG4iSeMjIQFUJ4IAoA6638TaRealfadBqtjPqFioa7tY7hGltwRkGRAcoCPUCqi+PPDLaENbXxFpJ0YyeUNRF9F9n3527fM3bc54xnrXzX/wyLr93pPjDSrq7tRc31jrdrpviAatIzMt/c+eyT2gtlADYUSHzpMlcgfNhdqx/Z78SafLpWuQ6FoN1rFvr0mqXuj6rr811Z3obTmshN5osV8uVAVAAgbcgOWBb5QD13wP8YtC8caKuqxiXSrFrWC6E2pSQxrtllmiReJDht0J64B3Lgk5A2Lz4jeFNP0my1S68T6NbaZfEi1vJtQiSG4I6+W5bDYx2Jr538L/sma9pvhW30TUm8O3NqIfCkEtrH5htmTTNXuby5QI0eNjRTKqKeCQQ20cnz/4zfCfxF4U8bXkcWgXet6Fdx6veppmiW0xjvY7m+guBZCVLG5EMrNBuJ/cY35Ep5MYB9tax4i0rw/pZ1LVNTs9N05dubu8uEihG7hfnYgc5GOarjxjocmqT6XFrFhPqsMH2p9Piuo2uBFgEP5ed20gjnGORXEfF3wHrXi7UPA+t6Pp2k6rceHr+W8fQ9euWt7aYSWssG7zEim2yRmTI/dsCC4yMg1wkPwS8e3vxi0HxFqE3h+20DSb+a6httOn8vy4JNJktBAsK2iliszht7zNlFXCrgIADvtK/aB8La58PfD/i2wma8t9Xl0eA2MEsUlzZvqUsEcCzqHIQqbhSwznCtjPft18WaI95qNous6e11pqebfQC6TfapjO6Vc5QY5y2OK+XvA/7KvjHS9I8FWt/beE9Ek8L2Hh/TD/YlzM6amtjqdteT3EubePY+23cInz5eaQl1BzWjov7K+qWTeI7fWdNsPEsU8GsQWl5J4kntGuY7+7E7pLHHZkxMcKWkEsuHjVgvzfKAfTOkaxYeINNg1DS7621KwnG6K6s5VlikGcZVlJBGQRwe1XK8w+Fkfjnwyui+GfEltBqYW1v7y+1uKQbYWa7H2O3BWGJZ5DC0nmSCOPmIEr+8Br0+gAooooA+AP+C1f/ACaz4W/7HO1/9Ib6ij/gtX/yaz4W/wCxztf/AEhvqKAPqr9k7/k1n4N/9iZo3/pDDXqteVfsnf8AJrPwb/7EzRv/AEhhr1WgAooooA4vwP8AFC28fapqltp+iazb2VhdXdmdVvII0tZ5ra5e2lWMhyxxJG+MqMhSfSu0rxjwV8J9Z0f4xzeKl0bQ/B2kmC/W7tdB1Oe5Ot3FxPHKtxcRNBFHG6bZWyPMYtO43AAl/Z6ACiiigDyr4yf8lF+BP/Y53P8A6j2s16rXlXxk/wCSi/An/sc7n/1HtZr1WgAooooAKKKKACiiigAooooAKKKKACiiigAooooAKKKKACiiigAooooAKKKKACiiigDyr9pb/knWkf8AY5+E/wD1IdOr1WvKv2lv+SdaR/2OfhP/ANSHTq9VoAKKKKACiiigAooooAKKKKACiiigAooooAKKKKACiiigAryr4yf8lF+BP/Y53P8A6j2s16rXlXxk/wCSi/An/sc7n/1HtZoA9VooooAKKKKACiiigAooooAKKKKAPKvjJ/yUX4E/9jnc/wDqPazXet4y0BJ9TgbXNNWbS0El/GbuPdaKRkNKM/uxjnLYrgvjJ/yUX4E/9jnc/wDqPazXn8f7P/i238Iy6Cuk+Erk6d4g/t221Ke8m83XB/af20w3i/Zj5ORjLBph5kaNtwMUAe8zeOvDVtpNlqk3iHSotMvnEdpePexCG4Y5wsblsMTg8AnpT7zxp4f0+6vLa613Tba5s4WuLmGa8jR4Ihty7gnKqN6ZJ4+ZfUV85n9m/wAY2eqatrkeleD9UuNdh1iC48PX95MthpX21rf57eQWzGXcLctKpji3tISCMc3rP9lvVdB8Ja5b2zaNrmuSeIdF1WC41Isn9p21haadF5F3II3ZC0lnLIMCRVZkbBOQAD1rwn8ZtA8YXV6tmzx2dq98r6jNLCLYrayRI7hhISUbzlZWxjAOSvAO7P8AELwta6S+qTeJdHh0xLg2jXsl/EsKzA4MRcttD/7Oc183z/sp+LL7w94wtSPDOly69ofiqwjsrGaU21vNqk9nLCM+QuUX7PIHYKCSQQpyQOl8afALxYviLXZ/Bw8P6foOq31tLLpu5bVvJj09rU7WNpMsZ3CPIRQWRdu9fusAeq618ZPCWi6xreiHV7e78Q6Tpa6xcaPBKguGt2EhVk3sqEkQucbhgbS2Ayk9HJ4m0eHXE0WTVbFNYkiM6ae1yguGjGcuI87ivB5xjivm64/Zm8Xx+Bb7QIT4furrVPhbZeCrnUJ7qVGgv7WG6QSp+4YyRSG6ALEqyiMHa2cDoNY+AniTUvHWoyiLQTpF54st/FQ8QPcSf2rF5VvHH9kEXk7Sp8ry/M84fupGXZnqAe46N4n0fxE1wuk6tY6o1vtEws7lJjHuXcu7aTjI5GeorB0P4x+B/Emh6jrOn+K9Jl0rTruWxvLx7pY44Jo5WiZXLkY+dGAPRhgqSCCeD+BfwHu/hJceFXMek28en+CNP8O3y6aCvn3kDFnlHyLuQl5CGbDEuxIGTXP2/wACvF2iXVlPZ6V4W1OPRvF+r6/aWV5fSwxX8F812wMpFq/kzQG62rgShlD8puGAD6Auta0+y0l9UuL+2g0xIvPa9lmVYRHjO8uTt245znFch4S+Mug+Mrq9SyMiWlq98r6hLLCLYravEkkgYSElD5ysGxjAOSvAPDS/AvW7P4C+GvCNq+k32raPqtrrDafcu8Wmz+XffajZhhGzLEgOyNvLOPLjJTjFcnov7MWvQnWJNU0rw1LZ6lZeIoJdD07Ubi1gDajeWM6Is624ZQq20u6QIDuKkLydoB9C/wDCdeGv7N07UP8AhIdK+wajIIbK6+2xeVdOSQFifdhzkEYUk8VL/wAJhoP27ULL+29O+2adH517b/a4/Mto8Z3yLnKLju2BXh2l/Bzx/Y6p4U1vV7fwx4y1Gy0/UtKurXWLpo0tobi8SaKWN47PbPKIo1jk/dQ+YVByOc8p4o/ZU8X+JPCmp+HNvhq0WG18SJaa4lzMbrVX1NZwi3aeQPKUGcPIQ8u54UIA6AA+lm8eeGV02TUW8RaSunxyvA92b6LylkQEuhfdgMoBJGcgA5qxL4r0SC6022k1jT47nU132MLXSB7tcZzEM5cYIPy5614zdfs3mT4uWOvRWWgp4WtvEFvrA0vysbRFo1zYgrF5ezeJJICOeFjzkFQDw3h39knxDouq6Kt+dO1nSY7XS7eaGHWJbL7CbG8mni8kC0kMiASIyruhwysM4bcoB9CeKvjB4I8EQ3UuueKtK08Wt1bWVwj3Ks8E1xIscKuiksm5mHJAAGWJCqSNrVvFmh6BpUWp6prOn6bpsxUR3l3dRxQuWGVAdiAcjpg814A/7P8A4rT4e6r4XXRvCNzcW2tpren61NeSi41Nl1mPUTHdD7MfJLqnlsyvNliDtwMV6D8ZfBXjDxt4f8PWvh/+ybRopWOqWk86oDG1u6bIZ2tZsBXZc4jQuoI3LkqQDv7vxXomn39rY3WsafbXt0UW3tprpEkmL52BFJyxO1sY67T6Vi3XxS0CDx9pfg+G7jvdZvRcF47WWN/shiRXImUNuQsGG3jnBrw+y/ZW1pfCn2W9fQ7rXIvCHhXQba/cuzRXOmXE01w6uYtyoxeIoRySnzBcA1sfDj4B+JPCvxI8OapfWfhoafoM+uuNXtZ5G1LUlv7gzK0qGBQhUn5x5j7m+YY6UAe33XjHQLG7vLW51zTbe6s4WuLmGW7jV4Il27pHUnKqN6ZJ4G5fUU2bxp4et7HTr2XXtMistSdY7K4e8jEd0zfdWJt2HJ7Bc5rxXxx+zfqfiC3+IV5YPpcOta74t07xBay+YYmntrWCwUW083lOY/3lrKy4WRVJRsE5Ap6D+z/r3hPWPD2r2Hh7w7qfl2uqWt9pGt61NcRWsl5eR3D3MEv2PDs+xt8XlRjJAD4BJAPef+Ew0H7dqFl/benfbNOj869t/tcfmW0eM75FzlFx3bAqFvHnhldNk1FvEWkrp8crwPdm+i8pZEBLoX3YDKASRnIAOa+afFH7Kni/xJ4U1Pw5t8NWiw2viRLTXEuZjdaq+prOEW7TyB5Sgzh5CHl3PChAHQdxdfs3mT4uWOvRWWgp4WtvEFvrA0vysbRFo1zYgrF5ezeJJICOeFjzkFQCAezS+K9EgutNtpNY0+O51Nd9jC10ge7XGcxDOXGCD8uetYnir4weCPBEN1LrnirStPFrdW1lcI9yrPBNcSLHCropLJuZhyQABliQqkj578O/sk+IdF1XRVvzp2s6THa6XbzQw6xLZfYTY3k08XkgWkhkQCRGVd0OGVhnDbl33/Z/8Vp8PdV8Lro3hG5uLbW01vT9amvJRcamy6zHqJjuh9mPkl1Ty2ZXmyxB24GKAPbvE3xO8KeDZPD6a1r9jpv/AAkFz9k0xppQEupPKeXCt0A2Ix3EhclRnLKDW8CfFTw/8QLa8awvIobuzur22nsJ5oxcRi2u5rV5WQMSEZ4WKseoI6HisT4o+BNZ8XL8PdS07T9Hm1Lw3rceqTaffXLpbvG1nc20iJKIWOV+0h1zGN3lAHbnI8l8Sfsj6trPhGbTbG60bSdSu5PFjXd/ArBp11O7kmgVyIwXG3ylkB6BcLuwKAPpbRNf0zxLYLfaRqNpqtkzFVubGdZoyQcEBlJGQazLX4jeE76O9e28T6NcJYsEumi1CJhbsW2gSEN8pLcc454rz3wD8OtT+H/gLx3cXOkLFruriW7kt7DVn1M3MiWiRIVJgtQrkRqm0AZCqS4JwvhXwQ+D+seMPANx4b1XQJRNFN4TurvU9ct5YLe7t7G6R5LEQSafakvHFbsM7JAxmVWkGMKAfWdr8RvD8+n6hqM2p2ljpVpcx241G6u4Vt5/MiiljeOQOQVZZlAzgk9BggnFt/jn4Rj+GuleOtW1FfD2galPDbQy6kQpEss4gjU7Sw5cjnOAuWYgAkee658B/EUPi661/TbPw7rEC+LX1y30PVLiSC2e2fRINO+Zlgk2So8bsoCMpRiMgtxZj+BGt2f7MXh7wBEmhz69otxp15FCWeLT5HtdQiu/KDeWzIjLEY87Dt3dCByAerR/EHQ1stVvry/ttM03TrlLaS/vbqFLdy0UUqur7yApEygbtpJzxggm/rHiG30fT7W8ZGuobi5t7ZGgZOs0qRq+WYAqC4JwSSOgY4B8A8Xfs8+Lda1a61u2m01bhvFn/CQJpMeovBE0L6Lb6ey+ebaTbIkkchX90QyNjKFjt7q7+D1ynwd8E+DtKjtdNOg6jod0beW9kuY4obK+t7iSNJjGrP8AJCyoSiAnbkIOgB6RpviLStZvL+10/U7O+urCTybuC2uEke2fn5ZFUkoeDwcHiqVx4+8MWcV/LceI9Jgj09lS8eS+iUWzMzKokJb5CWVgM4yVI7GuG+C/w78ReAdf8V/bUsNP8M3sqzabpVrfNfPBM01xLcP5z28TrG5lRhCxkCNv2sAQK8/1T9mPWrfw3oR0oaV/bFh4t1rxBeQxXRs0v47ye9MRaf7PKRNHFdIPmjYcOgYAhqAPoC+8XaFpd1Z215rWnWlxeIZLaGe6jR51GMsgJyw5HI9ah17xppehaHeaobiO8jt4biYQ208XmTeTnzVTc6qWUqQcsACOSK+WPiJ+zv4g8JeD54tG8M6NrOmSaZ4dsFhlvJ72+0k2N4WMdr/o37+PEuQxMJTDttIwK1/Fn7NPxA8SaDq/hxJvDcGlJB4sj0+9a+uDPcNq0sssPmx+RtiERl2tteTdjcMfdIB9K3XjHQLG7vLW51zTbe6s4WuLmGW7jV4Il27pHUnKqN6ZJ4G5fUVm+KPid4a8KeEX8R3esWUmmtbyXFq0V1F/pu1C+yAlgJGIU4APNeS+OP2b9T8QW/xCvLB9Lh1rXfFuneILWXzDE09tawWCi2nm8pzH+8tZWXCyKpKNgnIHNax+y/4hbQVt9N0Tw1dNf6LrmlXmna9q011DZTX9wk5u4ZBZjzCWUl4vLiGSuH4JIB9N6Hq0WvaLp+pwK6QXtvHcxrIAGCuoYA4J5wavVzXgHTdY0PQINK1aKxRNPit7W0lsp3kM0aW8Qd5AyLsbzRKABuBQIcgsVXpaACiiigAooooA+AP+C1f/ACaz4W/7HO1/9Ib6ij/gtX/yaz4W/wCxztf/AEhvqKAPX/2Zf2Zfg9r37Nvwo1PU/hP4H1HUr3wlpNzdXl34cs5Zp5Xs4meR3aMlmZiSWJySSTXpf/DJ3wQ/6I38P/8Awl7H/wCNUfsnf8ms/Bv/ALEzRv8A0hhr1WgDyr/hk74If9Eb+H//AIS9j/8AGqP+GTvgh/0Rv4f/APhL2P8A8ar1WigDyr/hk74If9Eb+H//AIS9j/8AGqP+GTvgh/0Rv4f/APhL2P8A8ar1WigDyr/hk74If9Eb+H//AIS9j/8AGqP+GTvgh/0Rv4f/APhL2P8A8ar1WigD5f8Aix+zL8HtN8efBi3tPhP4Htbe/wDFtxbXkUPhyzRbmIaFq0ojkAjw6iSKN9pyN0anqoNel/8ADJ3wQ/6I38P/APwl7H/41R8ZP+Si/An/ALHO5/8AUe1mvU5JEhjaSRlRFBZmY4AA6kmgDyz/AIZO+CH/AERv4f8A/hL2P/xqj/hk74If9Eb+H/8A4S9j/wDGq7DwR8R/DvxGs5rrw7qH9o20W0mYQSRq6uMpIhdRvRgCVdcq2OCa6WgDyr/hk74If9Eb+H//AIS9j/8AGqP+GTvgh/0Rv4f/APhL2P8A8ar1WuW8VfE/wx4L03UL/VtWjjtdOnFtetbRvctaSGITBZViVmj/AHbK/wAwA2sp6MMgHJ/8MnfBD/ojfw//APCXsf8A41R/wyd8EP8Aojfw/wD/AAl7H/41XQeHPjN4N8VxvJp2sqypZPqJ+028tufsyEB5gJUUlAWX5hxyKuWHxQ8J6pY6Je22vWclnrWlya1YXG/bHNYxrE0lxuPCooniyWxjeKAOT/4ZO+CH/RG/h/8A+EvY/wDxqj/hk74If9Eb+H//AIS9j/8AGq6TwT8XvB/xEvprPw/rcN/dxQLdGAxvE7wMcLNGHVTJETwJEyuSOeaQ/GDwcvjeXwg2uQx+IY7hbNrWSORV+0NAtwsIkK7DIYXWTYG3bSDigDnP+GTvgh/0Rv4f/wDhL2P/AMao/wCGTvgh/wBEb+H/AP4S9j/8arej+NfgqS38R3C69F9k8OwXF1qV2YZRBDFblhOwlK7JBGUYNsLbSCDg8VqeDPiH4e+IVveS6BqaXxspRBdQlHimt5CoYLJE4V0JVgw3AZBBHFAHG/8ADJ3wQ/6I38P/APwl7H/41R/wyd8EP+iN/D//AMJex/8AjVdjZ/Ebw3f6RouqW+rwS2OtXIs9PlXd/pEx3/u1GM7h5cmQQMbGzjBqbQfHegeJ9e17RdK1W3v9U0GWOHUreEkm1eRdyKxxjJAPQ8YIOCKAOI/4ZO+CH/RG/h//AOEvY/8Axqj/AIZO+CH/AERv4f8A/hL2P/xqtmL45+CJo/Esq63i28NxXk+q3bWk629slo7Jc5lKbGMbI4IUk5VuODWv40+I3hz4ew2b69qa2T3rtHa26RvNPcMq7m8uKNWd9o5JCnA5OKAOP/4ZO+CH/RG/h/8A+EvY/wDxqj/hk74If9Eb+H//AIS9j/8AGq73R/GGh+IPC8PiPTtWs7vQZYGuV1KOZfI8tc7mL5wAuDnPTBBxg1zHh/48eBfFWpaZYaTrq3t1qVyLW0RbaZfNY289wrKWQAxtFbTssn3G8sgEnigDJ/4ZO+CH/RG/h/8A+EvY/wDxqj/hk74If9Eb+H//AIS9j/8AGq9VooA8q/4ZO+CH/RG/h/8A+EvY/wDxqj/hk74If9Eb+H//AIS9j/8AGq9Jh1a2uNVutORpDd20UU0qmJwoWQuEIcjaxzG+QCSMDIGRm5QB5V/wyd8EP+iN/D//AMJex/8AjVH/AAyd8EP+iN/D/wD8Jex/+NV3+seKdN0HVNC069nMV3rd09lYxiNm82VIJbhlyBhcRwSNk4Hy46kCtagDyr/hk74If9Eb+H//AIS9j/8AGqP+GTvgh/0Rv4f/APhL2P8A8ar1WsnTfFOm6vrmsaPaXBk1DSGiW9i8th5ZlQSJyRhsqc8E470AfOv7Qf7Mvwe0XwHpVxp/wn8D2Fw/i3wxbNLbeHLONmil12wiljJWMEq8bujL0ZWYHIJFel/8MnfBD/ojfw//APCXsf8A41R+0t/yTrSP+xz8J/8AqQ6dXqtAHlX/AAyd8EP+iN/D/wD8Jex/+NUf8MnfBD/ojfw//wDCXsf/AI1XqtFAHlX/AAyd8EP+iN/D/wD8Jex/+NUf8MnfBD/ojfw//wDCXsf/AI1XqtFAHlX/AAyd8EP+iN/D/wD8Jex/+NUf8MnfBD/ojfw//wDCXsf/AI1XqtcZ4m+Lnhrwn4w0Pwve3bvrOqzRxrb28Zk+zLIJBFLOR/qo5JIjEjN952AHRiADnf8Ahk74If8ARG/h/wD+EvY//GqP+GTvgh/0Rv4f/wDhL2P/AMarq9B+KPhfxN4ovvDmm6sk+tWaPLJaNFJGWRJBG7xllAlVXIVmQsFYgEgkU3/ha3hQeOk8HNrMSeI5Nwjs3jdRIyx+ayJIV2M6x/OUDFgvJGOaAOW/4ZO+CH/RG/h//wCEvY//ABqj/hk74If9Eb+H/wD4S9j/APGq1tH+PPgXXfCt34ks9dzoVssDNfTWk8McnnELCIt6DzS5KhRHuLFlA5YZ3NN+InhrVvB9x4qttZtf+EetkmkuL+ZvKS3EJYTebvwYzGUcMGAKlSCBigDjf+GTvgh/0Rv4f/8AhL2P/wAao/4ZO+CH/RG/h/8A+EvY/wDxqtdfjx4EbQ21Ua+n2dbwacYfs032r7SY/NEQt9nmlzF+8ACcp8/3ea7DQ9c0/wATaNY6vpN5DqOmX0KXFtd27h45o2AKurDqCCDQB5x/wyd8EP8Aojfw/wD/AAl7H/41R/wyd8EP+iN/D/8A8Jex/wDjVeq0UAeVf8MnfBD/AKI38P8A/wAJex/+NUf8MnfBD/ojfw//APCXsf8A41XqtFAHlX/DJ3wQ/wCiN/D/AP8ACXsf/jVeafFj9mX4Pab48+DFvafCfwPa29/4tuLa8ih8OWaLcxDQtWlEcgEeHUSRRvtORujU9VBr6gryr4yf8lF+BP8A2Odz/wCo9rNAB/wyd8EP+iN/D/8A8Jex/wDjVH/DJ3wQ/wCiN/D/AP8ACXsf/jVeq0UAeVf8MnfBD/ojfw//APCXsf8A41R/wyd8EP8Aojfw/wD/AAl7H/41XoHijxTpXgvRZ9X1u+j0/ToSivNLn7zuERFABLMzsqqoBLMwABJArNtfiZ4YvPA974xi1eFvDdjDcT3V8VZRbrBu88SKRuVoyjhlIDAqQRmgDkf+GTvgh/0Rv4f/APhL2P8A8ao/4ZO+CH/RG/h//wCEvY//ABqu68I+MtK8caW+oaPLPNarKYS1xaTWzbgASNsqK2MMOcY/KoNJ+IXh3XbbwzcWGrQXMPiW0+3aQ6ZxeQeWsu9OOmx1bnHBoA4z/hk74If9Eb+H/wD4S9j/APGqP+GTvgh/0Rv4f/8AhL2P/wAar1WigDyr/hk74If9Eb+H/wD4S9j/APGqP+GTvgh/0Rv4f/8AhL2P/wAar1WigD5f+LH7Mvwe03x58GLe0+E/ge1t7/xbcW15FD4cs0W5iGhatKI5AI8OokijfacjdGp6qDXcf8M6/s7nXjoY+GPwxOtCPzjpv9gad9p2f3vL8vdj3xitP4yf8lF+BP8A2Odz/wCo9rNeQ6a+peD/AId+MNGsvBusH4xQ6hrmoW+tJ4bluFlklluHiu4L5ojAztauscaGTcDtiK4BFAHr3/DJ3wQ/6I38P/8Awl7H/wCNVTh/Zm+AVxq11pkXwn+HMmo2sMVxPaL4bsDLFHIXEbsvlZCsYpACeuxvQ151pPizxX4b8Y6dqdi3jvU/hhb67CkjappF/PqJV9LvRMDA8P2p7cXP2LBKELIzYwi/LzGgv8R10rVNe1Gw8V2NzqGk+FYNWvILCY6ktquqan9sWJVQuZUhlj3CMF1STcvJU0Ae2ad+zL8AtYW4Nj8J/hxeC2ne2mMHhuwfy5UOHjbEXDA9QeRRD+zN8ArjVrrTIvhP8OZNRtYYrie0Xw3YGWKOQuI3ZfKyFYxSAE9djehrznS/Aesa5+yb8a9CgtfEsl9q8niBtLTVIZbbUbxZEc2+VZUc+Z8q/MAzA4bktWfqPhnxH/wkWv8Ai7wjceNoRa+HfDA01Li3uUe/kTUb83EdxHNH5kpSKTDI33VlDYB2MAD2L/hk74If9Eb+H/8A4S9j/wDGqP8Ahk74If8ARG/h/wD+EvY//Gq4X4G3fxDv/irqMvirU9Utij6ol7pF1p199kkUXYFm8EzxC2QJCAF8qQmRXJcM6sVpfEK1+I9u/wATtc0y/wDErCPxPp+m2dlEsxii0Ywac91NawxRmSRi7XCmSMO6gSiPDA0Aej/8MnfBD/ojfw//APCXsf8A41VPWP2ZvgF4f0m81PU/hP8ADnT9Os4WuLm7ufDdhHFDGoJZ2YxYCgAkk+lecabqXjjSZfhxPPqviXxZCdSmifTItM1WwfyJb9FjmmuHgAcW8W8FLsIJY8uG3YZuZ+J+tfEHxV8PvE/hD+yPFt/qCWHjSC/U6Rc/Z7hHkn/stI5fL2TboWj8sRlsDCnDcUAe8/8ADJ3wQ/6I38P/APwl7H/41UN3+yz8CdPtZrq6+EPw7traFGklmm8M2CpGgGSzExYAABJJql8JfDr+Hfjj8Y3uV15JNU1W21G0a7Fy1hNbnT7OMtFIw8neJYpU2ht6qgGAoFeIfEK1+IfjLwT4y0nHje51+80rxPDr+nNZ3Men+Usc/wDZyWLeWI5GZhbKogZmkR5PMy2cAHuPh/8AZv8A2ffFej2uraN8K/hvqmmXS74Ly08N2EkUq5IyrCLB5BH4Vo/8MnfBD/ojfw//APCXsf8A41TviJZ674L+EmmXvhl9Xv77w3LZ38tjGZLq71G1jdftVvg5eV2gMuxeSZFjx6V4k3iL4p2/iPwMLjTvFkes3F7pOoag/wDpktmlvfaizXloYo4DbgWtvJ5TPNIHURoygY3MAe1/8MnfBD/ojfw//wDCXsf/AI1VO1/Zl+AV7fXtlb/Cf4cT3lkUF1bx+G7BngLruQOoiyuV5GeorybWh8X9F0G/1nR73xbfa1qJ8WQvZzweZHaxRXsn9nNBEybVfyUBiJz5u8A7xtAxXbXNG1DxjJoen/Ee+0fW9Xs1tNYvodTtLqNI9Nb5n2WxunTzl2DeoXcRufbtVgD2u4/Z3/Z3s9QmsJ/hh8M4L2EW5kt5PD+nq6faJGjt8gx5HmOjqn95lIGSK1P+GTvgh/0Rv4f/APhL2P8A8aryLQ4/iDfSafr9/pWrx69qWjfDkanKdPdGMq6ncNqSMu3CmNJWMgwPLVsnaMVYjvvH9/Y+LtIs7rxdNPJ4m0XZ4ljtry2Y2c+r7bmKK2uYQsJgtsh5Id8TIVf5TuFAHqv/AAyd8EP+iN/D/wD8Jex/+NVHP+yr8DLWGSab4P8Aw9ihjUu8knhixVVUDJJJi4AFcN8PdL8c+F/GuhXWo614q1DSW8Ra5pd0mssz20OlRJO9nKxKD+KOMLcOSzh8FmBUDp/jRd/8LU+Beh65oWm3uv8Ah69vdH1q70qO1f7Tf6WLmGeaPyGAZyYhuMJGXClMEtggE2h/s3/s+eJtPW+0f4W/DTVrJmKi5sfD2nzRkjqAyxkZFaH/AAyd8EP+iN/D/wD8Jex/+NV458cvHmqNoE0/wq8IeMNJuvsl7fW15ZaHqWmpcahEkAjWS0W03TMy4UG52RlYmA34yvZ3Fr48j+K2pa0moeJnsYvHVrptvpuxjp50h9KtzNIE2fMn2h5D5pJ2vGQCPnBAOkh/Zm+AVxq11pkXwn+HMmo2sMVxPaL4bsDLFHIXEbsvlZCsYpACeuxvQ1c/4ZO+CH/RG/h//wCEvY//ABqvKfjVa+J9M+OHirUvDyeMLfWbvQdBg0GTR7CeTTLq8jvb8yR3ciRtGEVJk3CVlUJIzfeCkbnwNu/iHf8AxV1GXxVqeqWxR9US90i606++ySKLsCzeCZ4hbIEhAC+VITIrkuGdWKgHdf8ADJ3wQ/6I38P/APwl7H/41R/wyd8EP+iN/D//AMJex/8AjVecfEK1+I9u/wATtc0y/wDErCPxPp+m2dlEsxii0Ywac91NawxRmSRi7XCmSMO6gSiPDA1xmveJ/FWm/wDCJaPqvirx1dx3egeJL21/4RzSb9b554ruzWxSZHg89hGJmQSSKqvlN5YOSwB7dY/szfALVLi/gs/hP8Obqawn+zXccPhuwZoJfLSTy3Ai+VtkkbYPOHU9xVz/AIZO+CH/AERv4f8A/hL2P/xqvFJJfHuh+G/Ea6toXiOLW9d8UQS3l7on2yFIpB4esA8oNpDJJJGbiJ4xtAj3rhm42nf8G+IPH2par4buPFzeLrTW5fCejXGl2dnp1wmnzam8MhvhfmOIpGwk8tWScoEXBTDEmgD0z/hk74If9Eb+H/8A4S9j/wDGqyJv2ff2dLfSdU1WX4Z/DGPTdKMq3943h/TxFamIZlEjeXhCgHOenevIPCWqfFI+ALm81PWPFrtMdETXrKPR9RGo2ebjGozWrSQLuLIdrR2gdUVN8QXKlt+28J61cfsi/G/TLXTvEl5f6o3iFtMh1WykTUryOVH8hvKdFdmYFcbl3Hjd82aAPV/+GTvgh/0Rv4f/APhL2P8A8ao/4ZO+CH/RG/h//wCEvY//ABqvD9e+IHjz4d2us+M/D8ni7XvCmm6ja2Vrpfiq2mt7vULi8t2tyipOkchRb59Pwdu1d9yE+XAHp3xgHiTwf8MvBegxP4k8Q6kdlnfa7pU12kvmx2rnz5vskMkp8yRRhQFTcw3MBhWAOi/4ZO+CH/RG/h//AOEvY/8Axqj/AIZO+CH/AERv4f8A/hL2P/xqsPVrrx3r37N3w+kaXWtM8Z6k3hpdZlsbfy723825tBqBKFD5e1Gn35XCANnAFcr4R0n4k+G/Eemzw6p4o1gPrmv6ULbXC0lqthFHcPp7udg4MkcIE7Es4kwXYFQAD0b/AIZO+CH/AERv4f8A/hL2P/xqqenfsy/ALWFuDY/Cf4cXgtp3tpjB4bsH8uVDh42xFwwPUHkV4paa58R20XT5LO5+IcumS6fpZ8ZTX+mXKX1tdteQi7+wIYQx/dG4Di1VkVAjRYbBODDa/EjR7O4s9Ku/GOg+Hb7Udeu7TV7nSNQkvjdNcQ/Y5riG3t2lYeUXZVlQJJ8wky+BQB9K/wDDJ3wQ/wCiN/D/AP8ACXsf/jVH/DJ3wQ/6I38P/wDwl7H/AONV554gPjTS4viVrupP4v1hv7dsdI06w02W6tbaKxe105prqFIIpJigma43PGruAHQFPnYc14Q07xlf6/8ACfxPr9v4qbWrfTvFGkxNLDerGJhqMB04XihAyRywQZMkyqHCIXOdtAHrmqfszfALRLeOfUPhP8ObKGSeK2SS48N2CK0ssixxRgmLlmd1UDqSwA61c/4ZO+CH/RG/h/8A+EvY/wDxqvCPB9n8RPE3g+wfXrrxBql3/bPhG5v9J1HSb9ZLW7j1aCS8nWSaFE2BVJdIC0SCIOu1Wy3qHwP1vxjrHxQ8UeH9cvr2bTvAYm0lrmVgV1Wa6mF1bSOf4ngsfsqk92uZPbABt6p+zN8AtEt459Q+E/w5soZJ4rZJLjw3YIrSyyLHFGCYuWZ3VQOpLADrVfUP2d/2d9KneC8+GHwztZ0e3iaKbw/p6urXEnlW6kGPIMkgKJ/eYEDJFeT+Jl+Iev8AhjxlpWk2usa9rdv4q0HUNK1rWrLUIbN2/toSCNrWWNTElukcfmvblo2jCvlTkVZt7Xxl4ltYlvNL8VzpFdeCJpV1uzYzi7i8QXD6ixZUCMsYRGLR/u1i8tlxGVJAPV9L/Zm+AWuWrXWnfCf4c31ss0tuZrfw3YOokikaORMiL7yujqR2KkHpRqH7MvwC0lrUXvwn+HFobudba3E3huwTzZWBKxrmLliAcAc8GvENatfiToehabpdhJr3hfSZr3xZcLe2GmX08kV8+tzvaSSxW0MkjIYXMiK6+VIGO7d8lb+uWni3XvjDoy6yPF13qGn+NbOaKC102caGulLYjE4fyzED5zSZ+fzQxKn5ABQB65/wyd8EP+iN/D//AMJex/8AjVH/AAyd8EP+iN/D/wD8Jex/+NV6rRQB+Zf/AAV2+CPw6+Gv7NvhvU/CPgDwv4V1KbxbbW0l5omjW1nM8Rs7xjGXjRSVLIh25xlQewortf8AgtX/AMms+Fv+xztf/SG+ooA+qv2Tv+TWfg3/ANiZo3/pDDXqteVfsnf8ms/Bv/sTNG/9IYa9VoAKKKKAMyPxNo82vS6HHq1i+tRRefJpq3KG5SPj5zHncF5HOMcitOvl39n218YeG/iG2k3dnqEwuNS1+6199Q8PtbQwM16z2s0F8UAuDKjJ8oeTCYGI/L219RUAFFFFAHlXxk/5KL8Cf+xzuf8A1HtZr0vVIxLpd4htBfhoXH2UlQJsqfk+bjnpzxzXmnxk/wCSi/An/sc7n/1HtZr1WgD5V034V+ONQ8Gal4Ut9J8R6V4Fj1fw3/ZOi69q1s2o2drDqCPqMS3FvO5NstukYRXlaXiVRlTGK0/BPwN8QeA/FWk6tpOkzwvDr2vJKsuqkxjSZI7hrGDBkbbCJfs5WNB+7JJ2r81fS9FAHxt4T+C/xE1XQPEOn6r4Yn8Padq174Tnm0uzu4bSLMOos+rNH5V5MwHkCMFzIHlCjgtXe6T8EX8KXnx20/RPBa2UfiSz/wCJLqNvJAsM0Z0u3tvsuDJ5iMJ4ZG+ZQmGB3dQPoyigD5w+MXwe8WeIvBvw5t9BsBJqY09vCXiBftMcbW2kXsESXsqsWAdo3t4WCqSTg7cmuct/2cfF2o+HPi14cmtLWxsl0i88P+DGmnQwy2tzcz3jqwQkxxfvLS1IYA7bQnBBGfrKigDxzQbHxP4++MHhrxZqng2+8EWHh7Rr+yZNUurSae7nupLU7I/s00o8pBaklnKlmZMLwTXnOufCXxvc/HzW9XstI1oafP460vxBa3kl9YnRGs49LsLS5eWAyG5NwBDdLHiPAcQtnAJr6pooA+T/ABP8L/HWp+E/jD4Z8LeGtc0Twtr/AIR163g0HXNQsZYZNauQfJbT2SZ2hhkMlwzrMyIpeLaqfvAPWvg/8PdZ+H/jX4gDVJbvXLfVLizvrTxJqE8b3NynkeU1rIqbQvkNGSpWNFK3C/ecSNXq1FAHzx4e+EPi/Tvi5rcccNvZeDdHuNS17wvezusyDU9RjUPuhVgwEEj6ixztDLfKFOVarf7O3wj8ZfC3xx4s/t6TS7vSLrTtPjh1GzjdZb66Rrh55pA0jHezzM7kgbmkyOhFe+UUAfM8/wADfGH/AAzv8atDF3qV1rXiePxlHpfhua4tPsgN9e38lo8bhQymRJomPmSkL5rBguML0mpXXi+T4meHviHF8NfEEtva6Tf6DcaHLeaWNQgMstrMlzHi8MDRN5LIwMocFUO0jmvdKKAPAl+DPiPWv2ZvHvhOaO10rxF4rk1rUE0+SUPBave3M06W0jpkEYkCyMuRlpCuRjJ4s8O658dNb+HcfiH4b6p4e0TRdba81K31TUbNlkjbTL+H5RbXDl4xLJAuGwWEnKbQ1e+0UAfHNn8LfirFqXw5gm8MSCbQJtFU68t5BNcrax37fbIpZ3uw4UWuBsjifzAx3MT8q878YfBd14A8MaFb6rHbWWreJPFfiC71NtavY5YLm18y/ay3GW8t4vkiuIpI4/PUowyEJVin3RTXjWRcOoYZzhhmgD5SsfhrrPjjwnp8vh+z1c+D9U0jwKtr9qu1s7p7a21Gaa/8xUkBjf7NIhfafn3YQtjFeSfHDR5vAuvnwv4h3WXhG1j1i/s7AzwTTxWT30DxNYJNeQDzwqSoir5zKsmzygGVZP0KprRq5UsoYqcjI6H1oA8r+MHwyX4max8LopdKN/4e0vXJb3UoWl8kJbnS72FN67lZlMssKlBnO75ht3V4boXwQ+JK6/4THiGPX5baws9Lgsb3Tbq0uJdKa2u5WlWSSa6RgHj8ne8aymWPKNkqqn7IooA+Pp/hf8WdT8QfEC8sfDx8Ly6r4e1qz3WN5Fbx3t215A1mwmW6klaRrcTgTukRjMhACDAHq37PPgG68H+I/iBfjwhd+CtF1e6s5dO0y9vIZ5FWO2WOT5YZpUjG8E7Q2Oc9SQPa6KAPKv2lv+SdaR/2OfhP/wBSHTq9Vryr9pb/AJJ1pH/Y5+E//Uh06vVaACiiigAooooAK8A+LWm+IY/jJpE/gbRPEGn+LL6G1+0a7Dc2v9h3enW90nnxXsUkhfeiXUnlmOMSEy/K+1X2+/0UAfOGov4l8KfGDWviVdeGvEzaNpnh/ULSS11a5sbhriZp7d7a30pIJWdfOaMhvO27j5APKnbv6vH4t8UfHrTLzWPAOtf8Ir4X8yXQ7y1u9OaCe8mtXjlupg10JlCRyywIgjPMkjscFdvuFFAHyZp/wu8caZaWMegeG/Edp4J8M3eh3Wl+EfEeq2dzfSNayyrcLbyC4kREWFoNiyzAF4eNgO5uj1L4d+Mta+E/xA0ZPDU1nqXi2+1DXoLa4vLby7Vllt/Isp2WRh5lwkbMWTfGh3hm+7u+kKKAPmGTwb42b40xfFoeB9T+zfbFt28MfbLH+0fJFg8P2vP2j7Pu819m3zs+X83X5a9i+Bfg/UfAnwp0DRtWjjh1OJJJri3icOkDyyvMYgw4YJ5mzI4O3iu8ooAKKKKACiiigAryr4yf8lF+BP8A2Odz/wCo9rNeq15V8ZP+Si/An/sc7n/1HtZoA9VooooA84+OXhzWNd0DQLzRNPfWLvRNfsNXfS4pY45LuKKT94iNIypvCsXUMygsgGRnNchoHg/Vn8C+PNK8R+B9Vu9P8az6xqF1pdnfWiT28MoigS0L/aFUTzRF5NyOUQhwZAdpb3aigDzL4G6b4s0+18SHxCmr2ulTakH0Ox8Q3kN3qNta+REHE0sTupBmEzKC7sFYZI4Vfnmz/Zl+JGg/CP4XWmk6jrZ8TaV4Kn0y+s7vWIhFpt22nwx+TA6fcJdXjWRCwXhs8A19p0UAfLOk+A/Gfhjxjp3ijw/4E1nSvClnrsNyvgpdSs/tQU6Xe209wg+1G3CtNPakp5uT5LyY3HB2v2e/g74j0XxZbeIPHGlzRahYeG9PtLFptRFwlvd/aNSN2FVXKlvKmth5hXkNgHhgPoyigAooooA8q+Mn/JRfgT/2Odz/AOo9rNeq15V8ZP8AkovwJ/7HO5/9R7Wa8nW48bax4Z1O1bVPH9j46uvE9ra6oIbG4js7OwbW4oy1m7QmHYtkSd8TN8m55ORkAH1bWT4b8WaL4xspbzQtWs9YtIp3tnnsZ1mRZU+8hZSRkZGRXzzFe+MD+0FpPh+ztfGNt4bju59H1G8vLi+nhuLJdJkeK6EphFvGTcLGBIsrSl924jdtHP8Awd+Gd74Nuv2bbzVIPGEH2Xwhd6fdxsb2RbS9k/s6RILlFB8lCIpwRIFQeUoJGFFAH15RXyx8bPFnikfGfxPo3h/U/Fv9rWeh6HdeH9O0W1ll083st7erKbxkjZFRkiQN5zKmxXI+ZQRzsupfGGTSfibd/wBqeILXxNBo3iARaTDpV/KjziVv7Pks5Gh+zhkQKEELs0oclwzqxUA+yaK+eLy38V+B/jBpOlaPe+JvGFo+nSQRjUjepBZT+TdTfaLify/stykkhij2l1kiIjCDblR59pt58S9X0vSLfSNS+IMX2yHQY/EtzqunzQXFrqEmqWqXZtRLCFCC3a7MhhDQIqxsMAkkA+yKp6hrFjpLWovbyC0N3OttbiaQJ5srAlY1z1YgHAHPBrzD4O+J7vR9QvPBGv3WrXWrLqGrTaVJqkcjyyaZBcRKjvMR8wH2mNUdjlwp5YqxryX4iW/jTWviwu2DxZd6xpvjKGfTLJbGY6CumLYfupWlEfk589m3Nv8ANDFgf3YAoA+taK+LW174q/8ACM282gTeOblJNL00+K213TbuO4t71ruIXX2JPJ3keUbgOLRWVVCGL5sE9VpupeONJl+HE8+q+JfFkJ1KaJ9Mi0zVbB/Ilv0WOaa4eABxbxbwUuwgljy4bdhmAPqiivDvjzpPi/XPFVtbaDqniTS9Nt/CWt3u7QSUWXUo3svsaOwQ5b5pysefn2sCGUMK4Sx1T4ieIPFlrFqMnjGx8S3OtWURtLezuINHTRHtIjcuZRH5KygtcNkuJ1mVVGFwCAfVlFfMnw90/wAReE/2D59O8Pw+JrXxtpXhOW1jt7y2uft0GpRWm3ZbpKu5lWRQE2BkPG3IrI+IEXxL8J69f6HY6j4q1DwYmt27z6rIl3cXXkyac5KpLaxNN5P2pVLeUuEZgp2xkqAD6yqncaxY2eoWdhPeQQ314HNtbSSASTBAC5RerbQQTjpkV8qNcfFlvGHhOy1DxLrCRR6bor2mrw6FqIgvpfOf7d9pgigKxu6BFZbny/LDB0CEORd+HVr4n1j46+FNS12PxhNqtnP4hj1ddRsJk0mzDTbbMW0jRiMq0KqFMTsGAzJ85oA+pbq1hvbaW3uIknt5kMckUqhkdSMFSDwQRxg1X1bVtP8ADej3eo6jdW+m6ZYwtPcXVw4jigiQZZmY8KoAJJPQCvl/XtJ8QeEPG3xem0weMoTqvifSb64uNPt7u5B0d7awiupLTCMjSq0c0ZWPMyRqdijahrY12x8VeJv2UPjJp32fxBqv2q01i28NRanay/2rc2jWxEKtHIolZzKZVTzF3sgjJyTkgH0rRXxvretfET7VOmhXXjib4dSavbrPfaxYahFqisbGYzALHB9qFv8AaBb/ADRptD7lBEW4V6x4sufGWn/s9+FjJqes6pqhl0uPXdV0jTZodSezM0YupY7by/OSQx53KsYkUFyqqwGAD2TTtYsdYW4NjeQXgtp3tpjBIH8uVDh42x0YHqDyKuV8T6BF4r0Cz1SC4b4k2Hhm6utfvdMutP0q6OpXN808Js2uVSEyBTEXKeaqxud3m5YAV12kw/GKO9Ov391rz+IovEljYHR9p/so2z6JbNcsECYMX2x5f3uSFaMgEfMCAfVVZGnf2H4ivIdesfsOo3VsLnTo9Rh2yPGBMFuIQ45A823UOufvRDPK14l+yrc+Nr5b658W6trE80mm2X2zTNZ029heDUP3n2iRJbiGOMhuAY4C0S7FK4Dgt5f4Z0H4hrJqmieELvxlouvvqfiu6uo9WspoNJhQ39zcaa0LvGsTeZK0OfLZmeOWbdwF2gH2pRXgXgf4ieIvGH7PPin4lDTtbvZfEKXOq6JoFo5S7t7IRLFbxwlUcq0ixfaMqjtmc4ViAtcb4HX4h+LItF0e9vPF2l6E3jq5t3u4xeRXB0j+w3nUNPcxLP5RvDsErhW3YVWBC0AfV9U5NYsYtWg0p7yBNSuIJLmKzaQCWSKNkWSQL1Kq0sYJ6AuvqK8E1rVviTH+y74dniGrN4qWezg1eb7LL/aP2NboJPJ5cSGTeYhljGm/DMyDdtriLqy+JtrptrrWiTarr/iC28F+KItN1KfS7mGWF3v9Pe2gYXUau8yxxv5ZkXMvlbsPySAfWWqaNYa1HBHqFlb3yW88d1EtxGHEc0bBo5FBHDKwBB6ggEVcr5Jsr7xlDo+lHUtd8Z3Hgm48Qyfb20vSNW/tWygFgTHDulgF28LXIDGREO0sIywXIVknhjxFpuvfEqHQ7vx5Zan4g8U+G7mK/wDJuSTpkq6VBdzKzRmFJVCXSuMbo0Q5VUUUAfWNrqNpfSXUdtdQ3ElrL5FwkUgYwybVfY4B+Vtro2Dzhge4otdRtL6S6jtrqG4ktZfIuEikDGGTar7HAPyttdGwecMD3FfM2vr4t0HWdQ0++n8ZQeCI/GIt7nUNHtbq51GWxTQrXyGV4Uad4muw4eWME71KswBeoPFeteMLTTfElsum+Mbi1vvFKR2OoW6XttNDbDQ7NllkFrbvK4a4Eq8KqebuDsNuwgH1RRXyYsvxY1rQ7XxBdXfiyz1nT/CPhK+TTbe2aKC41OWef+0klhEfzuEVFkj6IGBKg7WH1nQAUUUUAFU9P0aw0mS9ksbK3tHvZzdXTQRhDPMVVTI5A+ZtqKMnnCgdhVyigAooooAKKKKACiiigD4A/wCC1f8Ayaz4W/7HO1/9Ib6ij/gtX/yaz4W/7HO1/wDSG+ooA9f/AGZfhP4o1L9m34UXdv8AGfxxpdvceEtJljsbSz0JobZWs4iI0MmmO5VQdoLuzYAyxOTXpf8Awpvxd/0Xb4gf+APh7/5VUfsnf8ms/Bv/ALEzRv8A0hhr1WgDyr/hTfi7/ou3xA/8AfD3/wAqqP8AhTfi7/ou3xA/8AfD3/yqr1WigDyr/hTfi7/ou3xA/wDAHw9/8qqP+FN+Lv8Aou3xA/8AAHw9/wDKqvVaKAPKv+FN+Lv+i7fED/wB8Pf/ACqo/wCFN+Lv+i7fED/wB8Pf/KqvVaKAPl/4sfCfxRa+PPgxFL8Z/HF49z4tuIopprPQg1qw0LVn8yPZpigsVRo8OHXbI3y7grL6X/wpvxd/0Xb4gf8AgD4e/wDlVR8ZP+Si/An/ALHO5/8AUe1mvVaAPKv+FN+Lv+i7fED/AMAfD3/yqo/4U34u/wCi7fED/wAAfD3/AMqq9VooA8q/4U34u/6Lt8QP/AHw9/8AKqj/AIU34u/6Lt8QP/AHw9/8qq9VooA8q/4U34u/6Lt8QP8AwB8Pf/Kqj/hTfi7/AKLt8QP/AAB8Pf8Ayqr1WigDyr/hTfi7/ou3xA/8AfD3/wAqqP8AhTfi7/ou3xA/8AfD3/yqr1WigDyr/hTfi7/ou3xA/wDAHw9/8qqP+FN+Lv8Aou3xA/8AAHw9/wDKqvVaKAPKv+FN+Lv+i7fED/wB8Pf/ACqo/wCFN+Lv+i7fED/wB8Pf/KqvVaKAPKv+FN+Lv+i7fED/AMAfD3/yqo/4U34u/wCi7fED/wAAfD3/AMqq9VooA8q/4U34u/6Lt8QP/AHw9/8AKqj/AIU34u/6Lt8QP/AHw9/8qq9VooA8q/4U34u/6Lt8QP8AwB8Pf/Kqj/hTfi7/AKLt8QP/AAB8Pf8Ayqr1WigDyr/hTfi7/ou3xA/8AfD3/wAqqP8AhTfi7/ou3xA/8AfD3/yqr1WigDyr/hTfi7/ou3xA/wDAHw9/8qqP+FN+Lv8Aou3xA/8AAHw9/wDKqvVaKAPKv+FN+Lv+i7fED/wB8Pf/ACqo/wCFN+Lv+i7fED/wB8Pf/KqvVaKAPl/9oP4T+KLDwHpUs/xn8caijeLfDEQhubPQgqs+u2CLIPL0xTujZhIoJ2lkXcrruU+l/wDCm/F3/RdviB/4A+Hv/lVR+0t/yTrSP+xz8J/+pDp1eq0AeVf8Kb8Xf9F2+IH/AIA+Hv8A5VUf8Kb8Xf8ARdviB/4A+Hv/AJVV6rRQB5V/wpvxd/0Xb4gf+APh7/5VUf8ACm/F3/RdviB/4A+Hv/lVXqtFAHlX/Cm/F3/RdviB/wCAPh7/AOVVH/Cm/F3/AEXb4gf+APh7/wCVVeq0UAeVf8Kb8Xf9F2+IH/gD4e/+VVH/AApvxd/0Xb4gf+APh7/5VV6rRQB5V/wpvxd/0Xb4gf8AgD4e/wDlVR/wpvxd/wBF2+IH/gD4e/8AlVXqtFAHlX/Cm/F3/RdviB/4A+Hv/lVR/wAKb8Xf9F2+IH/gD4e/+VVeq0UAeVf8Kb8Xf9F2+IH/AIA+Hv8A5VUf8Kb8Xf8ARdviB/4A+Hv/AJVV6rRQB5V/wpvxd/0Xb4gf+APh7/5VUf8ACm/F3/RdviB/4A+Hv/lVXqtFAHlX/Cm/F3/RdviB/wCAPh7/AOVVeafFj4T+KLXx58GIpfjP44vHufFtxFFNNZ6EGtWGhas/mR7NMUFiqNHhw67ZG+XcFZfqCvKvjJ/yUX4E/wDY53P/AKj2s0AH/Cm/F3/RdviB/wCAPh7/AOVVH/Cm/F3/AEXb4gf+APh7/wCVVeq0UAeVf8Kb8Xf9F2+IH/gD4e/+VVH/AApvxd/0Xb4gf+APh7/5VV6rRQB5V/wpvxd/0Xb4gf8AgD4e/wDlVR/wpvxd/wBF2+IH/gD4e/8AlVXqtFAHlX/Cm/F3/RdviB/4A+Hv/lVR/wAKb8Xf9F2+IH/gD4e/+VVeq0UAeVf8Kb8Xf9F2+IH/AIA+Hv8A5VUf8Kb8Xf8ARdviB/4A+Hv/AJVV6rRQB8v/ABY+E/ii18efBiKX4z+OLx7nxbcRRTTWehBrVhoWrP5kezTFBYqjR4cOu2Rvl3BWXntBl+I0nws1n4k6x8ePGMfh+wv9TCaRY6FoL3ktvbXE1tDF5rWIQTvJEjElAo3FMDHmV7Z8ZP8AkovwJ/7HO5/9R7Wau3n7PPgPUL/V7mfSrt4dXa4e+00ateLp00k6Mk0psxL5AkcOxLhA25i2d3NAHiuj6x4zk8f6f4J134ofETRvElzfpaPHEPDdzAkUljdXcUyyDSFLA/YpoypUEMM8rgnmNJ+IXjXVbi/ng+K/j+4gmstD/sjTltvDqTzXl/e31sUllOlbFjX7Ij5C5A8zhztWvo9v2d/A8liLd7PVJLgXyaiNUfXr9tRE6QvArC8M/ngCKSSPaH27ZHGPmOVg/Z1+H1pocukW2hPa2T29jar9nv7mOWJLOeWe1MciyB43jlnlYOhDfNySAAAD5xSH4j2fwX+LvxJm+J3izS/GPh1dTtFtzp3h2XzksBK1vHNIumgyqGeQjDLxIcBCSKl8QfEfxb4T1SXw9rPxM+IemeLvtcUMOnTv4aNu0MlvLOsz3CaO23AhkjKhGIcADKnePpyz+DPhCy8Ba54MTS5JPDuuC5GpWtxezzPdG4BE7PM7mQs+Tlt2cknOeayov2dfA0FqY0stTF19sW/XVDrl8dQSZYTCpW7M3nKoiZk2B9u1mGOTkA8U8cXHxHtfgj4d8d+Fvir4+lvNXvtHg/svXbTw/bPBHeXsFu6vt0k4cedtBGQCQ3zAbWxrfxV8RdG8beItP8S/FDx5beHNP8RR6CusWcXhxvId9Kt73DxnSi0gDySKXAThosI3zkfVevfD3RPFHgv/AIRXVIru80fbCo8y/uPtIaF0kik+07/O8xXjRhJv3blBzmqS/CLwp+936Y05l1SLWpWuLqaVpLyO3jtklYs5LHyokUg8NjJBJJIB89/A/Ude+NGp3s1v8U/iLpUv9m2l9DfGz8OTCa2lMhSKSQaQNkyEEtECyjzAVZsnGDffEbxhY2IupfiV8QrWO+12+0LSGu5PDaLePZy3MdzNIV0djDGDbYXhmZpF+VVBavqnwJ8M9D+G1q9roP8AaUNkY44Y7S81a7vILeNMhI4Y5pXWFQDjCBRgKOiqBSvvgx4Sv9Fs9L+wXNpBZalc6vazWOo3Ntc291cSTSTyRzxyLIu9ribKhtpDlcbcCgD5+8LeKPE3irxJ4f00fFj4j6LFq2ix6vH/AG3B4dtbmQtHK7QwRHRyJ3j8rEm1wV3q2Cp3Vlal408Y3Oj+CrnSfi/4+hn8RWvhzVP9Ns/D0ixW2pajb2rx/LpS/vESZiG6ZAyCOD9Nr8JPDn9vaNrEy6pfXmjqv2Jb/Wby5hicQvCJTFJKyNL5ckimVlLncSSTzWDoP7NHw78NtAbLRbn/AEcWS24uNVvJxbx2lwtzaxRCSVhHFFKissa4QYIxgkEA8p+EGm/Erxd4O8Ta74t+MPjLQ4dJ1jVrJXsYdAmV4LO8uICzA6RkMFhGSM7jkgKCFHnviv4h/FKx8PaZPpvj3x3aarrCaTqOlw6o3hxo59PutQtrVzJ5ek/up1+1Q/JllHmhgz7GU/Yvhv4f6H4RbW/7MtpootZu5b68tprqaaAzSszSskTsyRh2ZmYIFDMxJBJrmdH/AGdfAOh2ZtbfSLmWAfY1iW81S7ufs8dpcJcW0MJklYwxJLGjCJNqHaAQQAKAPN/ilo/jH4Z+GLPUpfjX4uku7iURC1v7jw3ZoW8tnZEdtHYyPhDhVTJ5J2gEihrlz4ksPgvo3xF0/wCMPxIvtP1a1sbyGGaz8PRC3huvLIluHXSH8uONZNzuFbaFJxgZr3nxt8N9B+IX9mnWoLppdNmaa1nsb+4s5omeNo3AkgdGKsjMpUnB7jgYT/hW2hx+B9L8I2i6hpmh6XbwWtnHpmp3NpNDFCgSNBNFIshAUAHLHPfNAHyrrfir4keHda8Y3s/xU8X6j4P0DwPZ+LhdabL4dmnmMovGZI2GkeXIjfZQqsMdC2WDhV0Nc8TfEDw0uqSan4/+I8Mfh+0t77xGY5PDMh06GeSQRiMDSP37rHH5rqCoUMArSNxXvl1+z14CvLFbFtGmhsRoH/CLva2+o3MMUumhXVYJFSQCTaJJNrtl1LsQwJJq/wCKfgv4Q8aeIhreradPNfNHBFOsN/cQQXiQyGSFbmCORY7gI7MQJVbG4joSKAPmG++KHijRbLVdU1X4j/E6y0K3TXPsl6q+GHa6k0u4aGcFP7KHlK2xmVmPRW3BQAW7v4QWfjL4peG9Z1h/jJ41s7fT7+axim0+Tw5f214I1UtLDMujqGTLFcgdVYHBBA9D+In7Ovhvxn4EuvD+noNGuN19LaXjGWcW8t5OZ7pinmqWEjs3RlKbv3bRkKRrfCr4a6n4A8P6xp+p+IptcbULpriFGa4aGxQwxx+TD9onnl25RnIMhG6RsBRxQB82eHfiZ4t1Sz8MXGqfET4maKvie10nUNJVh4ZmMttfXlva7pNuk/u3ja6icrzlWHIO5VpfELxz8Q9Ebxh/Ynxi8aKNB8PeJr8f2hp+gSebd6ZLZpH9zTF/dN9pcsv3uFww5z7v4A/ZO8E+D/h1pvhq+hvNZuYdK0/Tp9Sl1O8EmbRklje2JmZrQCdBMqwsoVgv90Y34P2cfh9b6XfaeNDlltr6y1DT7oz6jdSyTw3zRPdh5GlLlpGgiYuTuBUkEbmyAeK61q3jiw8R3Wg6Z8UfiJreqnxU3he1hEfhu2QuNIXUjK7tpRwgQspwC3HCnvy1j8XvEOt+IPCej6X8VPH8l/rUenvLZXs3hmC7h+1STIxihGkOZ0hNvKZHXAAAPI3FfrVPhh4Zj8QDXF03GqDVm1wT+fL/AMfrWX2Ey7d23/j2/d7cbf4sbvmrypv2V20nx/FrXhfxPL4a0lZbBvsVr9rE6R20pkeEOt0sUiS5dW8+GUgOwBwECAHMeO9L+JHhD4veFvD8fxi8ZS+GL7RdU1bUdRmg0BZ7cWj2oJRBpBBAFxkg8tkYK7Tu4vUvH/jODRrP+0vG3xM+0a/Z2F3oum/8Uu5vre8vILNVlJ0kLDIrXcBdCWXD8OcHH2DqHhLSdV8QWGt3dms+pWNpc2MErs21YLhommQpnawY28XUEjbxjJzx2i/s6+AdBiijttIuZEgeya2F5ql3c/ZVtLhbi2ihMsreVEkqIwiTCHaAVIAFAHgMOreK/B/hjxLeP4/+IOmeEfBNt9hvZLBPDGIrqG2jkNrbQ/2Qu6JTIkIkJQbh90INw634Vx+KviPo+vXc/wAYPiJpUujXHkTbLXw/Pbzr5KSiSGU6Om8YfacqCGRh0wT67qfwN8G6xq2vX93ptzKddjdNTsv7SulsrovCIWke1Egh8wxqq+Zs3/KOcjNdD4U8HWHg3TpbKxn1S6hkfzGbVtVutRkztC4D3EjsFwB8oOM5OMkkgHyCvjr4jab8NfA2uXHxI+IGuarrngufxrfQ6fH4btobS2hjtZJUXzNLYu+LtVUA/My8lQcrtQ+LfGK2epRXnxI+Jlnr0dxpcOn6UV8MObsagxW1ZpRpW2IgpL5g+baIztMmRn3Pwl8A/D2g+C9I8Pakp1qPStDu/C9tcM0kBGkzvH/oxCvgkRwW6GT7xMRI2biK19Y+DPg/XYdQju9Kcm+isYpZYbyeKVRZuz2rRyI4aJ42diHQq2TyTgUAfN9j4y8a3nim28OH4jfEeHVbZtRbXS58NeRpkVk1p50qv/ZGZg0d9C6BVDHOGCnONf4Ia74l+NVxdxwfFr4k6XGthbanbztbeHZo5IZ9+1HYaQAk67BvjBYAOpV25x754a+DvhLwle295p2lt9thgvLb7VdXc1zLMl1JFLcGV5XYys7QQ5ZyzAIACBkVZ8CfDPQ/htava6D/AGlDZGOOGO0vNWu7yC3jTISOGOaV1hUA4wgUYCjoqgAHyLpXiD443tv4c3fEPxVPear421jwytrbt4fAeC0XUir+Y2kgRsrWUe5sPuG8qgLKons/jJq+pX2h29n8UvidO11Bp82oQ/ZvDhuLNruZoQiRrpDecYmRmkIZQEwV3nKj6o0v4O+FNH1tNVtbC4W7j1afXYle/uHhhvZopoppY4mkKJvW5nLKqhS0hYjdginpvwH8G6LqGn3ul2eoaRPZRRwr/Z2s3tss0ccryxpOscwE6q8khAlDcOy/dJBAPD/AuseMvGHjG00if4m/EnStO1C61iy0/UpE8MyfaJdOumt5t0a6TlFbazKScnawIHylua1Dxx418P8AijxzHq3xh+I8Og6LqzaPp91FoWgNHPcJYpcGOWb+z/laR2ZVxFtAC5Ys+B9W6T8MfDOh3WmXNlpvkzabc393aN58reXLeytLdNgsc73djg5C5wuBxWfc/BTwdeeM5fFE+lyS6pNcLeSxte3Bs5LlYPIFw1rv8hpREAnmFN2FHPAoA+TbzXvjJpWtfD3Rbn45+ILi88XaZpN0LuHRNEWG1lmuFW6ypsSXUxsBF8ykMCWLg7R3FrceOtF+GnxP8Ua98aPHV6/gi91ON49M07w/CLuG2jEybQ+mNhyjKhJbG5WPAOB7LY/s2/D7T9FudLh0i7NrMlrEjy6teSTWsdtIZLZLaZpTJbLE5LIsLIFPQVZ8V/BXSdW+Cvir4daM7aPZ67p99ZtdztJeSCW6V/MnkaR98rlpCxLPk+tAHgf/AAkvj9fFDeDZPiB8RofHclzHHb6TJJ4Z+ztbvbyTid7hdIIUAQyIyhWO8ADcp31HpPxC1rV/D+uapH8WPibCdHs9PuLm2mtvDW9Zbm+ubJ4cjSiMxS2kmWBIYEYr3lP2c/AkdqY1sdTF19sW/XVP7dv/AO0UlWEwLtvPO89VETNHsD7drMMcnMd9+zT8OtQWxSTQpoobO1t7JYLbU7uCKaKCZpoBOiShZykskkgaUMwZ2bOSTQB8+XXxO8T6Tb6hqGq/Ef4oWmix/wBtRWF1EnhiWS+m025a3kjEf9lDZ5jKdjM3UHdtGC1O58cfE/w3rniGx8TfEjxpo4sNTtNPWWaXw4lnbLLZm4Mtxef2QyqrMBGhaOMb2CsRkMfqPUPgZ4H1bSRpd5oKXNgDqR8iS4lK/wCnyPJefx/xvI5/2c/LtwMZcn7NngSbTdUsZLbWpYdWOdTaTxHqTSagPK8rZcSG43TJ5fybXJXAAxxQBwvhnwj451b4n+NfC118cvHAh0eDT720lh0/w+HaG5SUYkzpZBYSW8pBGPlZRjIye1/4U34u/wCi7fED/wAAfD3/AMqq6nwp4Bj8M+LfF2vtdC6udenttiLCI1tbaCBY44BydwD+dJu45mIxgCusoA8q/wCFN+Lv+i7fED/wB8Pf/Kqj/hTfi7/ou3xA/wDAHw9/8qq9VooA/Mv/AIK7eAdd8K/s2+G7vU/iV4o8Y27+LbaJbHW7bSo4Y2NneESA2llA+4BSuC5XDHKk4IK7X/gtX/yaz4W/7HO1/wDSG+ooA+qv2Tv+TWfg3/2Jmjf+kMNeq15V+yd/yaz8G/8AsTNG/wDSGGvVaACiiigAooooAKKKKAPKvjJ/yUX4E/8AY53P/qPazXqteVfGT/kovwJ/7HO5/wDUe1mvVaACiiigAooooAKKKKACiiigDyTxJ+0doHhhfH0d0ka33hTV7XSTZNdxpNeme2sp1kjU84AvQvQ5MTVvS/HjwDb6hqllL4ns4ptNjuJLhpNyx4t223ASQjbI0bHa6oWZTwQDxXK+Kv2Z9I8Vf8LEnuZrI6n4s1m01aHUJdMSSbTxBa2MAiVi25gTYl8grjziMHblsg/sx6hJa22l3XiLSNU8O6VJqk2j6ZqOgtKA16ZQ63jC5AuEVJ5kCosRO5WYkryAei6x8bfBXh3R9P1PVda/s20vkmli+12s0UixxMFmlkjZA8UcZZQ7yBVXcu4jIzseMPiB4f8AAOm2t9ruopZwXcwtrZVjeaS4lKswSOOMM7ttVmwoOFVj0BNeKah+ydfahYaAbnxVa6zqOn2V/plx/btjd3drNa3NyJliVBepKBEAIl8yaTcnDc4I9L8ffDO/1+48H6l4c1Wx0HWfC88klm17pzXlo0clu8DxtCs0TD5XBVlkBBXHIJFAFLTvj3oLJ4sutTZrPTdG1lNKt7m1jlu2u1bT7W980JHGWUBbkg8EAR7iRnAt+IP2hPhx4XurWDVfGGm2ZubS2v45GcmL7NcMywTtIAVSN2UqrsQpOBnJAPI+IP2ede1b+1ZLbxx9kl1bXhrV9F9inS3uB/ZlvZGJ1huonIDW4mXL7QSFKNtDVBpf7Lo03wmuif8ACS+aB4f8MaF55sMf8ge4km83b5n/AC28zG3PyYzl84oA7mX48+A4fD1nrb+IYlsLy+fTIAYJfPku0V3a3EOzzPN2xsdm3cQOByM9d4d8RaZ4u0Ox1nRr2HUtLvolnt7q3bckiHoQf6dR0NeJ+NPgv4rtfGXh/VfCWqWi3U3ji58SXN3fWPnQWEL6JPZ7HiE8bShnCLlGUgyg4wpz6l8LfAi/DXwJpnh37a2pS23myT3hiEXnTSyvLK4QE7FMkjkLk7RgZOM0AdXRRRQAUUUUAFFFFABRRRQB5V+0t/yTrSP+xz8J/wDqQ6dXqteVftLf8k60j/sc/Cf/AKkOnV6rQAUUUUAFFFFABRRRQB5do/xc1HxN8Z9Y8J6XpFs+i+Hy1prF1PeIl4lw8EFxBJHb53G3KyNGXIyzkbRtRieb8G/tON4u+GOneMI/Dtq/9tTafa6Ppuna3Fdyzz3eCsc7BALcxhgz53EBXwCQAdHxJ8IfEnjD4zaX4j1HUtDt9H8Out9o11Z6QV1VpXiuIpLWa5M5zbrvjcqqL5hYAldhL493+zTq2ra1feJ73xNo9r4u36W9hcaPoDWtjCbKaaVDNbm5d5i4uJUY+amEIC4ILEA663+OllD8MfE/izVdJurG58N3FzY6jpEMiTS/aomCiKJ/lVxJujKMduRIu4KcgYf/AA0NqA8QHwg3g118f/bVtl0f+0kNsYTam5+0m52cRhVaMjYW8wYwV+epbj4A6hqXgXxD4cvvFELnxE19fapeW+mGNzqMskL208AMzCOOARbfKbeX+UlwQd1F/wBn7xG/i6Px2fGGmf8ACwVvBJ9t/sOT+zTai1Nv9m+y/avMx8xl3+fnf22/LQB6f8OfHFr8SPBOk+JLO3ms4b+Is1rc482CRWKSRPtJG5HVlJBIyvBxXSVzPw18Dw/DfwNpHhyG6kvvsUZ827lUK1xM7F5ZSo4Xc7O2BwM4rpqACiiigAooooAK8q+Mn/JRfgT/ANjnc/8AqPazXqteVfGT/kovwJ/7HO5/9R7WaAPVaKKKAOU+JHjxPh/oVtdrYSarf319b6ZYWEUixme4mkCIC7cIoyXZucKjEBjgHmv+F5Q2/wAIvG/jS90aa0vPB8eo/wBp6R9oViJrONpGRJcYKuoVlcgfK65UHIG/8UvAM3xA0OwgsdSTSNX0zUrbVtPvZrc3EUc8LhgJIg6F0ZS6MA6nDkgggGsPwv8ADHxH4T0nU4rbxLpdzqGry3+oalNdaK7wT307xeU6xC5BWGOONo/KLszgqTICp3AHSfDnxddeN/Dg1S6tdOtd8rJF/ZeqJqMLoAPmEqKozncMY4x15rgfC/7U3hPxJoPw/wBWa4tLG28UaE+vXBlv4iNJhS1S4cXBzxtDkEnABU10/wAJ/hhP8PZvFF/fX9lfar4i1FdRuxpenmxs42W3igVYoTJIQSsKlmZyWYk8DCjzGb9i3Qm+HHgnwvBqNrp914d8OPoU+r2WlRxzX8htYoVuHG7jDxCQoxfdkgnvQB634d+MXg7xVcWttputxy3dzeGwjtJYpIZ/PEDXGwxuqsuYUaQFgAVGQTTdH+M/gvxB4j07QdM16C+1fULX7db2sEcjs0GZQJWIXCKTDKoLEAlcdSAeAuv2f/E994pg8azeMtKHjqDUbe7juo9BkGneTFZXVoITbfa/MJIvZ33+d97YMbVwd34J/Atvg/c3E8mu/wBtyzaLp+kMxsxASbae9lMvDsPn+242jp5ecndgAHq9FFFAHlXxk/5KL8Cf+xzuf/Ue1muc1j9q7TdB1Hxxa3GlQXp8OaJqWux/2TqkV208VlIkc0UmAFhm3SR4Tc2MsGKlSK6P4yf8lF+BP/Y53P8A6j2s1n+LP2WfCGreE/F+m6NHcaRqOvaLqeix3c97dXcNlFfMJJxFbyTeWimVUfagX7uBgUAU7r9o3VrTxLB4Tk8B3C+MbjUobGLTTqkPk+XLZXN3HO84GAAtnMjqFYhl+XeCCea0f9oq+8S6/qGoRPfabpLDwpbR6XsgaS1urvWr2wvEZypDKWhVCQfuplNpOa6/XP2WfCuo3nh2Szn1SxTT9aOsXlwdXvpL+7YWFxaRIt4Z/OiEYnUgK+MIy4+cmup0/wCA/gXSbaG3tNCWCKJdMRVW5m/5h9y9zZkkvksk0juWOS5Y7y1AHnEP7ZGiSSeILgeH9Qn0jTrXULm3u7VxI9w1pMITG6EBYWlc5iy5DAHd5Z+Wuo+Fvjzxf4l8XfEyz1vSVsLrR5LNLHSDdxyRKXtBIds6ICVdj1Zcqc8YAzvL8CvBq2+vWhsb19L1yO5ivdJk1W7awYXDF5ylqZfKiZmJbciqQWYggsc6vgf4Y+H/AIdyanLosF4LrVHjlvbrUNRub6e4ZE2IzyzyOxIUBevQAdhQB5H4H/aU8T+IPhz4M1G48Ewah4p1jwz/AMJRd2WnaisNvHaKkWWRpAT5kjSkJEcgbG3SDgnq/GXxj1eG3+EmoeD9Is9Z0vxtqKQu2oXDW8kdu+nXF2hTAOHxCCc5GFK4ywZbTfs0/D/+xtP0pNO1KCy0+Ge0tlt9dv4njtZtnmWu9Zwxtz5aYgJMY2jCiur8SfDfw/4q0vRtPvbOSG20a5iu9O/s+6ls3tJI0aNDG8LIyjY7oVBwVZlIIOKAPCvDn7U194P8N6re+ONGvJtPivPE7WOrQTQM92un6lNGkAhXbs/d+XGjMeTGxbbkM3qXw0+NFv478P8AiPUr7TJNGGgzMly6yGe3ljEKzeZDLsUuoVipG0EMjDBGCb978D/BGpaWmnXehR3Nip1JhBLPKy5v5HkvM5bnzHkc8/dz8u3Arc8M+CdO8J6TPp1rLqV9azsWkGs6pc6k5yoUrvuZJGC4A+UHHU4ySSAeL6t8bvHOqx/CnVNK8HzWEPibWCIdMm1G3LXtnJpN7cR+e+0+QyNFFI6rvI2gKXyVq9H+1dpkkngeQ6VDDb+JGsYZLeTVIv7Qs5rq4NsgNsoO+NZhtMm5QQCVDbSB3Xhf4G+D/B7aMdNs78jRbj7TpqXmr3l2lkwt5bYLEssrBIxDPKgjA2DdkDIBGfB+zb8PbW/sbuDRrqBrOS0mjhh1W8SBpLWcz27yRCXZK0chJBcMe3IAFAHD6/8Ata/8I/oE2sXnhaHTtPm1vUNE0y61bW4LSG7ksmu1ndnKkRAmzKxqcs7OBhQN1X7j9oi80v7Zez+H9RuLuTTfDE0Xh9ZYUMU+q3k9sqCR1Q7gyrv3nA2jAB3Z0/iL+ztB4ktfDkPhvUY/D0Wj6jqGpeTMLuQSzXjSSTOJILqCZD5ksjgCTZ82NvCFOg0P4I6Ha6PpseuSXXibW4LXR4LvWr24lE17JpszT2szgPjcszvIeu7dhy4oA8z8UftjReGbaC1l8LIviTzr63n0m51iOHfLa3MVu0Vq+wm5kczxuqKoYrnIDYU+sfEL4jXfg248NaXp2htrviLxBcyW9pYi6W3iTy4XmlkkmKnaiqmOFJLMoxgkjzv4k/stHxR4pm1vwv4kk8IXF1bXUc80H2zz47ieQSPdRSQ3cOHyowkgkjBAIUZcP6p4y+G+iePrPTYNaS8kl02b7TaX1jfz2N3BL5bRsyT27xuu5HdWAIBDEEUAcPc/tBRWvxPsPBNzp1rb3moeZbxtb6pFcXNtcpZNdlLiBAfLXYjgNvJJCnaFYNXlvhf9pDxbqXwx+GVtrFjcaP4m1q28K6iNUMsE41K1udRsba8ZkVdsLsLjO0A4WYEFWBVfcNP+AfgnS/FFv4gt9OvF1G3uGvIg+q3bwJO1qbV5hA0pj8xoWKltuTnJO7mqPhv9mn4d+E7W2ttP0W5MFr9hFqt3qt5dfZUs51uLaOEyyt5caSor+WmFYqAwIGKAMz4a/tJaf8TPHkugWGjXKWLi++y6msnmBjaziFxMgX9zvJLR/M25VO7Y3y1s/F7xbrem614G8LeHryHSdQ8U6nNaPqs0AnNpBDazXMhjjJ2tK3lBF3ZADMxDbcHQs/gr4W04a3HZpq1na6xHdR3Nlba7fRWy/aGLTtDCswSB2ZmbfEFZSzFSCxJ1/G3w90L4iaTbafrlrNPFa3CXdrPbXc1rc206ghZYp4nWSN8My7lYEhmB4JBAPOtd+NE/wn8ReGfCniK7svEl5fXVpZTajHcw217uu7poLZzZKDlASivJuQEhiq8FRc8C/HyTxh4xtNIn8LXWladqF1rFlp+pSXccn2iXTrprebdGvKK21mUk5O1gQPlLX4v2cPAcepWd+bHVJrq2mtbnfca9fy+fNbXBuLeWcNORO6SsWDS7j2OQAB0mk/DHwzod1plzZab5M2m3N/d2jefK3ly3srS3TYLHO93Y4OQucLgcUAeTRftAat4P8e+PIfEelz3Xg6x8XW+iQ6yk0Q+w+dpllKkYhA3yJ50r7nJyDMuAwB29R8EP2gbb41XF3HBodzpca2FtqdvO0omjkhn37UdgoCTrsG+MFgA6lXbnG1P8B/BN142ufFU2lTzarc3i6jPHJqNy1pLdLAtuk7Wpk8gyLEqqGKZGAeozWt4E+Geh/Da1e10H+0obIxxwx2l5q13eQW8aZCRwxzSusKgHGECjAUdFUAA8rvv2qmsbEXUvhNrWO+12+0LSGu9SRFvHs5bmO5mkKoxhjBtsLwzM0i/KqgtS3P7VoWzOpW/gnVDo9loemeINXnuriOCawt7yWePZ5JyZJIzbyMwBAKg4YnaG9Gvvgx4Sv9Fs9L+wXNpBZalc6vazWOo3Ntc291cSTSTyRzxyLIu9ribKhtpDlcbcCuYvP2afDWtfEK68RavNqGp2baVpemQ6bNqd5tYWc1zMGuW87/SwzTocTh8GMkk7zQBxcn7Tk3w6+GZ1/wARi11hk1fxF54l1CG1uvsdnqtxAot4NuZmSJUH8I+Ubn3MM9l4g/aFXw/H471aTw1dT+EvB7TW17qyXUYlmuo4UlMUUBxlcyLHvLD588bQXrS1/wDZt+HviWxazvdGuhbSR38M0drqt5bCeO9uGuLqOXy5V8xHmdn2tkKThQBxWjqfwN8G6xq2vX93ptzKddjdNTsv7SulsrovCIWke1Egh8wxqq+Zs3/KOcjNAHEaN+01ceIFttO0/wAHzXfia61V9Mgs0vgtnMqWn2p50unjXKBPkI2bvM+XG356xo/i14w/4Zd8EeMI/tF14n1DWdGt54MW6SzrPq0MEsBP+rUtG7RlgcDOQe9em3XwM8K32k2dhdNr12LK8N/a3k/iTUXvbeUxGI+XcmfzkUxsylFcKQzZBJJqxdfBXwdd/Dmz8CNpLx+FrN4JLazgvJ4nhaGZZomSZXEilZEVgQ2cgUAeeSftX2ul/wBu2ms+F7vT9b0u3vFWxjukmW8vreWCP7JDJgBmk+2WRQkDPnHKjY1dN8cvjxafA/TLfUL+0s7uAW815cwvqccFz5MWzzDbwlS07ANnHyr0BYFgDFqn7N/hm6uPAqWkfkWHhnxDJ4ldbuSW7ub67MUqq0lxLIXJEsiSksWyYIxwFGOh+InwT8IfFSbzfEmn3V05sZtNk+y6ldWYntZSpkhlEMieYhKqcPnBHGMnIAvxN+I154FuPC1hpmgyeIdV8Rak+mWlut0lsiOtrPcl5HYHCBbdgcAnkYB6V51oP7Wlre+Gp9e1jwhqWiWMnhxvEmnxG5hnnu4kkSJ4iqttjk8yWILliGDgkpgge0at4X0zXdT0TUL628+80W6e9sJPMZfJmaCWBmwCA2Yp5Vw2R82cZAI5kfA3wP8A2PDpTaDHLp0OjTeH0t5Z5XX7DKyNJEcuc5aNDuPzDHBFAHGy/tEanb+KB4Nl8EyDx49zGkekpqcZtmt3t5pxcfaSowALeVCuzO8KPuneOF+HH7XkraF4U0/WNJvdZ1ue3spNXmRo1nhN3cyQxhIY1KymMJukwVATBUyHIHrv/DOvgZrVUaz1R7tbxb8aq2vX51ITLC0AP2wz+ft8p3TZv24ZuOTU2jfADwT4budKn0Wwv9FbTYIbWJdM1i9tklhikeSKOZUmAnVWkfAlDcOy/dJBAORn/aSvI/DGp68fDFnYafDrV5o2nvq+vQ2p1B7We5hnZF2MQd1sdiYLNkk7VUscpf2qLmO+1rXZtAj/AOFe2fgfS/GEN0s+NRYXn2orEYz8hLGBEA3AKcsWIYBfS9S+B/g7U9L0+wfT7q3gsL+81O2ey1K6tpo57p5ZLkiWORXKyNPLlC235sYAC4gPwA8CNa2tr/Ysgs7fQE8MC0F9cCGXTUVljglTzNsuwO+1nDMpdiGBOaAPOF/aG1rxVrHhGPSdIms7geI7vTb2wjlWW31RF0S8vIlhuHjXgypECdqlXjYHK8t6H8OPjdpnxSivbrQ7C6uNOtdIsNSa4XBZpbqJ5vsgTqJUjELMCR/r0HrjX0n4UeHtJk0iQDVNQn0m+fUbGfVtZvL+SCd7eS2Yh55XO3ypZF2k7csWxu+as/4T/B/T/hb4V1vSIJFlfWtX1DWL2a1RrcNJdTM4VAGJQRxmOJSGyBEpGOwB5F4m/aw+x+Gfh54vkjXTdNvfEc2l6jo9lcJdXDMdLupYbSfeiG2n+0eQGV9gQjLPsJY78vxa8QXXjzRtME82nsvjKbRtRsm8mVFUeGXv/JjcICyLMyNuPzEqedpC13UX7P8A4EFo1vdaPLqyPeS38z6vf3N9JcTSWTWLmV5pGaUG2dotrkqBjABANW9F+Cng7w+9lJZ6ZN5tnfDUopri/uJ5PtP2Aaf5jNJIxc/ZQIzuJz94/P8ANQB474H/AGsvs/hn4dadqenXXiHW7zw9oF7rV7AVSXzb+NRvjhVP3m07pJANgVCNu45UdFoPxu13xt8WvBdrY6TNpfg3U21qOO7knhkOofZGWIM0eN8Xzq7JgncpG7aflrutP+Bfg/R7rRLjTLTUNJfSLG00y3GnaxeWyyWtrn7PFOscoFwqZYDzQ5wzA5DEF3h/4G+DPC/ixPEenabcQ6pFLdSwb9SupLe2a5ffceTA8hiiEjncwRACeaAO9ooooA+AP+C1f/JrPhb/ALHO1/8ASG+oo/4LV/8AJrPhb/sc7X/0hvqKAPqr9k7/AJNZ+Df/AGJmjf8ApDDXqtfL/wCzL8WPFGm/s2/Ci0t/gx441S3g8JaTFHfWl5oSw3KrZxASIJNTRwrAbgHRWwRlQcivS/8Ahcni7/ohPxA/8DvD3/y1oA9Voryr/hcni7/ohPxA/wDA7w9/8taP+FyeLv8AohPxA/8AA7w9/wDLWgCh4e1Hxcv7QV14eHi6XXPD2naS2oarb3Gn28YtpbiXbZQJJGoYnZFcu2SSAsWR8+a9krxLQ/G+seHNQ1u+0/8AZ/8AiBDea1di+1CZtS0CRp5hFHCpJbVzgCOKNQowoC8Dk52P+FyeLv8AohPxA/8AA7w9/wDLWgD1WivKv+FyeLv+iE/ED/wO8Pf/AC1o/wCFyeLv+iE/ED/wO8Pf/LWgA+Mn/JRfgT/2Odz/AOo9rNeq18v/ABY+LHii68efBiWX4MeOLN7bxbcSxQzXmhFrpjoWrJ5cezU2AYK7SZcou2Nvm3FVb0v/AIXJ4u/6IT8QP/A7w9/8taAPVaK8q/4XJ4u/6IT8QP8AwO8Pf/LWj/hcni7/AKIT8QP/AAO8Pf8Ay1oA9Voryr/hcni7/ohPxA/8DvD3/wAtaP8Ahcni7/ohPxA/8DvD3/y1oA9Voryr/hcni7/ohPxA/wDA7w9/8taP+FyeLv8AohPxA/8AA7w9/wDLWgD1WivKv+FyeLv+iE/ED/wO8Pf/AC1o/wCFyeLv+iE/ED/wO8Pf/LWgD1WivKv+FyeLv+iE/ED/AMDvD3/y1o/4XJ4u/wCiE/ED/wADvD3/AMtaAPVaK8q/4XJ4u/6IT8QP/A7w9/8ALWj/AIXJ4u/6IT8QP/A7w9/8taAPVaK8q/4XJ4u/6IT8QP8AwO8Pf/LWj/hcni7/AKIT8QP/AAO8Pf8Ay1oA9Voryr/hcni7/ohPxA/8DvD3/wAtaP8Ahcni7/ohPxA/8DvD3/y1oA9Voryr/hcni7/ohPxA/wDA7w9/8taP+FyeLv8AohPxA/8AA7w9/wDLWgD1WivKv+FyeLv+iE/ED/wO8Pf/AC1o/wCFyeLv+iE/ED/wO8Pf/LWgD1WivKv+FyeLv+iE/ED/AMDvD3/y1o/4XJ4u/wCiE/ED/wADvD3/AMtaAPVaK8q/4XJ4u/6IT8QP/A7w9/8ALWj/AIXJ4u/6IT8QP/A7w9/8taAD9pb/AJJ1pH/Y5+E//Uh06vVa+X/2g/ix4ovvAelRT/BjxxpyL4t8MSia5vNCKsya7YOsY8vU2O6RlEakjaGddzIu5h6X/wALk8Xf9EJ+IH/gd4e/+WtAHqtFeVf8Lk8Xf9EJ+IH/AIHeHv8A5a0f8Lk8Xf8ARCfiB/4HeHv/AJa0Aeq0V5V/wuTxd/0Qn4gf+B3h7/5a0f8AC5PF3/RCfiB/4HeHv/lrQB6rRXlX/C5PF3/RCfiB/wCB3h7/AOWtH/C5PF3/AEQn4gf+B3h7/wCWtAHqtFeVf8Lk8Xf9EJ+IH/gd4e/+WtH/AAuTxd/0Qn4gf+B3h7/5a0Aeq0V5V/wuTxd/0Qn4gf8Agd4e/wDlrR/wuTxd/wBEJ+IH/gd4e/8AlrQB6rRXlX/C5PF3/RCfiB/4HeHv/lrR/wALk8Xf9EJ+IH/gd4e/+WtAHqtFeVf8Lk8Xf9EJ+IH/AIHeHv8A5a0f8Lk8Xf8ARCfiB/4HeHv/AJa0Aeq0V5V/wuTxd/0Qn4gf+B3h7/5a0f8AC5PF3/RCfiB/4HeHv/lrQB6rXlXxk/5KL8Cf+xzuf/Ue1mj/AIXJ4u/6IT8QP/A7w9/8ta80+LHxY8UXXjz4MSy/BjxxZvbeLbiWKGa80ItdMdC1ZPLj2amwDBXaTLlF2xt824qrAH1BRXlX/C5PF3/RCfiB/wCB3h7/AOWtH/C5PF3/AEQn4gf+B3h7/wCWtAHqtFeVf8Lk8Xf9EJ+IH/gd4e/+WtH/AAuTxd/0Qn4gf+B3h7/5a0Aeq0V5V/wuTxd/0Qn4gf8Agd4e/wDlrR/wuTxd/wBEJ+IH/gd4e/8AlrQB6rRXlX/C5PF3/RCfiB/4HeHv/lrR/wALk8Xf9EJ+IH/gd4e/+WtAHqtFeVf8Lk8Xf9EJ+IH/AIHeHv8A5a0f8Lk8Xf8ARCfiB/4HeHv/AJa0AHxk/wCSi/An/sc7n/1HtZrIuf2jNQXwjdeKLPwPd3uhy6tDo2kSLqEKTahNJqKWAYo2BEhkbepLHKDLbDgVxfxY+LHii68efBiWX4MeOLN7bxbcSxQzXmhFrpjoWrJ5cezU2AYK7SZcou2Nvm3FVa3a6XDZ3Fw8X7PXxMEM2oR6qLJvEmktaQ3SXa3iyQ251ry4s3CLIRGqhjkEEEggHZN+0FLbfEnTPBN1oun/ANtagr28cFprcdxJDepZNdtDOix5ijKo4Eh+Y4U+WAwNcL8B/jF8SNa/4VJaa3YWurR+NPD974iv765vUEttseyCrAscKKI1W6J8tgzHcB5nyHdfggFt45XxdH+z18SV1pL6TUkP/CQaP9mS6e3a2kmW2/tryQ7QsVJCc5z15qSyZ9Mj8GpZfs9fEiyHhC3Nnoxttd0aMwQFY1aFyNZBmjIiiysu4ExqSCRQB1nxG+P8nw/8Ua5p48LXWp6X4f06w1bWNUju44xb211PPEDHGfmkdfs7uV4G0HB3YVuUf9snSfs3iu/h8N313pWi6Zq2pQ3NvKGacWDlJEkXaBCZSC0WWbcoO7Y3y1z/AIg8P3/jD4p6p4w174G/Ei/iutP02xTS49Z0a3gzaT3MwM6R60EuFZrhCEkQhTEeu4itNtLjey8Q2B/Z9+KH9la/DdW9/pX/AAk+lCxZbli1x5dv/bflxM7Mx3RqpBZiCNzZAO5tfjxc2PjS18O+J/DsXhW4bTX1KZrzU1ZmVROxS2Cx7blkSENKEbMfmDhl+auen/aquNPsNNlvfAl/Dd63badfaHZR38DveQXd7b2iiRjhYZUe6gZlJZcPw5wcN1bVr7XvFll4i1H4BfEu9v7Ji9vDPr+jPZxuYnhMgtTrPk7/AC5ZF3bM4c81g6L4Z0/QYoo7b9nL4kyJA9k1sLzxFpNz9lW0uFuLaKEy603lRJKiMIkwh2gFSABQB7h8M/Hr/EDQ7y6uNMbR9R0/ULnS72yaYTLHNDIUYpIAN6MMMDgHDcgHIrrq8V0Hx7rfhddQGmfAD4gWwv7yXULn/iZaA++eQgu/zaucZIHAwB2Fav8AwuTxd/0Qn4gf+B3h7/5a0Aeq0V5V/wALk8Xf9EJ+IH/gd4e/+WtH/C5PF3/RCfiB/wCB3h7/AOWtAHqtFeVf8Lk8Xf8ARCfiB/4HeHv/AJa0f8Lk8Xf9EJ+IH/gd4e/+WtAHqtFeVf8AC5PF3/RCfiB/4HeHv/lrR/wuTxd/0Qn4gf8Agd4e/wDlrQB6rRXlX/C5PF3/AEQn4gf+B3h7/wCWtH/C5PF3/RCfiB/4HeHv/lrQB6rRXlX/AAuTxd/0Qn4gf+B3h7/5a0f8Lk8Xf9EJ+IH/AIHeHv8A5a0Aeq0V5V/wuTxd/wBEJ+IH/gd4e/8AlrR/wuTxd/0Qn4gf+B3h7/5a0Aeq0V5V/wALk8Xf9EJ+IH/gd4e/+WtH/C5PF3/RCfiB/wCB3h7/AOWtAHqtFeVf8Lk8Xf8ARCfiB/4HeHv/AJa0f8Lk8Xf9EJ+IH/gd4e/+WtAHqtFeVf8AC5PF3/RCfiB/4HeHv/lrR/wuTxd/0Qn4gf8Agd4e/wDlrQB6rRXlX/C5PF3/AEQn4gf+B3h7/wCWtH/C5PF3/RCfiB/4HeHv/lrQB6rRXlX/AAuTxd/0Qn4gf+B3h7/5a0f8Lk8Xf9EJ+IH/AIHeHv8A5a0Aeq0V5V/wuTxd/wBEJ+IH/gd4e/8AlrR/wuTxd/0Qn4gf+B3h7/5a0Aeq0V5V/wALk8Xf9EJ+IH/gd4e/+WtH/C5PF3/RCfiB/wCB3h7/AOWtAHqtFeVf8Lk8Xf8ARCfiB/4HeHv/AJa0f8Lk8Xf9EJ+IH/gd4e/+WtAHqtFeVf8AC5PF3/RCfiB/4HeHv/lrR/wuTxd/0Qn4gf8Agd4e/wDlrQB6rRXlX/C5PF3/AEQn4gf+B3h7/wCWtH/C5PF3/RCfiB/4HeHv/lrQB6rRXlX/AAuTxd/0Qn4gf+B3h7/5a0f8Lk8Xf9EJ+IH/AIHeHv8A5a0Aeq0V5V/wuTxd/wBEJ+IH/gd4e/8AlrR/wuTxd/0Qn4gf+B3h7/5a0AfKv/Bav/k1nwt/2Odr/wCkN9RXFf8ABXbx9rvir9m3w3aan8NfFHg63TxbbSrfa3c6VJDIws7wCMC0vZ33EMWyUC4U5YHAJQB9v/snf8ms/Bv/ALEzRv8A0hhr1WvKv2Tv+TWfg3/2Jmjf+kMNeq0AFFFFABRRRQAUUUUAeVfGT/kovwJ/7HO5/wDUe1mvVa8q+Mn/ACUX4E/9jnc/+o9rNeq0AFFFFABRRRQAUUUUAFFFFABRRRQAUUUUAFFFFABRRRQAUUUUAFFFFABRRRQAUUUUAeVftLf8k60j/sc/Cf8A6kOnV6rXlX7S3/JOtI/7HPwn/wCpDp1eq0AFFFFABRRRQAUUUUAFFFFABRRRQAUUUUAFFFFABRRRQAV5V8ZP+Si/An/sc7n/ANR7Wa9Vryr4yf8AJRfgT/2Odz/6j2s0Aeq0UUUAFFFFABRRRQAUUUUAFFFFAHlXxk/5KL8Cf+xzuf8A1HtZrZ0L4x6T4m8TT6Xpmm6zeWMF1cWMmvx2J/s0XEG4TR+bnPyMjoX27N6lN27isb4yf8lF+BP/AGOdz/6j2s1xV18F/iCvwz8VfC+0/wCEcbwtqLao1prk9/cC78u6lmnS3mtRBtYB5fKdxN80eTs3HFAHumk+LtC163t7jTNa0/UYLiVoIZbS6jlWSRVLMilSQWCqxIHIAJ7VjWvxS0C58Sa/pRu44YdF02z1W51OWaNbTybiS5RcSbv4TaSbicAZXk848e/4Ul46h8dW3j+z0rwpputQaxb3Y8M22pzrYvDHpt5ZNIbkWgYTE3an/UY2W6LnnIxdG/Zf8ZaT4bEc1x4f1LUILbw6RYyTzLaXk2naje3cscjGJikbLcx7G2uQ6ZK4AyAeyTfHTQF+GvjPxvDFdXej+FzffaPs/lu1yLVSztCQ+1lYD5SSM57V1LePPDS6PcaufEWkjSbeY2818b2LyIpAQCjSbtoYEgYJzk14/b/AbX5P2d/ij4Hki0DS9X8XPrMttb2DyNYWpvVbYjN5SMQpb5iEGeSBziuR1n9mjxnrXiMeKktPDuh3ceo28y+GNG1OSKyaKKwmtfOFwbM7Zj5+APII8uMJu5yAD6J8ZfEPw38PdAh1vxFrNrpOkzXNvaR3k7/u2lnkWOIAjPBZxz0AyxIUEjP8LfFnw54t8Sa5oVpfwx6lpd99iEEs8e+7/wBEt7oywKGJeMJdIN2OobtgnjfEnwXupv2e9C8D6JZafDfaK+k3FrY399JPahrK7guPINwYd+xhCYw/lcBgdmPlrn9R/Zx1PVtZ1nWQNH0nV9S8YWuvi+s2Zp7a1TSYbJo1l8pSXV1m2jhSr5ypYqAD3PSfEWla+12ul6nZ6k1pKYLgWlwkphkHVH2k7WHoeapXHj7wxZxX8tx4j0mCPT2VLx5L6JRbMzMqiQlvkJZWAzjJUjsa8p/Zr+Bup/CON21q1s11CLR7HRVvrHV5LlLmK28zafINtCIQC7EDdIRvZd2Bluc1T9mPWrfw3oR0oaV/bFh4t1rxBeQxXRs0v47ye9MRaf7PKRNHFdIPmjYcOgYAhqAPoN/FGjR6pa6Y+r2K6ldwm4t7NrlBNNEBkyImcsoweQMcVkeLPiXovhPS9NvpJ11CPUL3T7OBLKRHZheXUVtDN94Zj3zKSwzwDjJ4rynwj8Bdc8G+LvCMuh2un6BoVjpMGl6uo1iTUHuYIradIoUjktF2tFJMNs6SRkx7laMghRy/hz9nH4gi18IW2sSeG7eLw1p3hrSYmsr64ma6j0zUoLmWdg0CeW0kcJ2xjdhsAuQcgA+hvBPxG8M/EezvbrwzrdprUFldzWNw1q+TFNFK8TqR1+9G2D0YDcpIIJwvH3x08IeAPCOqa9Pq9nqUen3cOnyWtjewGT7VNKsUcJLSKqMWbneyhQGY4Cms/wCGPw11fwj4c8aaBdLp+n2+o6xqt9p+paXMzTmO8uZ7gGRDGojeIzbBhnB2ZyvSvJLH9lzxPfaToVtqFj4T0d9D07RNIjj0ueWWLUY7PU7W7lnl3W6eW3l20ixx/vMNcSAvg5oA+m9P1q3vLfTjIyWt1fQfaI7SSaNpMYUtjaxDbdyglSRyOcEVV0/xt4e1bUv7Oste0y81DyBdfZLe8jeXySARJsDZ2EEfNjHIrhP2gPhj4h8feHNLm8E6lZ6H4v0m4drC+vC6xRxTwSW04OxSTiOYyKuMGSGLJA5HB6X+zz4s0n4q+Gby2n0e38E+GruX+zLeCfy5UsjpEllHCYVtQWdZGVmkedsqowBgKAD3W38c+G7qzv7yDxBpc1pYKr3lxHextHbKV3AyMGwgK8jOOOawvDfxo8J+JLeWZdXs7CP+1J9ItWvbqGMXs0RAJg+c+YrbgRjk5HFeGW/7Juu6H4Y8FW2lQ+Gjc6D4f0CyvNPZ3htdTu7C7W4kEjLCT5bHzGWQozByCU61leK/2XfiXrHgjxBoGmv4S0i11x9anksrG5aGK0mu5UkhIlNk7yImH3Kghy2H54CAH0fpXxQ07V/EupaLDaXYuLDWzoUsreWE84afHfbxl9xTy5VXgFtwPG0bq0l+IXhZtJfVF8S6OdMSV4HvRfxeSsiKWdC+7AZQCSM5ABNeXX3wP1u48e3OueZplzZSeMbjxD9llnkQyW0nhz+zBGxEZw5m5OMgIcglvlrG8F/s9+IreHwPaeIU0afQ/DHiV9Ts9KluDfta2I0iazhh89raIzuk8gZWkQMqAAu7KMgHvGl+JNI1u5ubfTtVsr+4tlRp4rW4SR4g67kLBSSoZeRnqORWPZ/EbSrrXvFunyP9jtfDP2dNQ1K6kWO3SWSLzjHuJ4KRPC7E4GJl9681+B/7Pt18Jb/wZKsWj2sOk+FZ9Evl01Snn3D3MMyOB5a7lAWXlsHL9OSax9e+FOv+INV+J2l21hbzPN4y0fxhYrqweLT9UhjtrJGtpJlR8MJLCXor7f3BKkEZAPcIfHHhy4vNNtIvEGly3epRefYwJexl7qPk74lDZdeDyuRxXGP+0N4VX4f+K/FKytL/AMI3Fqc97pEcsRvvLsbieCRxHv4V2t22FiAQy5wcgefeLvgt8RPGHjDw7emLwxomiWeo6Pqb6fpt4VFs9tfm4uVB+wh7gunCsZIlDF8oNxZuU1z9lDxlr2g+INFFv4T0tZD4rns9XtLmY3N++rPcGKK6X7ONiIJlLsHkJMMeF4oA+qj4i0pdcGinU7Maw0XnjT/tCfaDHnG/y87tvvjFF94k0nS9Ss9OvNUsrTULzcba0nuESWfaMtsQnLYHXA4rxHTf2f8AVrX46X3im9W31TSJtePiC1vP7XkguLSQ2K2uw24tmEuAGQHz1BR8Ffkw3R6l8MtbX40av4kh0vQda0fW7KwtJrrUrl473S/szzsfIjEDrIGMwcfPHtfcTnjAB2Piz4q+D/A2jW+ra74j07TtOuHto4biScFZPtEqxQsMZyrMw+f7oGWJCgkT+F/Hdh4s1rxFplqrLPotxDE7Myss8ctvHNFPGQTmNhIyg/3onHbJ+cLX9mr4h3PhPStP1KLwm9x4e0DQNH0+NL+4kjvpNM1CG6MkrNbDyFmSEptVZNm48uK9i+G+jaqfi18Rtev9ObTLaaHSdJgiw3lStbwSSyyxMVXfHuvPKD7RkwMMDFAHfa14o0bw55X9ratY6X5xxH9tuUh3/Mq8biM/MyjjuwHeqVz440hLNrmzu4dWjj1GHS5vsFxFJ5M8kqRbXy4AKlwWXO7HRScA+d/G74GzfFbXpL3ydJuIV8G67oEC6kpZo7u9Np5Ug+RsIFglDMPmAYAA5OMKT9nPUrO6ul0r+x9PsJLnwjcLbwbolB0u9E1ydqx4y0aoqepUBtoGaAPcNN8RaVrN5f2un6nZ311YSeTdwW1wkj2z8/LIqklDweDg8VKdYsFkaM31sJFnFqy+cuRMVDCMjP3ypDbeuCDXj3w++DfiPRbvxZZ3eot4Z8NX1wlzptnoWqG5uIJjNcS3DCeS2jZYpDMhELGQI2/awBArG8SfBHxpfeNtT+yJoF54XvfFdv4pea+v547tgmmxWb2piWAqMtDv83zOjY2ZGaAPZ18f+F20SfWR4k0g6RBKYJdQF9F9njkBAKNJu2hskDBOeRUXjvx1Y+A/B9z4hnjkvoUMMVvBalS91NNKkMESEnGZJJI1BJxlhXz8P2cfHn/CK+HLQ3WnCPw7rj3WmaH/AGuxEVgdP+yrE199i3SSRszlWeBm8ttjOT8w7Px18N7rwz+zz4X0TR9Klkk8KX2haj/ZNlNJfu0Njf21xLDExRHmIjicJ8iklUAUcCgD2B/EukR6y2kNqtkurLD9pNg1wgnEX/PTy87tv+1jFUY/iF4Wk0f+108S6O+lb2j+3LfxGDeoLMu/dtyACSM8AGvF/FnwD8S64vxT0iC08NyWXjCa4vYPEV3cSm+hZ7OKAWskIgIMX7soWWYfunK7M5yzT/2eda1v4naT4w1/SfDGmW8Ot2+oXHh/T5nu7ZUg0u9tI5lZ7eMPOZbqLqihUgTDEqBQB7nL4x0CC6sraTXNNjuL7yzawtdxh7jeCU8sZy24K2MZzg46VLb+JtHutRvtPg1Wxmv7BQ93ax3KNLbqRkGRQcoCPUCvmvR/2S9XsfDeqWs//CPyam2iaJpem3Q3k2jWWpXV04VjFlE2TQBdv8UfIAVSav8AwyPr9zpPi/TLqeyluLyz1q207XH1aVvNW/uvPaO4tBbLhXwqyHz5Pu7lHzYUA9/h+Mnga48RaLoUHizSbnVNagmuNPht7pJBcpC6RybXUlchpFAXOT82AdrY14vHHhyaG/mj8QaXJDp8ogvJFvYyttITgJId3yNnjBwa8luvhR4p1jxd4W8Qnw/4V8Nz2tjquk3tvpOoSObaO6FmY7qCX7InmSxm0I2FYxhxh/l54a1/ZV8R6tp/hqz1jTfCOm22h2eh6TJaabNLNBq1vZ6na3c0sytbptPl2ziOI+YN08gZ8HJAPpm88VaJp+iw6zdaxYW2kTLG8WoTXSJbyK+NhWQnaQ2RjB5yMVgeC/i54a8baToV3BqNvYXWtRNPZaZfXESXcqKzKSsYYlhlDyuaxPi58O9U8S3vgjUNB07RdUHhy/lnbRNama3tJo5LSa3BDpDLtdPNyP3ZBUuOMg14zov7MXxF0uz8BaO194bXRPD9xotyy2MxtxGbS/NxOqp9kZ5Q0ZCx5mjVeRt5LMAfSl18RPCti92lz4m0e3e0ANyst/EphBcxgvlvl+cFef4hjrV268UaNZazaaRcavYwateIZLawluUWedRnLJGTuYcHkDtXg2lfsrrDqOk3d/p3h26lt5/Fk9zI0O95W1S8Mtu2THyViIRyemMLuHNZ1/8As+/Ea8ufh9Zyalokuk+H4/DTzutyY5fO0+dHuzj7I0k/mKuIyZowMkFBliQD6EtvG3h681q60i317TJ9WtQzXFhHeRtPCBjJeMNuUDIzkdxTF8eeGW0Ia2viLSToxk8oaiL6L7Pvzt2+Zu25zxjPWvjT4d/CrxL44g8deGbzSdU0y/1zRdbs7fV7+1ltoNLE2oGYWsqtZReaJjKWLLcXJCxvg4bc3qNj+z34k0+XStch0LQbrWLfXpNUvdH1XX5rqzvQ2nNZCbzRYr5cqAqABA25AcsC3ygHzt/wVs8a2XxE/Yp8B+I9Pings7/xhbPHHcBRIALPUF52kjqp6GisT/gpt4CvPhf/AME/fhh4V1A2RvNL8VWsEn9mhhbj/RNQIEYYAhQCABjjFFAH3N+yd/yaz8G/+xM0b/0hhr1WvKv2Tv8Ak1n4N/8AYmaN/wCkMNeq0AFFFFABRRRQAUUUUAeVfGT/AJKL8Cf+xzuf/Ue1mvVa8q+Mn/JRfgT/ANjnc/8AqPazXqtAHHeNPHFx4Y8Y+ANGhtopovEmqXFhNI5IaJY7C5uQy46ktAq89mNcv4J8eeOfHWl+OLYWXh/QfEega/8A2XGkkk15a+T9ktbnLMPKZnxclcgAZXoep6zXPh3B4h+IHh3xReatqLLoIkey0hfJFoLiSKWFrhj5fml/KmdMeZswQduea5bSvgAmnaN4/wBOn8deKtRTxoZJL+ec2EUsEj28du0kDQ2sexjFFGvO4DbkANk0AcJP8bviQ3wHHxFtovCrK7zixtTa3LHVla48jTzB+9G03RMZUMTxMh45FdzqHxB8ZeHfix4K8O6nZ6Fd6Z4kNxEYdPeY3lmILMzSXTFvlMPnBIcYBBnhO4litdXrHwx0XWV8IQMstrpvhe7jvbHTLYqtszxwvFCJF2klY9+9QCMOiHnaKxrH4Nf2f8WNT8eReMvELXWoiKKbS5UsZLQQRrhbeNmtTPHFuLSFUlGXYsSc0AU/EHj7xdrHxI1fwl4KstF36Fp9rfahea5JKElkuGlEVvGIhlTtgZmlO4LvTCNzilqn7UngzRbbU729i1aDSLSDUZ4NVNiTbX/2EObtLcg7mZBHIRlVDhGKFgM1u+Kvg9Hr3jCbxNpPinXvB+rXdlHp+oSaI1sVvoI2dohIs8EoVkMsuJI9j4cjccDHK6n+yj4b1nStQ0e91/xBcaDNBqcFjpTS24h0o36yLcPAwg8wttmlVPNaQIJGAGMYANKT9pTw9HJHaHRPEn9ty6oukRaJ/ZhF48zWj3kZ2FsKjQxs25mAUgh9pBAr/wDDV3gFpNF8u4vpINShsp5Lj7NtWxF3KYbcXAYhlZpFZSFVimMvtUhj0lx8GNFufiNB40a6vxqkOoR6ksIkTyTIlhPYgEbN23yrh2+9ncFOcZB5fQ/2WvDfhfW9N1PSNV1O0mtYYIJ1kgsbkXiwzSSx7zNbOyN+9dS0JjJXHdVYAEfir9p6x0fw7da1ovhLxB4jsIdZtdGju4YEhtrp5NQSxlaGR2+by5HIGQokIG07SXXel+P/AIdt/EQ0qez1aGNb6LSZ9Sa0zaW9/JEsqWjyBj+8IdFyoKB2CF93FUH/AGdLH/hGdV8OxeLfEUGhXF4uoWFgjWhTSbhb1b5Ht2NuWbbOikLM0ihflxipm/Z50qbxA9/P4h1240+bU4tbuNFd7YWk+oRxIi3LbYBIGzGkhRXEe9Q2wcggGdN8dm8c+BfCGp+DrPUNOuPF+r2dlpMusWYiaW1ZBdXF0sZJOwWsc5UsBl1XjBBNrwT8TvFvjWK78VW2laYPAsV3f2sNpCZpdWuI7aSWETIAPLJklhO2LAwjBi+cpWj4Q+DcfhHxB4PMV61zoHg/wwmgaPDcHdPvPlpLPKQoUt5VtAqlQPvzcANg5Gpfs06df6X4h0OHxh4n07wlrTXss3hu1ltPskUl0XaZo2e3aUKZJXk8tpDHuY/IV+WgDO1r9paNrjwg2iaLqV2bzxPceHdW0f7Ist/DKmmXF4qJskMeSVt237ygRzkjkg039qLRbnVNf1GV2Pha30rRbiwRbZkvZby9u762a3dWYAMJLWNMHaEIkLNtGRY0/wDZZ0fR7G3XS/FPiDStTt/EDeJYtTsksInS6bT/ALAyiIWvkeUYc/J5f3iTml/4ZO8Hrod1pq3mrbprfTYxeSSQSypNZXVzdR3OHiKNI8t3M0gdWjYHGwDIIB1Vj8cfC978LdV8f+dcQ6HpS3X25JIv39u9u7JNGygkbgyEZBKkYYMVINPk+Mmj2cNudQs9R0y5m0S+182txGjOlraPEkpJjdlJJnjK7WIYHOa0dL8AnR/Aknhq31u8R3WRf7UjtLKOZS7FiREluIOM7cGIgjrk5J89k/ZR8Px+GtM0ew8R+INHW0s9V0+W505rSN7m11GdZ7qFk+zmOJDIiFfJSMoFwpGTkAb4N/aUtNX8a69pGqaffQ6b/wAJBa6RpWrRWLC1H2jTbS6hinkLH967zyKNo2jMatgsN3d+MPivpngfxJo+lapYalHDqdzb2cWqJCptEuJ5PKhiYlg5LOVXKqwXeu4rmuU0n9mfRdJ8SJqKeI/EE2mjUrTWH0GaW3NnJeW1rDbQSkiAS/KtvE+0SBS6AkdqseNP2cfD/jr4jW3jK91PU4L6GbTbg20K2rRM9jc/aIMPJC0salz86xyKGHbOSQCVv2ivDf8AwjOqa+tnqb6XZ6quiwTeXEovrprlrby4i0gCYlUqfO8vGQehBL/En7RXhTwl4gsNH1Rb+1vJo7J7rdCuNO+1yGK3W4+bILOCpCB9mNz7VIY1T+zvYm68XXh8Tas+oeJ1t4b+5kstMYPDC0pWNojaeVLkTMpeVHcqqDd8tQaT+zD4c8O6toOoaTqmpWUml6dYaXIkkNndfbIbPIhMjT27sj4YqWhMeQR0KqVAILj9qzwxHfTWkGg+Kr6QSajFbta6QzJdtYTmG88piwGI2GdzbQ3RCzfLVW8/ab07R/H2pwXVrd3ngxdA0XWoNZsLF3jto72a7QzXDkjbHiGAgBSwBkYjaCV6zTPgXoOlTafJFd6ixsW1p498kZydUuTcXGcJ/C5wnoPvbjzXOXn7K+g3S2tuniTxFbaUNE0zw9f6XFLbeRqVnYtI0KTFoC4Lea4cxMm4MRxQA3wv+0lpkPhnWLzxVutb7Txrt8Es7ditxZ2Gqz2WIhuJeYBbcFR1aZMfewPalYsoJUqSM7T1FeI+Kv2a7HVrv4e21lM50zQfFN74iv5rqfE80c8896bYBUCtGb1rZyrY+W3UEsevt9AHlX7S3/JOtI/7HPwn/wCpDp1eq15V+0t/yTrSP+xz8J/+pDp1eq0AFFFFABRRRQAUUVz/AMQvEWoeEfAniHW9K0ebxDqenWE91baTbkiS7kRCyxLgE5YgDgE88AnigDoKK+erX426xY/BTUPFcnjfwXqklpqVyJtVNvc+RbxYaVLWS2TEqTpuWLaxDbVV2BZitamqfGXxjZ6D8L/EiaPoseneK5dHtbjRDcSS6gJrzaZvJkT92y28ZaU8HekMhymBkA9xorxLwD8cdd8UeJ/C7X+madB4Y8WyalFpDW7yG7gNozbDPn5WEsSSPhQPLIC/PncM/wATftGar4X1TVNbuNMsW8B6Z4ibw1cMrudQMiwbmuV/g2CY+V5eMkfPvH3KAPfaK8i+E/xW8S+JvEllpHinTdMsptW8OweJbA6XJIwhjdwkltKX++6b4v3i7Q25vkXbz67QAUUUUAFFFFABXlXxk/5KL8Cf+xzuf/Ue1mvVa8q+Mn/JRfgT/wBjnc/+o9rNAHqtFFFAHFfFjxxe+B9D0w6Va293rOr6ra6RYreMywJJM+DJJt5Kogd9owWKhcrnI5e0+LniGT4P/ETWjo1ve+MPB51O1NhYrJJDfXNtEZIfLUZkxKrRHYMsCxUFsAnt/iF4Cs/iJoMWnXV5eabNbXkGoWeoaeyC4tbiGQPHIm9XQ8jBVlZSrMCCDWLoPwj/AOEZ0ya20zxbr9rcXP22a7vv9Eea6u7mSOQ3bhrcp5kfl7EVVEYV2UocLtAJvhB45k8d+H7y5udY0jV721vGtpxpNtPa/ZmCIwjlhnJkSTDBsNjKupAwcnyHwd+2v4d17w18OdVvbi0g/tnw3JruvxwRTsdPaO0jmaOIbcyfO7IANxOABkmvavh/8ObfwG+t3R1XUNe1jW7tbzUNU1PyRNO6xJCg2wxxxoqxxooCoOhJySSeRvv2Y/Cep/D/AMH+D7q51WXSvC2htoFk/noszwm2jtxI7BB+9VYkYMoUBhnGOKANTQfjxoGs+JLLw7PY6toviG5vhY/2XqdqI5o2a0mu0kYqzL5bRW82GVj8yFTgggN8HfHzw/4+8UWWh6JY6xeTXGnx6pJdfY9ttawSPcJGZZC2FLPayqFGSeDjGSMqb9nGzur6PWZ/GfiWXxfFfxX8fiY/YRdp5dtPbLCIxbfZ/L8q6uOPKzulLZyARu/Cz4JaJ8I5JX0i81K7aTS7PSWOoTJITFbS3UsbZCKS5a8l3E9Qq8DBJAPQqKKKAPKvjJ/yUX4E/wDY53P/AKj2s10Hgz4weGPGtndy2+p21ncWl5d2c1leXMSzxmC9ls97IGJCPLEdhPXcvc4rn/jJ/wAlF+BP/Y53P/qPazXk3/DKusaot/pviG18P6ZoUV14mvxrOhyzS6nd/wBpTTPEHj8hNrRCVHyJHJe3h2gYyAD6hm1rT7cXBlvraMW0iQz75lHlO+3Yjc/Kzb0wDydy46iqupeL9C0eQR3+tadYyG4W1C3N3HGfOZQyx4JHzlSCF6kEGvHfhf8AC3VfHH7Nmp2PjlWsPF3j22n1TWpEjMclpdXEarCAp5V7eJLaMZ5BgFef6p+yj4016C11bxBLo/iHxBrFpqkHiiyh1WWwtZZLuSAKYJjaTMUW3toYCDGhIiRgRt2kA+idC+Kmg694n8R+Ho7lLfWNFvzYNZ3E0ay3LC1t7lnhTduZAlygJIGCG7YJu2fxA0O507RLia+t7C51m0W8stPurmJbmVTGHKqochyAedhYe5HNeRyfs43ieI9S1i3XSUvbjxnZ69FeSM7XIsodJhsjE0pj3F9yTYGcFZCSQWIqn8M/gL4p+Hd5oCz6f4Z8QxDwtoWhXl9d3cqz6dLYRSI5tVNuwljZn3rloiGySDwAAeveEfij4f8AF3hnwhrC30Omt4p06DUtN0+/njjupEliWUKE3Hcyq4ztyB61s634q0Xwysbaxq9hpQk+4b65SHd8wXjcRnllH1YDvXzNov7KPiLTbrwfHqTWGuWFnoHhzS75I9Zlsza3GmEsXhxayGZN58xBuhO4HP38r1Hx+8C+IvGXxd8NDQ/C+i+II28Ia/YSzeImkitLVp5tPRSJEgl/eFQ/7vCl0EmGGDQB7lH4o0abXpdDj1axfWooxNJpq3KG5SM4w5jzuC8jnGOao/8ACxPCv9knVP8AhJtH/sz7R9j+2/b4vJ8//nlv3bd/+znNeB6L+zt490/x94WutQ1LR9Z8P+HZJFhd7kwTXUB0Z7LZJElru8xpmDvI075XGFG1VEb/ALP/AMQYfhvb6PYjR7bV9K1B5vDU0mtPL/Ylv9iS3RJJDYYvlz5oKTRhvLZR5hZQwAPoCTx3o1n/AGs2pXkGjwabd/Y5LjULiKKN2ECTkqd/ACP/ABbT8rHGMEyX3jvw1pdxp9veeIdKtLjUVV7KKe9iRrlWICmMFsuCSMbc5yK8pm+Aeo6l8RIdb1P+yNQ0xfHLeKGt5lZyYf8AhH105MIyFfNFwocDOAoBDbvlrwfRfhb4m+HvxX8PaTf+H77XdO0x9BgjtdMt5ltZTDcTlJ47g2MiiO2W53MhuLYHyypUggyAH2zrfiXSPDMMEusarZaVFPIIYnvrhIVkkPRFLEZY+g5qQ67poVWOoWoVp3tg3nrgyoGLxjn7wCPleo2n0NeUfGb4V+IPF3iy31rRtO8Pa/G/h+/0CXT/ABJcSQxW/wBoeJvPjKQy78iPa8ZC7gFw4xg+Za1+xv4gv7PWdAh8TWr+GX0KQ2DXHmfaP7clsYbCa4kXBUQtBDIThixa9nyO7AH0n/wsDwv/AGKmsf8ACSaR/ZDu0a6h9vi+zllBLKJN23IAORnjBqp42+JehfDq3u7zxFc/2Zpdnplzq11qMhUxQwwNGHBUHzGY+auAqNnGOpUN4/4b/ZvvG1jwzqes6RpUT2niltf1S1m1V9US4xpM9lE6brSFRIrvDxsHyxht27Cjqvjd8F9S+Kd/qRtbmyt7W88D694Yzc7iyXF61mYZNoUgov2dyxzkHbgHnAB2mg/ErR/EniybQ7CZbr/iVwatbX0MiyW93DJLLE3lspOTG0Q3enmp6nGzJ4m0eHXE0WTVbFNYkiM6ae1yguGjGcuI87ivB5xjivMPCOg6/cfGrS9S1TRYdGi0bwcbGcWDvLZSXF1dq/lwzNHH5nlrZ5b5Bt+0L61zusfATxJqXjrUZRFoJ0i88WW/ioeIHuJP7Vi8q3jj+yCLydpU+V5fmecP3UjLsz1APY7rx5oyeGNW12wvYNbstMjkkn/s25ikOUQSFNxcIG2lThmHDAkgHNXf+Eo0b+2l0f8Atex/tdt2LD7SnnnaoZsR53cKyk8cBge9eT2/wHvNN/ZBf4Uacmk2OuSeEP7DkmgDJaPeGzELylgm4q0mWLFNxHJGeKzfEP7ON/rPiTxFrFvLpdjqOp+M7fXotUiDC7hs00qKyKb9mfMDLMQudu1/vAsRQB65H4+0W81Cys9PvrfVnuL2TT5HsLmGVbaZIZJWWX58g4jI2gFskZAGSMu2+MXha88W6joUGqWsv9naedRu9QS5ia1t1ErRsjuG+V1K5IIGARzXlfhX4D+KbfQfhxpV3p3hjwx/wiT+RJe6Bdyyy3cQ0i9slmAa3j2v5lyjiMs2BvO8nAPED9kzxrd6Xp6m18JaDc6To2iaZFFo97Mq6m2n3az7ppDajylcDKjZKY2APz0AfUtx468NWdhaX0/iHSoLK8UPbXMl7Esc6kqoKMWwwyyjI7sPWoPD/wARvDPirxFr+g6Rrdpf6zoNwLXUrKJ/3lvIY45MEdxtlTLDIBJUncrAeGQ/sszXVnbrc6Xo8QHh3xLYNa3l8+oiK+1O4t5BKkjW0YCkRTb9qLtMmAHBJrvfgz8Mtd+HPibxZLqEOlXFjrP2G7XULa4c3X2iLT7W0lieMxAFC1qZA+/J8zBQYzQB1Oj/ABU0LUtL13Vbm7i0fRtK1WfSDqOpTxwwTSwsI5SrMcACYSRc4JaJvatgeMdDk1SfS4tYsJ9Vhg+1Pp8V1G1wIsAh/Lzu2kEc4xyK+f8AQ/hP4obSNHjttG0/Ub7wf431+/GmeIpJLSz1GC9lu5obiOZYZcukd8nzeWw3CZcqw4vQ/BLx7e/GLQfEWoTeH7bQNJv5rqG206fy/Lgk0mS0ECwraKWKzOG3vM2UVcKuAgAO+0r9oHwtrnw98P8Ai2wma8t9Xl0eA2MEsUlzZvqUsEcCzqHIQqbhSwznCtjPfu7PxFpWoareaZa6nZ3OpWYU3NnDcI80Ab7u9AcrntkV8teB/wBlXxjpekeCrW/tvCeiSeF7Dw/ph/sS5mdNTWx1O2vJ7iXNvHsfbbuET58vNIS6g5rt/gz+z/q3w9+IEurautvqC2r6qbLWI9XkMsiXt2LhlktPsygE4Xcxnf5owwHzfKAevSeO9Gs/7WbUryDR4NNu/sclxqFxFFG7CBJyVO/gBH/i2n5WOMYJuf8ACWaGdRsrAazp5v72D7Va2v2pPNnhAz5iLnLJjncOK8juvgJfan8SE1zUF0m+0lfHT+Kfs1xukbyP+EfXTkG1k2+atwofrgKAwbd8tYHw2/Z98WeA/EPhM27aRYafZ2P9n6zcW1+84vbdI7oW8Uds9sBE0bTriVJV+QOrKwwAAey+LPiXovhPS9NvpJ11CPUL3T7OBLKRHZheXUVtDN94Zj3zKSwzwDjJ4o174reDvDOjeJNV1DxLpsVl4bhe41do7hZXskUEnzETLBuCAuNxPABPFeA+HP2cfiCLXwhbaxJ4bt4vDWneGtJiayvriZrqPTNSguZZ2DQJ5bSRwnbGN2GwC5ByH3v7Nfj7xVqnjd/EGo6H5Os+FfEHh22lt5cruvbiKS1kMCWsYjWNIzuzJK24k7myTQB9Baf8QtD1Nr6WC/t20y0sob9tV+0xG0aKRpQGDh+AvktksAORgnDYmm8feGLfTrTUJfEekx2F4u62unvohFONwXKNuww3Mo47sB3rxTxF8C/F3ia6vtZktPDlpeS23hpl0H7bLJYzS6be3lxLDJL9nBEbi4jKuI2IdclMKN2VD+yxquqaprWq6zZ+Gw+q6X4kiXS4y89vp1zqJsVjELNCuV22srSPtQl52wpBJoA+jNU1yLSb7SLWSKSR9TumtI2QoAjCGWbLbmBI2wsPlDHJHGMkVrLxx4c1LS73U7TxBpd1ptizLdXkN7G8NuVGWEjhsKR3yRivLfHXh/WP7V+Beh28U13quk6hPdXl6tpLNaQKmg6hamWWTaFwZ7mBQrEM2/gcHHnWjfs0fENrHWbzXJ/D2o6rO3hu4XTpL1jZ30um3M8sySmOyiWGNxLHsCxPtMa5BCgUAfQWl/FTw/rHirUdFt7yJhaWOnXy6h50Ztblb2W4igWJw3zMWtmGO+9MZycHiD4weCPC2jz6rqfirSrfTre/h0ue4W5WRYrqWVYo4n2k7W3MM5xtGWbCqSPG9X/Z28Wa18VbXx5GdB0OZNOs9POiWtzLLaw/vNQFxcRt5CYuIkvI3hl2AsfPQhBLvGF4c/ZT8RaP8ObjTJbDRZPEdpBoEFrcSa1LNaXyaZepcqjx/Y0+zqwV1BHnFfOYchcsAfT2peKNG0bTY9R1DVrGx0+Rd6XdzcpHEy7S2Q7EAjaC3XoCacviLSmhaUanZmJYopzILhNojkJEb5z91yCFPQ4OK8i+PPh/X9b1b4OS6X4X0zXb3T/Ecl3cWF9LILCDGk367mnWBygV2UI5i5coMKTx55afsxePtA8O3OiaZN4anttZ0vSrW/kmvLiFdOktNSu7xo7aNYG82IrdiJNzRlRECQc7QAfTlr4s0O+v7mxttZ0+4vbVGkntorpGkiQMVLMoOVAYFST3BFYMfxm8CzeING0SHxbpFxqesQT3OnwwXaSC4SF0SQq6krkNIoC5yfmwDtbHhviX9knVtY8JS6fZTaHp+pXMvip7y7RXH2ldTu3ngjkKoGddnlJKCeAuF3YFdvH8L/Et9488HeKJvC/hLRmsbXU9M1DT9Ov5JBFDcmzKXEUn2RPMkX7GV2MiDEgw/HIB6zN4r0S2tVuptY0+K2aFLhZnukCGJyAkgJONrEgA9CTxTbPxhoOo39tY2mt6ddXt1bLewW0N3G8ksDDKyqoOWQjow4PrXzLpn7MPjfVdH8L6T4lj8Kvp2g6X4b0UxQ3c9yt9DpupQXM0sivbqF82KJgIvmAYgFyDkdJ/wzXqv/C2NY1eRoJNHutWfV7DUINWe2udNkbTxZhRbLbESbACq/v1GxgCvyYYA77xF+0L4W0HWbzT4pTqy2MdrLe3enyxSw2qS3i2jbyHyDEzb3GOEBPJ4r0+vjnUv2efGOg+AdWs5NA8PWt3e+EdM8CQL4Xaa4klcXSxm9l3QR+XGiStIQS3lhGO5q+t9Pk1N7zUxfQWkNqtwBYPbzNI8sPlIS0qlFCP5hlG1Sw2qhzklVAPg/8A4LV/8ms+Fv8Asc7X/wBIb6ij/gtX/wAms+Fv+xztf/SG+ooA+qv2Tv8Ak1n4N/8AYmaN/wCkMNeq15V+yd/yaz8G/wDsTNG/9IYa9VoAKKKKAPO/Cfx08PeMvF48P2NvqUckxvxZX1xbBLa+NlcLb3YibcW/dysF+dVDdV3DmvRK+dfhH8AfFHgf4xXfi2+TRbZrttSOrapYX8002tiecSW+60aFY7QxgDJidixXndncPoqgAooooA8q+Mn/ACUX4E/9jnc/+o9rNeq15V8ZP+Si/An/ALHO5/8AUe1mvVaACiiigAooooAKKKKACiiigAooooAKKKKACiiigAooooAKKKKACiiigAooooAKKKKAPKv2lv8AknWkf9jn4T/9SHTq9Vryr9pb/knWkf8AY5+E/wD1IdOr1WgAooooAKKKKACqOuabLrGk3VlBqF1pM0yFEvrHy/OgPZ08xXTI/wBpWHqDV6igDyLwt8C9V0PQriWX4h+IIvGeryw3eu+IrKCwD30yW6QbFhktWijiUINgVAwwNzMS2YNI/Zl0zwzrXhO/0Hxf4l0a38MaTFoun6bEbG4t0gUgyH9/ayOskoCiR0dWYKoBAFeyUUAeT6T+ztpmh3Ustj4m8QW8cMWoR6NbrJalNDa9cvNLa5gyXBJ2eeZQgJUDaSKlvf2d9A1LxNd6jealqtzpF3qR1ifw3I8P9nyXxt/IM5/debkr82zzNm/59uea9TooA88+GnwXsPhreLdrrmseIbqHTYNGs5tZkhZrOyiJKQJ5UUeeSNzvudtq7mOBXodFFABRRRQAUUUUAFeVfGT/AJKL8Cf+xzuf/Ue1mvVa8q+Mn/JRfgT/ANjnc/8AqPazQB6rRRRQAUUUUAFFFFABRRRQAUUUUAeVfGT/AJKL8Cf+xzuf/Ue1mrnhT4+eHfFvi7/hHoLTVrK4mu9SsbK7vLTbbX01hcPBdrFIGPKPG/DhSwUlcgGqfxk/5KL8Cf8Asc7n/wBR7Wa4rwd+zLqfhHxcviG21C2i1DUNQ8UDVJPtU8vlWeo39xd2stqrqVinjJt1dUCK26QlnKISAe4weNPD91b3s8Ou6ZLBZTfZrqWO8jZYJcgeW5DYVskDaeeayF+K3h6bxLpOlW17FdwalpF7rUWq280b2Yt7WW3ikJkDYzm5UgjjCNkjAz8wX37NviXwV8K7eyk8O6Zreux3nhPSlVNTmvLS+t7PVYXJmgFmnkQqGdif3xRXfJIXLdpY/s8+O7G717XbGfw3pGs6pp3iBYtPjd7mzsbm+n094UXfb7XTbZSM7tF/rJc+W4zQB79/wnnhn/hHRr//AAkWk/2Ex2jVPt0X2UnO3Hm7tuc8detWl8T6O2rppQ1axOqPB9pWxFynntF/z0CZ3Ff9rGK+cdD/AGefHGiyw61cW/h7XtRg8X3HiFNE1PVJDbSRTaVFZZa4WzAEySLI4xb7SHbkE5GloP7OOtWPxUn17ULbTrnTpNVGtW0trq8kB0+b+zltPKW3Fr+9RQGRSZkBjYAoCmGAPbofiJ4VuGRYvE2jys88dqqpfxEtM67o4x83LsvIXqRyK0G8SaSmtDRm1SyXVzF9oGnm4QXHl9N/l53bffGK+ZLX9ju5s/AK6VBZ+GYNZj+Hem+FYruOMqE1CB3kknDiLcELsrB8byRkqDXUQ/s86unxq1TxLeLbappVzrba7aXjavJBPaSmwFrsNuLZhLgBlB89QUfBXKYYA9S174y+BfDOjy6rqPizSYdOiurWykuEukkWOa4dUgRthO3cXU5PAXLEhQSN7VPFWi6HpsGo6jq9hp+nzsiRXd1cpHFIz8oFdiAS3bB5r5pj/ZN1rSPAvhvTdLt/DS3+k+GfD1hNBueGC8v9O1CG8kLMsJPlybJVEhUtmViU5OfTvjl8O/Evj7wvof8Awjlrptj4p05nntL6bUmji06d4GiJCG1lW6iw7K0ciJuXkFWwQAdd4d+KOg+IvFniDw3HdR2us6PqB09rS5ljWW5YWtvctJEm7cyBLlATgYKt2wTrWfjHQNSa6W01zTbo2twtpcCG7jfyZmbasT4PyuWIAU8knFeL65+zjqOreIfEGsRT6XZapqXjK315NWgVluorRNJhsmUNsyJA6zFV3Fdr/eBJFclZ/sz+NU0vQZVsvCekan4X07RrCytdNvJ/s+rtY6jbXZkuH+zK0GVtmVAFmKG4kJLdwD6Fm+IukxeOrLwsHMt3c6de6kbmN0MMKWsttFKjndkPm6Q4x0VskcZr+E/inoXjbUvEVro1wNQh0TyfNvbaSOW3n8yLzB5Tqx3YGQc45FeE337MnjXxJaeKJNSvdBsb3W9M8SWxhtbieeFJNQurGaGNi0SF4gtrIkjYBIYYXkhfTPhL8Ndb8M658QNZ1fS/D+hSeJpraaLT9AuHnihMVsISXkaCHcxKg5CDjA7ZIB0/gP4u+GPiD4FsvFVhqtpBYTadb6lcx3F1EJLBJoVlVbjDERsFbnJxwea6iy1ex1LTI9RtL23utPkj81LuGVXiZMZ3BwcEe+a+QdL/AGQ/G/8AwhvhvT5k8LaFe+GdE0jSoYdDvZhDrT2l3FcPJcObUGHJiJT5JiryOxz0Pr3/AAo69m/Zz8T+AraO20XVNaiv3aOTUJL+2864keRg8nkxEpIzHeqxgDe4G7qQDsdH+NXhHWrjxGYtZs4tM0N7dJ9Ylu4RZSecgddku/Bxnac4545ro5vGGg291ZWsut6dFc3uz7LC93GHn3glNgJy27a2MZztOOlfPNv8APGkPjybxuvh/wAFRXTa1FqY8LxahMLJwNNezMjXH2P/AFylgyt5JG0svHDVU0f9kbVdO0DW4JW0CbVLrSdHtbCcK+LCW21S8vpo4mMe5IUFxCkWOT5K5VcCgD6Xs/EWlahqt5plrqdnc6lZhTc2cNwjzQBvu70Byue2RXOaP8XPDWqeI/Euhy6jb6bqOg3rWc0N9cRRvMFtILp5o13ZMapcqCxAwVbPGCfNPgz+z/q3w9+IEurautvqC2r6qbLWI9XkMsiXt2LhlktPsygE4Xcxnf5owwHzfLQ1n9nfXtd+KGv3d1pnhd/Der+LbPxJJqxmkOpiGCwgtjaGLyNrCRoXUt5uBHNINpJxQB9DR6hazXBt47mGScRLOYlkBYRsSFfHXaSrYPQ7T6Vl2Pjjw5qen3F/Z+INLu7G3m+zzXUF7G8UUuQNjMGwGyQMHnkV49+zD8PNf8N+C/Et3rErtrE0z6DpNxqNu6yDSdP8y1sDMj4Y78S3Bz977SfXNch4d/Zi8bX9nq48XTaBeyalceE5Li3Fx58Ey6ZqD3F3lFs4EVZI2CpGEI4CswAzQB9P6brWn6zpcWpaff219p0ql47y2mWSF1GckOpII4POe1c7cfFPQBfeEoLC7j1mHxJqM2mWl5ps0c8CSx2s9yxdw3TbbOvGTuI4xkjhNQ+BWpXvwb+J3gmC9s9NfxNe6pcWD24byYY7li4SRdowCS28KDw7dc1z3h/9nfXIbzR9QlW10G/XX7jVdSkt9akv3dX0W409JImNrAFkDSxfLtA2x5LE/LQB7lD4z8P3FnqV3Frumy2umuyX06XkZS1ZfvLKwOEI7hsYrHs/jF4H1DxHc6DbeK9Km1W30+LVZIVulIFrJ5myUPnay4icnBJAAJwGUn588Nfso+JNF8F29pNZaLPrmmDQ4kWbW5pbHV4dOuDKIZYxZp9nUksynE5Vmwchct0njv4C+K/GEPjn7Po3hPSn8X+B28OTRw3suzT7tXvmRkItR5scn20B3xGw8sna2QKAPa7P4h6DfSam8Wo2p07T7aO6l1X7VCbTYzzIfnDnGxoHDFgADwCSGAE+IugH7fNJqVrBpVnZ2982ryXcIs3imaRUYSb+mYjyQAdwwTzjyf4hfs96lq+v6zf+H7bQk00x+G2stDuWa3tZzpt9eXEkEwSJhHGwuI9rKr4dMlMDmPXPhD49urzxFrOjw+GdC1DVbLQ7f+zra4LxRfZb2+nuVSWS0ZVZkuk2y+STv3nah2tQB7Nd+OPDlhY2l7c6/pdvZ3iCS2uJr2NY51JUBkYthgS6jI7sPUVt18v6D+yrrH/CN6ZYa8ug6hPaeH/FmlqsrtcLFPqmoR3FuyM0K/KsKujsFUjOFUgnH0X4T0250Xwto2n3kqzXdpZQwTSIxZXdUCsQSASCQeooA1aKKKACiiigAooooAKKKKACiiigAooooAKKKKACiiigD4A/4LV/8ms+Fv8Asc7X/wBIb6ij/gtX/wAms+Fv+xztf/SG+ooA9f8A2Zf2Zfg9r37Nvwo1PU/hP4H1HUr3wlpNzdXl34cs5Zp5Xs4meR3aMlmZiSWJySSTXpf/AAyd8EP+iN/D/wD8Jex/+NUfsnf8ms/Bv/sTNG/9IYa9VoA8q/4ZO+CH/RG/h/8A+EvY/wDxqj/hk74If9Eb+H//AIS9j/8AGq9VooA8q/4ZO+CH/RG/h/8A+EvY/wDxqj/hk74If9Eb+H//AIS9j/8AGq9VooA8q/4ZO+CH/RG/h/8A+EvY/wDxqj/hk74If9Eb+H//AIS9j/8AGq9VooA+X/ix+zL8HtN8efBi3tPhP4Htbe/8W3FteRQ+HLNFuYhoWrSiOQCPDqJIo32nI3Rqeqg11KfBH9muTxpceEU+G3wzk8S29mdQn01PDdiZYYAUBdwIvlH72Pg4OHB6c10Xxk/5KL8Cf+xzuf8A1HtZqlrdv4ij/aV0XWrXwRq114fs/D+oaZPrMNxYLC888tjMhCNcrMQBauhJjzu24BX5gAYPgf4Q/sz/ABIk1CLw78Mvh3qM2nmP7VD/AMInaxSRrICY3KPApKOFYq4G1tpwTg0nh/4Qfs1+KNWtNM034VeAZ7y6TUXijPhC1XctjdraXRyYABsmdV5+9nK5HNbXwFs/FF/4k8WeLPG3gzVfC3ijXFt43W7ubGa1gtIDL9mtIWt7mVnKedNI8jqm55mwAoVR5D4k+B/ijOjy33w/1DxVFDB40hW20/Vra3e3nv8AWUubCZi9xGCDGpfILNGSp2hl4APcP+GTvgh/0Rv4f/8AhL2P/wAarE8XfAP9nXwHo/8Aamv/AAs+HWm2RlSBHk8L2RaWVzhI0RYSzux6KoJPYVg/DPwj47+HvjvWtWvfDt/4olfQN17qd5LZi6vdQihtUS3spvtOTBMYpW23CR+W/O/DkDvPjL4f1261z4e+KtE0aXxG3hjVpby60SCaGKeaKaznti8LSukZljMwOGdQVMgDZwCAZHhn9nX9n3xlolvq+j/CX4fXun3BYJKPClmh3KxR1KtCGVlZWUqQCCCCOK1P+GTvgh/0Rv4f/wDhL2P/AMarzD4jeC/HvxC8Rarqv/CFazZ6lqNlYx+G76TVrRf+EXniuJTNLMqXJwzKYpCYBL5i/umOFwcPxl8N/ivrXhjWfDdj4d1SKW1tvGKwauNXtkjvXv5ppNPEOJ/MUhZFUmRU8thgZHzAA9hvP2Y/gHp01lDd/Cf4cWs19N9ntY5vDlgjXEux5PLjBj+ZtkcjbRk7UY9Aatf8MnfBD/ojfw//APCXsf8A41Xlfir9nu7sPH1heWfg2bXvCek+LbPVrXT1vYpH8p9KntrmSMTzLg/aGt5HDMCxRnG5ic8/L8DviRNpPxNEsWvHxXqGjeILO3v7a5tIrPVXuZWazzL9qM29F2CPfFGIRvQMFxuAPdP+GTvgh/0Rv4f/APhL2P8A8ao/4ZO+CH/RG/h//wCEvY//ABqvKfit8CPG2k+JIrP4Y201n4XW2g1sRJqIQf2pp5uZILdvMfcwu5ZrXexyuLV95+fnM8afBL4ha14f8ILqFtrF8t1pmp3Or2mj3FrJdabq97cpc+bGZ7mFMxb5Yo5UdjHsG0BXJAB67Y/sx/AfUp76GD4O+AzJZT/Zp9/hK0QB9iPhS0IDDbIvzLkZJGcggVbX9nf9n6+8Ual4eh+EXgB9W061tr25g/4ROzASKdplibd5ODk283AORt5xkZ8Q/aE07xB4ZuprDWrmFdO13xZcXcDa3cwG3ubVPD9tBvZXu7aIOtwsrqjTIQ6b1RgN67tl8GbrxhpMXi/wvpOpn/ikfCaeGLu9ultbpZLe6uZpy8YkCrKIpY9xPDCR1UsCwIB69p37MfwD1iGSaw+E/wAOL2GOaW3eS38OWEirLG7RyRkiPhkdWVl6hlIPIq1/wyd8EP8Aojfw/wD/AAl7H/41Wb8CfhXF4N8N+O/Dd94WbRINQ17VpvtUcsXl6haXN3PLC0ZjkLrshmVCHVCCDjI5ryPwB8IPjMvizw//AMJObh9Iv7mys9dmOpRt5FtowieynRVfn7dOk7yKvISZVccYoA9Ws/2ff2eL54o4/hV8O0uJhdNFbT+FrKKeRbeURTusbwh2VHZQWAx86HOGUmTwv+zn8APGfhnSPEGkfCLwBc6Vq1nDf2kx8KWaGSGVA6NtaEEZVgcEAjvXF6P8Gtds/H3gbxDrXhOTWLmyuPFlrLdC5t3kslvNXFzp87F5RmMQq/CbnTzVG3rjZ/Zo+DOs/CP/AIRiCTTZtMtD4G0uy1eNr4Tq2rQ5EmR5jZYKzLvX5doVQcKoAB1//DJ3wQ/6I38P/wDwl7H/AONVj65+z3+z54b1DRbLUPhH4AgudZuZLSyQeE7NvMlS3luGGRCQuIoJWycD5cdSBXg2l/Dfxn8RfDviybwroep6bqs1x42srjxHdaugg1YPeXkNlaoomaRNkojI3xosfksVJ8zn1K38G+PPGHxgsvFd94Uv9C0hfEC3kdrqV/aSTQW40G9tGdlhmkUZuJo12qzHDBjj5toB1fhf9nP4AeM/DOkeINI+EXgC50rVrOG/tJj4Us0MkMqB0ba0IIyrA4IBHetT/hk74If9Eb+H/wD4S9j/APGq8O8P/Av4gWt18N7fV7TWorbSfDfhqzgn0aWzkbR7q0H+mIzSXKbVchQ7wrL5sYKHO1VPf/ADQ9aX4qeNLO/unufD3gWafQNEl88uJvtciX8ocdzBC9lbqTkjy5PU5AOx/wCGUPgeSQPg58PyR1H/AAi9j/8AGq5m1+DP7Nd94yufCtt8Lvh9Prlsdk0EfhG1ZI3CLIY2lEHliTYyv5e7dtYHGOa6X4f/AAq8R+Ffit4w8R6j4z1TV9L1Q2/kWVxFZBZNkRU7/LtkcbCcLhuR97ca59fBevp8cp5tF8Pa1o/hTWLi4PixdRvLSbR9VjNm0UU9tCJXnjuC626t8kaMiy7wzbGIBsaX+zH8A9c0201HTfhP8ONQ0+7iWe3u7Xw5YSxTRsAVdHWMhlIIIIOCDU8n7KfwOhjeR/g58PwigsT/AMIvY9B/2yr54t/2ffGtr8M/h34cHhXWdL07R/D9xpOoWOjTWD3EeqAW6rqUJe8jT5hHJ5cu7zYz/AodjXoWm/CPxqPjreazq5126hXUTc2OtWrWfkPZ/wBnrD9luC1wJVTzN5MSQshkKyA5LMoBk/Fr4E/A7Wfg54T8UeGPhd4IhsdZ8Q+E5ra8t/DNpA8tpda1p6spHlBgskMrKyHqrsrDBIr17/hk74If9Eb+H/8A4S9j/wDGq4jxH4c1Hwf+yd8J9B1e3+yatpepeA7G8t96v5U0WsaUkiblJU4ZSMgkHHBNfRlAHlX/AAyd8EP+iN/D/wD8Jex/+NUf8MnfBD/ojfw//wDCXsf/AI1XqtFAHlX/AAyd8EP+iN/D/wD8Jex/+NUf8MnfBD/ojfw//wDCXsf/AI1XqtFAHlX/AAyd8EP+iN/D/wD8Jex/+NUf8MnfBD/ojfw//wDCXsf/AI1XqtU9Y1ix8P6Te6pqd5Dp+m2UL3Fzd3MgjihjQFmd2PAUAEkn0oA82/4ZO+CH/RG/h/8A+EvY/wDxqj/hk74If9Eb+H//AIS9j/8AGqvW/wC0J4F/4QS88YajrK6BoVpezWEs2sRtbP5iMcYjYbjvQCVABkoytgcgbfiL4reE/CfiKz0LV9bt7LVbrydkDhjsEshihMjAFYxJICiFyu9gVXJGKAOW/wCGTvgh/wBEb+H/AP4S9j/8ao/4ZO+CH/RG/h//AOEvY/8Axqup0P4reE/Enii68O6Zrdvd6xbedvt0DAMYXEc4RyNshjdlRwhOxiA2DxSSfFfwlD40HhN9ct118yeT9lIbAmMXnCEyY2CUxfvPLLb9nzYxzQBy/wDwyd8EP+iN/D//AMJex/8AjVH/AAyd8EP+iN/D/wD8Jex/+NV1Pgn4qeE/iNNdReG9bt9Vkto45nEYZd0MhYRzJuA8yJyj7ZEyjbTgnBrrKAPKv+GTvgh/0Rv4f/8AhL2P/wAao/4ZO+CH/RG/h/8A+EvY/wDxqvVaKAPKv+GTvgh/0Rv4f/8AhL2P/wAao/4ZO+CH/RG/h/8A+EvY/wDxqvVaKAPKv+GTvgh/0Rv4f/8AhL2P/wAarzT4sfsy/B7TfHnwYt7T4T+B7W3v/FtxbXkUPhyzRbmIaFq0ojkAjw6iSKN9pyN0anqoNfUFeVfGT/kovwJ/7HO5/wDUe1mgA/4ZO+CH/RG/h/8A+EvY/wDxqj/hk74If9Eb+H//AIS9j/8AGq9VooA8q/4ZO+CH/RG/h/8A+EvY/wDxqj/hk74If9Eb+H//AIS9j/8AGq9Vrn4fiB4cufG83g6HWbSbxPBaG/m0uOTdNFAGRd7gfd5lj4OCQ4OMc0AcV/wyd8EP+iN/D/8A8Jex/wDjVH/DJ3wQ/wCiN/D/AP8ACXsf/jVd3eeM9F0/UNYsbjUYorvSLCLVL6Js5gtZDMElbjoTbT9Of3Z9q0tP1C31bT7a9tJVntLmJZoZV6OjAFWH1BFAHmX/AAyd8EP+iN/D/wD8Jex/+NUf8MnfBD/ojfw//wDCXsf/AI1XqtFAHlX/AAyd8EP+iN/D/wD8Jex/+NUf8MnfBD/ojfw//wDCXsf/AI1XqtFAHy/8WP2Zfg9pvjz4MW9p8J/A9rb3/i24tryKHw5ZotzENC1aURyAR4dRJFG+05G6NT1UGu4/4Z1/Z3OvHQx8MfhidaEfnHTf7A077Ts/veX5e7HvjFafxk/5KL8Cf+xzuf8A1HtZryHTX1Lwf8O/GGjWXg3WD8YodQ1zULfWk8Ny3CyySy3DxXcF80RgZ2tXWONDJuB2xFcAigD17/hk74If9Eb+H/8A4S9j/wDGqpw/szfAK41a60yL4T/DmTUbWGK4ntF8N2BlijkLiN2XyshWMUgBPXY3oa860nxZ4r8N+MdO1Oxbx3qfwwt9dhSRtU0i/n1Eq+l3omBgeH7U9uLn7FglCFkZsYRfl5jQX+I66VqmvajYeK7G51DSfCsGrXkFhMdSW1XVNT+2LEqoXMqQyx7hGC6pJuXkqaAPYZv2ff2dLfSdU1WX4Z/DGPTdKMq3943h/TxFamIZlEjeXhCgHOenetf/AIZO+CH/AERv4f8A/hL2P/xqvKLbwnrVx+yL8b9MtdO8SXl/qjeIW0yHVbKRNSvI5UfyG8p0V2ZgVxuXceN3zZrD1vWviJ9qnTQrrxxN8OpNXt1nvtYsNQi1RWNjMZgFjg+1C3+0C3+aNNofcoIi3CgD3P8A4ZO+CH/RG/h//wCEvY//ABqqdj+zN8AtUuL+Cz+E/wAObqawn+zXccPhuwZoJfLSTy3Ai+VtkkbYPOHU9xXN/FbwzrviL9lzw5Dq19revazY3eg6hf3ek2dza3tykN/ayTy/ZlQTBxEsknl7AwZAQoYADmrXwz400Dxt4m8TeGJPE2+98bWscGn3scq2d1YtoVpG080boGI81FDSsco8O3KneCAeq/8ADJ3wQ/6I38P/APwl7H/41R/wyd8EP+iN/D//AMJex/8AjVch+yrc+Nr5b658W6trE80mm2X2zTNZ029heDUP3n2iRJbiGOMhuAY4C0S7FK4Dgtx2u23xK03wtY6nLqXiySLVvF+sRawpW8aSy0+K4v009YYrWJpo4WAt2Mkakt+6LN5ZNAHsH/DJ3wQ/6I38P/8Awl7H/wCNVT1T9mb4BaJbxz6h8J/hzZQyTxWySXHhuwRWllkWOKMExcszuqgdSWAHWuL8KX/jmx+Ifga21LU9f8Wm70OG1upxpmoaXb2Uwtrh2vJleFYJfNbylaOQpLFJtwuCVHGWmuePfH2k+A7G/wBH8Wytptp4PbWRqej3MC/2pDrNq18+XjHmFERmeRMptBYMQCQAe5/8MnfBD/ojfw//APCXsf8A41VDXv2bf2ffC+j3Wq6x8K/htpemWqeZPeXnhywiiiXOMszRADkgfjVD9nvw/qHg/wAI/EHTLaHWzr8PiPW54Yte+0+RJ5t9czWrxSSgI6SRyRszRseWO4hq8W1PQ/GvxC8J6bp7S/EG9t2Tw7deIE1a1urSWLV11izMxt8xp+7WH7U7+TmBBFE64xkgH0BY/st/AjUrO3u7T4Q/Dy5tbiNZYpovDNiySIwyrAiLkEEHNT/8MnfBD/ojfw//APCXsf8A41Vb4/ax4x8A6DoXiXwZYan4km0uWW1utBtFad75JoHjgcgZJKXP2Zmf+GMzE8ZNeZeG9Q+Iei/GjwzoTDxZe2tjI+laxql/9smtdRiTSHkW8A8gWsQe6RACkjSFiytjdsUA9W/4ZO+CH/RG/h//AOEvY/8Axqqenfsy/ALWFuDY/Cf4cXgtp3tpjB4bsH8uVDh42xFwwPUHkV4zp/8AwtXw94L8MNe6j45voNW8O+Hr7xLO1tLNfWUzXKC/W3RIt8cnlOQ8ca71VCwG8Fjy+sah4/8ACPgLXIPC2jfEBtSk1HXtX0fUbi2v0mnkE0RtUmt4rYmVpFJIFzsUqGzucttAPoaH9nf9ne41CSxj+GHwze9jujYtbjw/p/mC4EInMO3y87/JYSbeu07unNan/DJ3wQ/6I38P/wDwl7H/AONVwq6d4p0n4p6vcWllqtnp158Qrm5nuobB5Va0HhNESYDadyfaY0QEcGRQnJ4rE8FR+OvFOh+CtBurvxjZWq+KprTWPEEZvbeTU7RdHml8/F1Es1pE9z5aFOiyAiN8FaAPVf8Ahk74If8ARG/h/wD+EvY//GqpQfsz/AK61a70yH4TfDqXULOKKa4tl8M2JeJJC4jZh5XAby3x/umub/Z7tfH+m6x4VfxPqPiXU01bwpJdasdciISDUIriFIlCiNVhcxSSZQAFtm4gkFjk63Jqscnx0Wz1K+0zW/8AhMNOkDWNnd3Es9iNM04pCDaI88UUmydPNjUlGMh55BAPR/8Ahk74If8ARG/h/wD+EvY//GqP+GTvgh/0Rv4f/wDhL2P/AMarxbWLfxrBr3iHxboekeLtL8X6x8MdNOlWdwbi7jhvojemeCVinlfaI1liZVlClpHJCkswqO7v/iRb+E7A2us+Ir3w1c+IWF439mazHf2Nt9hOyMu9uLx4jcgOXRDtZghYIGUAHsMP7M3wCuNWutMi+E/w5k1G1hiuJ7RfDdgZYo5C4jdl8rIVjFIAT12N6Grn/DJ3wQ/6I38P/wDwl7H/AONVifArR/Edr4+1i/8AEU13qlxceDvDkD61cadLZLezxy6mZT5ciKVkAkjLoVUqZBlVyBXCp4m8TWXg/wASTarb/ELU/GMuqyW+pWMEF/bWNpbtqJSGS1lht33RpBsObXe7JuLkHLKAekyfszfAKLVoNKf4T/DlNSuIJLmKzbw3YCWSKNkWSQL5WSqtLGCegLr6iix/Zm+AWqXF/BZ/Cf4c3U1hP9mu44fDdgzQS+WknluBF8rbJI2wecOp7ivBLpvGV5Y+BNb8Sp8QrTULbw/4s09L3QdLvJLzzhqdsNNSfbAZBvhgR1MiqJNgL5BYHUuI/ilo+m6lNe2eq6YdV8XQT+IbnS7W78xx/wAI5YpvjNpG83k/a42UvCCA0YViF30Ae5/8MnfBD/ojfw//APCXsf8A41R/wyd8EP8Aojfw/wD/AAl7H/41WH4uuPGlh+z34WJ1XWNS1UyaXHruraRpk0WpvZmWMXU0dt5fmpKY87lWMSKC5VQwAHF+K/GXizQ21qx8Px+PNRstS0nRP+Ednn0i8kmWRdQuhfGZ2iBhYQGAnz9rMm37zZoA9Evf2Z/gFpt5p9rdfCb4dW9zqErQWkUnhmxDTyLG8hRB5XJCRu2PRGParn/DJ3wQ/wCiN/D/AP8ACXsf/jVeMaHoEvhHQbHSNmvJ4iX4uvLbrrAuSjQy6ndTmS3eUbZFeweZ3aInq2/nIr0b9oLUNftvE1hCs/i6z8ONol9JbTeDrOe4mfVg8X2dZvIjdlUIXKh8RMd2/OFFAHQ/8MnfBD/ojfw//wDCXsf/AI1Vew/Zf+AuqW5nsvhL8ObyDzHi8238N2DrvRyjrkRYyrKykdipB5FVPgDpfje61rxbrfj2+1ddVSe1sYNNkcppyKdM0+SeSBAAr5ujcr5mWAw6jHzZ86vNL+JGu2It/t/i3RUt9O8bXq/2bE0Blu49YUaWrHyznMLM0af8tFGfnXIIB6hqH7L/AMBdIsbi+vvhL8ObKyt0aWa4uPDdhHHEgGSzMYsAAdSaj1D9mX4BaS1qL34T/Di0N3Ottbibw3YJ5srAlY1zFyxAOAOeDXk+ta1481Twn8UJdT/4TePx42jXJ0TS7HSrk6WYTpcbR7NsRhaY3Bk+Ut5wk+TG0AGT4h2/jPW/i0mIPFl1rGm+M4Z9NslsZjoS6Yth+6laUR+Tnz2bc2/zQxYH92AKAPYP+GTvgh/0Rv4f/wDhL2P/AMao/wCGTvgh/wBEb+H/AP4S9j/8arw3wXJ8VtW8Ct9o8QeK4dVvbvw3b6lbNpd7Hd2Uz6jGuozRy3FusYUws4dYd8KLGHXarZbd8M+F9fs/jp4Lv/EMnjG60/S7jxJotlfOLuVTG91Yy2YuGRSDGyJOPNl+VhCgZiQKAPVf+GTvgh/0Rv4f/wDhL2P/AMao/wCGTvgh/wBEb+H/AP4S9j/8arkfi5ZfEWbxd8SdT8L3uvI+keEbOTw9YW3FlcahK2oLcMFK7ZpkRbcqhJAYxkqcrXBahqfjrTfh3NqNtrXizXYodZa5tfD8Wla5b3l1EtmAbT7Y9t56ZmPmo8imLdmJm2jCAHtTfso/A9FLN8HPh+qgZJPhexwP/IVZsX7Ov7PM3hyPxAnwv+GZ0KS1W9TU/wDhHtP+zG3KhxL5nl7dhUht2cY5rmNf8XeN4/H+peHlsfE7Gfxpa3EEkOmTyWSaK2lwhwblUMQX7SJVKb9wbJxt5ryrSvBfifwn4Ju7m103xdbeJrj4JaRZaba29pdyQjUba2vBLbvGEKJMhkgKxyYJeRtoLFqAPo//AIZO+CH/AERv4f8A/hL2P/xqj/hk74If9Eb+H/8A4S9j/wDGq868ZXXjzw/4u8VeLI9V8Rx2OneLo7a3snX/AIly6R/Y8LzTbGUK0YuGkJlZsK8ZG5fnBk/Y68Ra5rw1iXxRrOrSa7Npel3baLqs1+7Qq8cge6T7VbwqFmlST5IlZU8vAbBCgA7mw/Zf+AuqW5nsvhL8ObyDzHi8238N2DrvRyjrkRYyrKykdipB5FWP+GTvgh/0Rv4f/wDhL2P/AMarye80v4ka7Yi3+3+LdFS307xter/ZsTQGW7j1hRpasfLOcwszRp/y0UZ+dcg9z8ZvEXiX/hW3gwR6Z4gbUtU2fbrjRWvIHspfsrvmVbSGSbBkAULhU3Eb2A+VgD4//wCCu3wR+HXw1/Zt8N6n4R8AeF/CupTeLba2kvNE0a2s5niNneMYy8aKSpZEO3OMqD2FFT/8FTNQ1zVv+Cf/AMIL3xNHND4kudY0ebU47mHyZVum0q7MwdMDYwctlcDB4xRQB9sfsnf8ms/Bv/sTNG/9IYa9Vryr9k7/AJNZ+Df/AGJmjf8ApDDXqtABRRRQBm2PiXSNT1S90yz1Wyu9SscfarOC4R5rfPTzEByufcCtKvlr4S/D7U9I+OejLpk0134d8PQa79p1G68LXWk3DNeXccqwSXMz7b1i4Z98UYX9yGY5dc/UtABRRRQB5V8ZP+Si/An/ALHO5/8AUe1mvVa8q+Mn/JRfgT/2Odz/AOo9rNeq0AFFFFABRRRQAUUUUAFFFfKqfD3xdpvg/wASWcnw4utc8V3mqyNqetahfW9zbavaPqJkVooTeRl/LgK7YpvKVAmwbh8rAH0pP4p0228VWPhuScrrF7ZXGoQQeWxDQQyQxytuxtGGuIhgnJ3cdDg0TxTpviK+1yzsJzNcaLejT75TGy+VOYIp9uSPm/dzxHIyPmx1BFfIc/wU8bN4d8F/2/4B1XxVJp2i+KNMFna6vawS2MlzqUMmmsxN0F2rBCMbHcxbUx8yjGpqvwT+JaaPLFqFvPr0MviiG/1a3tXt5n1aIeH7O0+0eXNNEjqt3DITHI6nKhwpKpkA+vHjWRcOoYZzhhmnV4p4m8I+JbD9nXQvDlhpF34u1OGKwtru08QPDNdvArp5rSqLlIppUQE7TPtYryz9G858MfC/4gaTpvwtlu/Dd/qGs6Lqd5HJbalNZzafZ2EurF45CRdeZDPFaLGY2i84BcxMCDwAfWNFfJWo/Cv4ht4f8e6bo+hX1vYXms2Go+dqD2Y1XVoft0st5bM6XRimjWMoIzK0JdGMT5AzUeofs8+I9b8L2di1hrs9ra+F/Ey2NpqV/DbSWep3FzavYRqkFy6AIEmMR3sIgF5QhQAD6j8S+KdN8I2NvearObe3uL210+NhGz5nuJ0ghXCg43SSIM9BnJwBmifxTptt4qsfDck5XWL2yuNQgg8tiGghkhjlbdjaMNcRDBOTu46HHzP4t+BPiW18M+JNK0zw9farpN1d+E9U/s2PWFWW7uLa+WXU2WWSYFZWjijJdnXewB3E5NVtL+BHivUpNUeezufBWhzaN4ji0dbm/ieTw+011pk1kreXI4AElpPPtRmRBhCRwKAPrZVCjCgAZzwPWlryT9mG81fxP8MYvHGvwNZ6x41nOvyWRkLrawSRpHaxLnoBbxQEgfxs56k163QAUiqFzgAZOTilooAKKKKACiiigDyr9pb/AJJ1pH/Y5+E//Uh06vVa8q/aW/5J1pH/AGOfhP8A9SHTq9VoAKKKKACiiigArnPiNo1r4i8B6/pV9oc3iWyvrKW2n0i3mWGS7jdSrRo7OiqxBOCXXBx8w610dFAHyhfab8RfG37Mfj/T4/DviXxHF4jtXt/Cdhr1zp66zbWs9iBvvJDMkYUSM4GXeYK435OQux4+8C+M/FmqeOLa28H38dr48ttHVL64u7If2KYJCs63IWcklFxInkeaGZiMr1r6XooA+ZvA/gXxt4ZuvCUNz4OvJR4DGu3K3UV7Z41152kFvFbZmyrSLJvcziJVdQMkfMKvi/4PeM/FE3iHwfFos1nY6l4vk8SReLDc2/2eK3a2GI9gk87zhIPJx5e3Z82/+GvqOigDwr4J+EfFCeKtF1jXvDE3hOPRPB9r4bME9zbzfa7hZA0jxeTI/wC5QRqEL7WPmn5Fxz7rRRQAUUUUAFFFFABXlXxk/wCSi/An/sc7n/1HtZr1WvKvjJ/yUX4E/wDY53P/AKj2s0Aeq0UUUAFeQapZ+ID+03oWrweDNUk8O2ugX+l3Gux3FiIDNcTWMqPsNwJyqrbOhPl5yFwCvzV6/RQB8+fFb4I+IPHXxE+I+r2l9rGl2eoeB9P0nT/7Lv4oEvruObVmkhlVsnCi5t8Ftq/vWwThtvH+HPg747ttc0mK60G/g12DVtPuI/F66nCbW10mOyhjmsPLE3mclJozGsRjZpBLuzyPrOigD46s/hT8TPFnh3wromteGNW0u10zRfDGiam0mtW4N61rqcD6hLG0M5by2gSQhmKyOMjaDgH670vTbXRdNtNPsYFtrK0hS3ggjGFjjRQqqPYAAfhVqigAooooA8q+Mn/JRfgT/wBjnc/+o9rNeq15V8ZP+Si/An/sc7n/ANR7Wa8Q8Xaf4m8VeDfHmm6hH4y1mDTvEmiaxHrFtBqVtJPbrrAkmhhs3iVg9vbpk/Zt6PtidcPxQB9iVT1TWLHRLeOfULyCyhknitkkuJAitLLIscUYJ6szuqgdSWAHWvmawvviXdfGa9W31LWLK1t7w/2TZ3+najJZX+m/2cpiSR/J8iNzOS7SSyLMsilD8rKp5jwfZ/ETxN4PsH1668Qapd/2z4Rub/SdR0m/WS1u49WgkvJ1kmhRNgVSXSAtEgiDrtVssAfZlU9Y1ix8P6Teanqd5Bp+nWcLXFzd3MgjihjUEs7MeAoAJJPpXkfxevtWg+KHheG7ufFdl4PbT7l1k8J2dxO0mpiaARLcGCN2VBGZCokAiYl95O1RXiPjbUPiF42sfi/pUGgeLo9M1Lwb4kiGm3sV5c7r+OeOK0WEywJEHkieVkjty6MuMliu4gH2VeaxY6bdWFrdXkFtc6hM1vaQyyBWuJBG8hRAfvMEjkbA7Ix7Vcr5L0qHxjrHxG8P3ejQeK9Y8N6b4ga40268XWNxDPFcNoGpJOX82NHW3M726hiAnmSOqHGAOw/ZVufG18t9c+LdW1ieaTTbL7Zpms6bewvBqH7z7RIktxDHGQ3AMcBaJdilcBwWAPeNL1ix1y1a6068gvrZZpbczW8gdRJFI0ciZH8SujqR2KkHpVyvhrb8RfDXhvxhaeDk8eW3iBX8aXN1aT6XcLZRI91dzadJZFohG8ryvCyeUWdg8m7ICgeheLNM+IXh34tadoVj4j8SQ6FbJpj6Xqk9rfail27XUrXy3LW8LRksu2PE5RY0KtHt2sQAfS+saxY+H9JvNT1O8g0/TrOFri5u7mQRxQxqCWdmPAUAEkn0q5XxV4y1H4g+NLP4vaXDoHiyPS9R8HeI4v7Nv4b26DX0c8cVosRkgSMNJE8zLHbF1ZccsV3H6P8AgbdeIrjwvqMfjBdQXxVDqdxHqJukZbVnyChsTgA2pjMZTGSPmEhMokoA9GooooAKKKKACiiigAooooAKqxaXZQalcahHaQR39zHHDPdLEollSMuY1ZsZYKZJCAeBvbHU1aooAKKKKACiiigAooooAKKKKAKt1pdnfXVnc3NpBcXFlI0trNLErPA5RkLISMqSjupI7MR0Jq1RRQAUUUUAFFFFABRRRQAUUUUAFFFFAEdxBFdQSQzRrNDIpR45FDKykYIIPUEVh+Efh74X8ARXEXhnw5pPh6O42+cul2UduJNoIXdsUZ2gkDPTPFdBRQAUUUUAfAH/AAWr/wCTWfC3/Y52v/pDfUUf8Fq/+TWfC3/Y52v/AKQ31FAHr/7Mvwn8Ual+zb8KLu3+M/jjS7e48JaTLHY2lnoTQ2ytZxERoZNMdyqg7QXdmwBlicmvS/8AhTfi7/ou3xA/8AfD3/yqo/ZO/wCTWfg3/wBiZo3/AKQw16rQB5V/wpvxd/0Xb4gf+APh7/5VUf8ACm/F3/RdviB/4A+Hv/lVXqtFAHlX/Cm/F3/RdviB/wCAPh7/AOVVH/Cm/F3/AEXb4gf+APh7/wCVVeq0UAeVf8Kb8Xf9F2+IH/gD4e/+VVH/AApvxd/0Xb4gf+APh7/5VV6rRQB8v/Fj4T+KLXx58GIpfjP44vHufFtxFFNNZ6EGtWGhas/mR7NMUFiqNHhw67ZG+XcFZfS/+FN+Lv8Aou3xA/8AAHw9/wDKqj4yf8lF+BP/AGOdz/6j2s16rQB5V/wpvxd/0Xb4gf8AgD4e/wDlVR/wpvxd/wBF2+IH/gD4e/8AlVXqtFAHlX/Cm/F3/RdviB/4A+Hv/lVR/wAKb8Xf9F2+IH/gD4e/+VVeq0UAeVf8Kb8Xf9F2+IH/AIA+Hv8A5VUf8Kb8Xf8ARdviB/4A+Hv/AJVV6rRQB5V/wpvxd/0Xb4gf+APh7/5VUf8ACm/F3/RdviB/4A+Hv/lVXqtFAHlX/Cm/F3/RdviB/wCAPh7/AOVVH/Cm/F3/AEXb4gf+APh7/wCVVeq0UAeVf8Kb8Xf9F2+IH/gD4e/+VVH/AApvxd/0Xb4gf+APh7/5VV6rRQB5V/wpvxd/0Xb4gf8AgD4e/wDlVR/wpvxd/wBF2+IH/gD4e/8AlVXqtFAHlX/Cm/F3/RdviB/4A+Hv/lVSH4M+LWBB+OvxAI/68fD3/wAqq9WooA8pHwZ8WqAB8dfiAB/14+Hv/lVS/wDCm/F3/RdviB/4A+Hv/lVXqtFAHlX/AApvxd/0Xb4gf+APh7/5VUf8Kb8Xf9F2+IH/AIA+Hv8A5VV6rRQB5V/wpvxd/wBF2+IH/gD4e/8AlVR/wpvxd/0Xb4gf+APh7/5VV6rRQB5V/wAKb8Xf9F2+IH/gD4e/+VVH/Cm/F3/RdviB/wCAPh7/AOVVeq0UAfL/AO0H8J/FFh4D0qWf4z+ONRRvFvhiIQ3NnoQVWfXbBFkHl6Yp3RswkUE7SyLuV13KfS/+FN+Lv+i7fED/AMAfD3/yqo/aW/5J1pH/AGOfhP8A9SHTq9VoA8q/4U34u/6Lt8QP/AHw9/8AKqj/AIU34u/6Lt8QP/AHw9/8qq9VooA8q/4U34u/6Lt8QP8AwB8Pf/Kqj/hTfi7/AKLt8QP/AAB8Pf8Ayqr1WigDyr/hTfi7/ou3xA/8AfD3/wAqqP8AhTfi7/ou3xA/8AfD3/yqr1WigDyr/hTfi7/ou3xA/wDAHw9/8qqP+FN+Lv8Aou3xA/8AAHw9/wDKqvVaKAPKv+FN+Lv+i7fED/wB8Pf/ACqo/wCFN+Lv+i7fED/wB8Pf/KqvVaKAPKv+FN+Lv+i7fED/AMAfD3/yqo/4U34u/wCi7fED/wAAfD3/AMqq9VooA8q/4U34u/6Lt8QP/AHw9/8AKqj/AIU34u/6Lt8QP/AHw9/8qq9VooA8q/4U34u/6Lt8QP8AwB8Pf/Kqj/hTfi7/AKLt8QP/AAB8Pf8Ayqr1WigDyr/hTfi7/ou3xA/8AfD3/wAqq80+LHwn8UWvjz4MRS/GfxxePc+LbiKKaaz0INasNC1Z/Mj2aYoLFUaPDh12yN8u4Ky/UFeVfGT/AJKL8Cf+xzuf/Ue1mgA/4U34u/6Lt8QP/AHw9/8AKqj/AIU34u/6Lt8QP/AHw9/8qq9VooA8q/4U34u/6Lt8QP8AwB8Pf/Kqj/hTfi7/AKLt8QP/AAB8Pf8Ayqr1WigDyr/hTfi7/ou3xA/8AfD3/wAqqP8AhTfi7/ou3xA/8AfD3/yqr1WigDyr/hTfi7/ou3xA/wDAHw9/8qqP+FN+Lv8Aou3xA/8AAHw9/wDKqvVaKAPKv+FN+Lv+i7fED/wB8Pf/ACqo/wCFN+Lv+i7fED/wB8Pf/KqvVaKAPl/4sfCfxRa+PPgxFL8Z/HF49z4tuIopprPQg1qw0LVn8yPZpigsVRo8OHXbI3y7grL6X/wpvxd/0Xb4gf8AgD4e/wDlVR8ZP+Si/An/ALHO5/8AUe1muC+JOo+Cm+O+u2nxa1eDStDj0Kxk8MR6lqL2VtJIZbn7ZJbsHXddAi3HykyKvllcbzkA73/hTfi7/ou3xA/8AfD3/wAqqa3wd8WKVB+O/j8FjgA2Xh3k4z/0CvY14hr37SPja30jXr7R9dsdU8QxWfiOS88Iw2SPceHhZLMbWV1B8wljHErCXIlM6tGFXg7Os/GRPiB8avDsvh+/svFOi6J4nb+y5NLdZI7hm8M6lI6LKuQ+ZPlyCcHI6gigD1f/AIU74t3bf+F7+P8AdjOPsPh3P/pqpF+Dvixxlfjv4/YZIyLLw6eQcH/mFV5d+zZ45ufiH8YF1q78Yaf4uu7rwNZT3Q0+2SFdOuHuHeW0OxjgoTjY/wC8X+MnIrz7w/8AHLxN8OdB8RW/hTW9P8V6hBqXjO5ufCa2itNo6w6jdyw3cuxvMKl2XIbAcSqE2lSSAfSn/Cm/F3/RdviB/wCAPh7/AOVVN/4U74s3Bf8Ahe/j/cRkL9i8O5wOp/5BXuPzqt8A/GGv/EDwv4ke98S6VrMUd35GmaxpN5Z3k0aNBGxE32fMPmK7MyjAyhTcOpb518E+JPFmqeF/hlr+mfEM6j4m034Y67d3+o3lvDezi5hfSWezm5GHWUASF8yY3AkMdwAPpX/hTfi7/ou3xA/8AfD3/wAqqP8AhTfi7/ou3xA/8AfD3/yqrzHwH8fPGnjT4y2mly3ui6TZNexQyeHry7t4p57J9OS4FxAjN9okkMrkhlHl+WjrjcrPXQfFz4leOvDfi74kz+H7yKXTvCHhGz1i30b7AsrXl1cNqCFpHzu8uMW0b7EwW2kbgCQQDrv+FN+Lv+i7fED/AMAfD3/yqo/4U34u/wCi7fED/wAAfD3/AMqq8W1H9oLxVovw9n1668c+HrzRrXWGH2zS9T0u41S5s1sxI0MSA/ZpZ1mYN5a7XeJlC/Pgt13iH9oK8svHmp+EJNVsodWbxnbaZbaVIii6bSZdLhnMvln5thmeRfNIwGGzORigDuV+DviyRQy/Hfx+ysMhhZeHSCP/AAVU7/hTfi7/AKLt8QP/AAB8Pf8AyqryT9lvWNQtfE3gLSrzxjPBpl18KvDN1p3hudohFcSCK6W4aFSNxZAsLOy84dAx2hANrXfjN4ll+Kl/oNn4ms7DVE8TwaDb+DltYnu306S3jZ9SG7Mh2b5Jg+PJ2wlCpbJoA76P4P8AiuXds+PPj59pKnbZeHTgjqP+QV1p/wDwpvxd/wBF2+IH/gD4e/8AlVXBfAvTdf8ACP7Euhal4UaK+8VzeHotdiDWkSG9uTCkzRPsUb2l2mMyNlzu3EkivPviF+19q9v4LuvGOia2bOz1CPUdZ8M2c1taRQX1haeTCFledhJIZZRNIqQDfslQ5AUbgD37/hTfi7/ou3xA/wDAHw9/8qqT/hTvi3dt/wCF7+P92M4+w+Hc/wDpqrhPEHxW8d6T4/1+7ttQt77RNN8Zw+GYPDyWKh54pNIgutxnzu8zzpRtwAMZBDZBXyfQfjrMuvS+L774g2+r3l94R0iKe80eztI/7Ju7m+xJbM0ziGIIz4/fnfGD8+9ioIB9Jf8ACnfFm4L/AML38f7iMhfsXh3OB1P/ACCvcfnTv+FN+Lv+i7fED/wB8Pf/ACqr5z1z4pat4u8Cr4x1D7HqGqW/w48dR72iR4Ln7LqllBG7KpKNvWFWbb8pLHHGK9B+Inx88QeEta+Mdpba9ZXuoaL4b1HV9EtbD7NdW1n9mhh4vFB8+KfzZG+V/wB26EFSCpFAHpf/AApvxd/0Xb4gf+APh7/5VUf8Kb8Xf9F2+IH/AIA+Hv8A5VV54fH3xG8MeOtStNQ8WWms6ZpHivR9Ea3/ALIjga6iv44DIXdWO0xvPmPbjhcOZM5G7+0l8TvHHw91jRtK8JfZZb3xXaSaXov2q33pDq4ngKM/qn2Z7uUgnGLQ/wB6gDpv+FN+Lv8Aou3xA/8AAHw9/wDKqm/8Kd8Wbgv/AAvfx/uIyF+xeHc4HU/8gr3H515z4R+L2rfGBvhz4mgEdho3iXxVe2uitLaKbiyt4tDvA7/OP9Z9rguOSMFMLjBOfMvBPiTxZqnhf4Za/pnxDOo+JtN+GOu3d/qN5bw3s4uYX0lns5uRh1lAEhfMmNwJDHcAD6V/4U34u/6Lt8QP/AHw9/8AKqkX4O+LXUFfjv4/YHuLHw7/APKqsf4ofFjUNK8OfDW7Ov2PgXTvE0w/tHxBeRxvDZf6FJOkQMp8tTJIqqGfqAyj5mUjwf4ZfH7UvCPh/wCE/h7T9a3XUr6Pb3umzW9tBBdRX2ovbvLGsjm6ZlBLDyxsQqAxYlgAD6R/4U34u/6Lt8QP/AHw9/8AKqj/AIU34u/6Lt8QP/AHw9/8qq8ntfiJ8UfEGqWgt/Glnp9rqs3itY4k0WKRrRNLv2gtwjM3zM6jEhcEEcKEb56ZrH7UGrN4h+GaWupC1v8AWYPDU2oaLJHapbSx6nOsUjRb3+0yFAzEGMbE2AMWyQoB63/wpvxd/wBF2+IH/gD4e/8AlVR/wpvxd/0Xb4gf+APh7/5VV4Xof7SnjrVoviVrVlqlpqEugaVq09v4bkFkW8+C8eKGWOGKQ3TQxwqrSecI23tgY3YS3qP7QXirRfh7Pr11458PXmjWusMPtml6npdxqlzZrZiRoYkB+zSzrMwby12u8TKF+fBYA9nb4O+LFKg/Hfx+CxwAbLw7ycZ/6BXsad/wpvxd/wBF2+IH/gD4e/8AlVUHxmlDeOvgzIFyD4hvWCupH/MC1Pgg/wAq8R0r4ufEFfh/oN3oGtaZolrpngvwXqA086Qs0M02pTy28wb51ZY1SNSqIVOQPmxkEA91/wCFN+Lv+i7fED/wB8Pf/Kqj/hTfi7/ou3xA/wDAHw9/8qq4Sx8ZeJNR8WeG/DuqalDqGoWPjvUdATW2sYkn8saDc3UcoQDYsimQISFwyqcj5jXlGg/H3xtofwh+GFnZ+PNPudQvPDE11deIPEd5ZxqdWhW3X+z7mWZlGULyGVc+e3XcNjZAPpFvg74tXGfjv4/GTgZsfDv/AMqqX/hTfi7/AKLt8QP/AAB8Pf8AyqrxnxZ8SdV8V/GLw5pOreJdOsLvTPHdlax+DYoUef7MLASi98zIkKtJKwEmPL27UxvBNdF8WviJ4j+HXxg+Id5ZeJ5JDb+BrPUtG8L3ao9vNMk1+txLHEMSSeUqxSSeWQxUqpOAmAD0T/hTfi7/AKLt8QP/AAB8Pf8Ayqpv/CnfFm4L/wAL38f7iMhfsXh3OB1P/IK9x+dUvgx461Lx1e+NtLtvGFr4x0awFsum+LtOhgKtNNCzSw5izDI0JEbZA6TKrZIJPzz4J8SeLNU8L/DLX9M+IZ1HxNpvwx127v8AUby3hvZxcwvpLPZzcjDrKAJC+ZMbgSGO4AH0r/wpvxd/0Xb4gf8AgD4e/wDlVR/wpvxd/wBF2+IH/gD4e/8AlVXmPgP4+eNPGnxltNLlvdF0mya9ihk8PXl3bxTz2T6clwLiBGb7RJIZXJDKPL8tHXG5WerXxa+IniP4dfGD4h3ll4nkkNv4Gs9S0bwvdqj280yTX63EscQxJJ5SrFJJ5ZDFSqk4CYAPRP8AhTfi7/ou3xA/8AfD3/yqo/4U34u/6Lt8QP8AwB8Pf/KqvF9T/aG1ex17T9Jh+Keiz+DrrxBb6cfiCba1aELJpd7cy24cEW+9Jbe3w+MKLhVYMQc9nrHxs8R2P7Lfh3xvc6tp+i6pe6nptnPrdxZ5tfss2qRWpvfKZhhXgfzgN2BvHOBQB2v/AApvxd/0Xb4gf+APh7/5VUf8Kb8Xf9F2+IH/AIA+Hv8A5VV4i37RniFo7m0u/iHpGi6FbLrEmk+NZ7OBovET2zwCGJMkRNgyyq6w4aXysx7MNSeKPiJ8R/FXw+8XeJtT8XzeAbbRPEXhyzl06ytYomsI5Ro9zePPO+WKp9rnDA4XYrB9ykigD2//AIU34u/6Lt8QP/AHw9/8qqP+FN+Lv+i7fED/AMAfD3/yqry+8+LV5oeva3Zr4n0zwxoN740Gn3fjSSGARrENAs7mNi7/ALkSTSEKJHBXaNqjJQjG0348fErVtKvtcfV7G0tdD0nRNQe0TSwF1ZbrVL22abczFoo5be2jlVV5UyKdxAKsAeE/8FdvAOu+Ff2bfDd3qfxK8UeMbd/FttEtjrdtpUcMbGzvCJAbSygfcApXBcrhjlScEFdr/wAFq/8Ak1nwt/2Odr/6Q31FAH1V+yd/yaz8G/8AsTNG/wDSGGvVa8q/ZO/5NZ+Df/YmaN/6Qw16rQAUUVyXxYk0SP4d643iPVhoei+R/pF82otYBBuG1TOrKUDNtXhhndt70AdbRXwnb+M/C3iP4UfDaTxR4lhl0JfhWf7MuI9TIV9cjit1lWNkf5r2P5NigmUFpNozur7P8Btqsngbw62uhhrbadbm/DDBFx5S+Zn33bqAN2iiigDyr4yf8lF+BP8A2Odz/wCo9rNeq15V8ZP+Si/An/sc7n/1HtZr1WgAooooAKKKKACiiq+oafb6tp9zY3kK3FpcxNDNC4yrowIZT7EEigCxRXyP4cjsPg94J8b694fgsvD1w3jqXQrjXriPzI9K0172NGkYMdoSNTwW+RSQzZVSDlav+0p4htbyOxufiXouiaItr4gm07xXPYwMmumzex+zeXlhGSWubiNvLH7zyG2BSQQAfZbOqlQSAWOACepxn+hp1eAfEqbxD4yb9nu5W4/4RLxBqGstcXLfZhM1nI+g6g0sao5xuGWUFgQDyQ2MV5voP7SXxC8Qa94UsJNS0HSLmSz0uTy9Snt7OHW3lu5YbtkEreYTtiARIMlJGG7eHVaAPsekDBmIBBI6j0r5AuP2pvEP/CQfEBNA1D+27ew8Pa1qcFvf29sZNPuLK8htxmG3cyiMLM7lJyJGEQI2biB3H7PfiOK88XfGHVU8XW/jm0insHj1zT4I2WdVsQSAISUkKkFcx4yRtxuBoA+iKK+OPCv7THiPxR4W8Zz6f4u037LZQ6HqFpqmsXWmWs4ivJLj7Rbq6O1qkwjtv3aTElWcq5PBHaaX8ftRvPHng1INVfVNN1/w9Dd6docC2iahLctZT3LNf2+TLCrrHHskhzGGyrfeVqAPpOivjnwX+0B8RfFHgU6jF4m8PS3eoXXhu2zEba5uNKuL7UY7e6ie2ifckYSTCLMRIrI4ZmI+Xr/BXxE8ejxTpVnrviO21vTb7Xte8NNAumR27bLOO4khuS6nmU+QVYAKhDDCKRkgH0p5yeWr712NjDZ4OemPrT6+Afhn8RtQ1n4VfCvwzD4osfF2kW1r4IuroWdukbaHdrq9hEtnIUJOWQOdsnz5gc8KwUfRvwb+J3ivxp8Rta8K6sY1fwbDcWmuyi2CC7upbkmwdD0UGzi851He6j9OQD3GiiigAooooAKKKKAPKv2lv+SdaR/2OfhP/wBSHTq9Vryr9pb/AJJ1pH/Y5+E//Uh06vVaACiiigAooooAKr3GoWtnNaw3FzDBLdyGG3jkkCtNIEZyiA/ebYjtgc4Rj0BqxXzD8ctV0Twv8eNA1y81DRfFepK2l2lp4MuNQkg1exkN06/bdOiRj5pZZ/3qlFDJAQZNoK0AfT1FfOfgb4geCPC/7R3xmjPjWxeK30XTtRvo7vWxcG1eGXUjefK0h8pYUEQZFACAJkDPPnfjLW7iTxvr82h6g0vxji8ZvHp1gtyTcHSBYgoBDnH2QxZfO3yzMc58ygD7Qor4Ftdb0JbfwvJ4e1ySfwJcaXoH/Cf3a6jI8cc7XYDG9kLZjlc71uNxDbOJflxXo/8Awl6aX+zx8SNP8O6zILWW71e58NixuWedtFinhS6ms2BLGKIzShGQ4UGPYcbaAPrOiviRtT8Gx/E9LVNYsP8AhQEusoGuf7R/4kp1D+y3byjNv8vyydjFd2wzgf8ALSvpH9m+bUZ/gf4Sk1OS6mma2byZb5mad7bzH+zM5f5ixh8oktyc885oA9KooooAKKKKACvKvjJ/yUX4E/8AY53P/qPazXqteVfGT/kovwJ/7HO5/wDUe1mgD1WiiigAoqK6kiitpXnkEUKoWeRm2hVA5Oe2B3r5y/ZN13wV4p8UePdd8Ba5pr+GL4WcVjoNpqguZlWDzhJqM0Rdmha5aQLhsMyW8bN8zEAA+kqK+MYdf8e2PhzRbxFsL7QY/ivrqW8MU8/9oTlNZ1QLC2Rs2ll2gZ4ULxVvR/2mfEcWm6Tqg8Y6R4k0ua10PUPEN7BaxRQ+HHuNTtoLq2kKn92vkyznEx8yL7O7M2OgB9h0V8w+FfjX4p+JHxEt7TRvFmmWXhmJ/EN+b1bNJY7u2sbuwjgUSk4WJluZC0i5LLgqRww9C/Zp+I178RfBN/LqmrLrer6bffYr29tntprJ5fIhlb7JNb/JLD+9+UsBIMlXG5TkA9cooooA8q+Mn/JRfgT/ANjnc/8AqPazXqhUNjIzjkV5X8ZP+Si/An/sc7n/ANR7Wa9VoATaMk45PU0BQuABgDpS0UAIAB0GKNoDE4GT1NLRQAiqFGFAA64AoChegA/Clryn47fEC78FTeD7UeIbXwZo+sajJbah4mvEiMdkq20skaBpf3SNI6KoaQEcFQNzKQAepM8SzIrMolYHaCRuI4zj9KczKnLEKMgZPHU4A/Ovln4A3Gs/Ej45nxj4lu4rm9t/Blg9oo0+JIykl9qcIuYSymSITx28c2A3IlCklVUDE+I+oa3eeKPibocnjuSTUIfiD4Tk0nSb5IpRYW8lxo7LPHENrmIStKmAQjMrk/OWJAPsHy02gbVwDkDHf1pdoznHPrXxv4u/aE+Ieg3DeH/+Eg0fTriyn1u3h8R6ybSxt9QuLWeJbaGYyssYHlykyLFtdgu5NgVhXs/xt+I2peD7fwJDL4h0/wAC6drV80Gq+JLrypILELayyrGjzYiVpJECh5BggEAbmXAB6+pRmONpZPlOOo6HH8qdtG7OOema+TPDvjPxF4P8eeLfEFp4it9Q8P6h48s9Pu7KHTQwull8P2Lm5RgxcNuWNlReMBgdxYFcvwr+0p4t8Y6D4hj0HxJDdFrzwmun6te21lcS266rqDW06SR2shiyiJkIW3qWIZjgGgD7IpNoOMgcdK+VtD+NHjK6+PGo+Ev+Ejiu49BuLi1l0yb+z4H1dYtOjlj8qPd9pM7zM7NtjWIRjKnABfB8H/H74jeKvAbahB4n8PPe6hc+G7UNEba5uNJub7UY7e6je2ifKRqkmEWYiRXRwzNj5QD7HpNq7SNoweoxWBpviC0g0nUrU6wus6loEa2+qSxxq0yzi3SbLxRgYdkkSTYoHEgwORXy14R/aU8WeMND19ND8RQXmb3wmLDVb62s55IE1TUWtp45I7WQx5REyELb1LkMxwDQB9ithVJOAB1JqCS6tYbiGJ5oUnuM+XGzANLtGTtHU4HPFfGvxK+NPig+G/FHhPXfGmn6DFa2PiS1j1i8sIg2uT28kccFqEyF8wxTHckWHc7Sm0Bgeqh8WapD4f8AEnjrR7VL6T4f+DbfR9LSSJpYxfTW8N1eysikF1SIWPCkH5JlBBJoA+p6K+VbH4ueMfEvjTSfCfhn4g6fruiX+vw2MfjWzsLe43o2lX13PbJsPktJG9tCQ4HyrOAwYqc9D+1HrWt2c+u2fh+6l0vVf+FaeJ7+11GwjH22KaGTT9ixP1XdvI+XnO0ggqDQB9EBkLlAV3KASueRnOD+hpQoXoAPwr5/8Vagnhf4aTfETw34502/1XWbXS7KfxDe31lBBd20E8zH7PI6i3Fwy3Eyrv8AkLKoOOTW14v8df218E/h/wCJbRXu01fV/DDq2q2ipKVuNRs1LtGDtSTEhI2khWwRkAUAezEA9RmjaM5wM+tfG3j74ofEu++Hfim4h8UvC2r2HjW2sIdLsFhuLB9MnnS1eKUEuZGSEqzerKVCsuW2r/47+KV8f6BoWheMdC1DTGtNJuLLUNTvLGCLxCtxcyJdFGyDIVVBGi24ysmN+4Oq0AfV9G0ZBwM9K+ZtJ8dfEfxA3hgr4wt7EeKPHGtaCgj0iFvsFlY/2ttCbj88r/Yocu+VGPuHndyln+1P4gn1H4dWz6wn9tXk2i2mqaa1vaw212t3ftaSTRK7m4ZgFZ/3Q8uMgBi2SFAPovwb8GfCHgfVotT0WzuluLeGe1tVuNSubqGzilkV5Y4I5ZGSFWeNMhAPuAdABXceWm0DauAcgY7+tfOmi+MNR+Hv7IvxH8T6S8ceqaNd+ML+1eaPzEWWLVdQdCy/xDIHHesPQ/2kL3SfGVjHf+OtF8QfD9dfhsrrxj5cNvaL5ulXlw1s0qt5alJ4bbBzu/fpGxZuSAfUzSxq2GdQRjgn1OB+Z4p2B6V8P6X4zvviJMfEepOst7qD/DqWR0i8sH/ipb0D5e3AHFdV4f8Ajd8UvGOoeME0e+0M6xYW+ryJ4Vnntje281pdBbaJYFJmCyxqUkeUYzNG8e0EKQD62pPLXGNoxnPTv1zXz+PjlrfiD9mr4lfFbRJoks1tNR1Dwr9otvu21vBsjkkU8v5k0Usoz/BIg7ZOSfH3xG8MeOtStNQ8WWms6ZpHivR9Ea3/ALIjga6iv44DIXdWO0xvPmPbjhcOZM5AB9L4Gc45pCU8xQSu/BIHfHGf6V8fW/7SPxFkh8ealDcaHLc6TY61I/hu4mge702S2uRHby/Zo2+0NGI8vL5n38o0ZQMAZ/FXiPWdS8ZaNrfhD4o6d4ludL8E+JrseILSxtrmOcxTaU4gPlt5WN+3cVGdvy8N89AH12qhRgDA9qAoXoAPwr5Z0H9pbU9f+NfhvRLLU99tqUr2d/o9xHaoLVho73yyQqrm5I3qq+ZIAjByFHAY4Wj/ABc8b6h4d8BP4l1PT/EDeI7Lwd4gAOmJCtnLdatbRTJGATkbZFKs2SrqSDghVAPsPaNwbA3YxnHNG0bgccjoa+V1+Oviq7sfFunWXiewvPEVv4l0WwivrGO1v9LtbS+1c2qiMxMH80Qg74pyHV1yCVYGtr4cfETx6vjrQLPXfEdtrem33iPW/DTQLpkdu2yzWeSG5LqeZT5BVgAqEMMIpGSAe8ax4T0vXtS0O/vrbzrrRbp7yxbeyiKV4JbdmIBw2Y55Vw2R82eoBpfEnhfTfF1jb2eq25ube3vbXUI1EjJie3nSeFsqRnbJGhx0OMEEEitaigBuxdoG0YHQY6UpUMCCMg9RS0UAIVDAggEemKKWigD4A/4LV/8AJrPhb/sc7X/0hvqKP+C1f/JrPhb/ALHO1/8ASG+ooA+Nfh7/AMFdvjD8NfAPhrwjpnhvwPPpugaZbaVay3dheNM8UESxIzlbtQWKoMkADOcAdK6D/h9X8b/+hW+H/wD4Lr7/AOTKKKAD/h9X8b/+hW+H/wD4Lr7/AOTKP+H1fxv/AOhW+H//AILr7/5MoooAQ/8ABar43HGfCvw/P/cOvv8A5Mpf+H1fxv8A+hW+H/8A4Lr7/wCTKKKAD/h9X8b/APoVvh//AOC6+/8Akyj/AIfV/G//AKFb4f8A/guvv/kyiigDn/E3/BXb4w+Kta8J6nd+G/A8dx4a1N9Vs1hsLwLJK1lc2ZWQG7JK+XdyHAIO5VOcAg9B/wAPq/jf/wBCt8P/APwXX3/yZRRQAf8AD6v43/8AQrfD/wD8F19/8mUf8Pq/jf8A9Ct8P/8AwXX3/wAmUUUAH/D6v43/APQrfD//AMF19/8AJlH/AA+r+N//AEK3w/8A/Bdff/JlFFAB/wAPq/jf/wBCt8P/APwXX3/yZR/w+r+N/wD0K3w//wDBdff/ACZRRQAn/D6r43/9Cr8P/wDwXX3/AMmVk3H/AAWA+Ld14osfEUngz4ftq9jZT6fBP9h1DCQTSQySLt+27TlreE5IyNvBGTkooA1/+H1Xxv8A+hV+H/8A4Lr7/wCTKQ/8FqPjcSCfCnw/JXp/xLr7j/ycoooAB/wWq+NwyR4V+H4J6/8AEuvv/kygf8FqvjcowPCvw/A/7B19/wDJlFFACH/gtP8AG0qVPhP4fFT1H9nX2P8A0spf+H1Pxu3bv+EU+H+7GM/2dfZ/9LKKKAEH/Baj43LnHhT4fDJyf+Jdfcn/AMDKX/h9V8b/APoVfh//AOC6+/8AkyiigAH/AAWp+Nwzjwp8Pxnk/wDEuvv/AJMrJ0P/AILAfFvw3fa3eWHg3wBFda1efb7+ZrLUHaaYRRwhvmvTgCOGNQowAF4HWiigDX/4fV/G/wD6Fb4f/wDguvv/AJMo/wCH1fxv/wChW+H/AP4Lr7/5MoooAP8Ah9X8b/8AoVvh/wD+C6+/+TKP+H1fxv8A+hW+H/8A4Lr7/wCTKKKAD/h9X8b/APoVvh//AOC6+/8Akyj/AIfV/G//AKFb4f8A/guvv/kyiigDn/HH/BXb4w+PtFttM1Dw34Hht4NT07VVa2sLxWMtnew3kSktdkbTJboGGMlSwBBwR0H/AA+r+N//AEK3w/8A/Bdff/JlFFAB/wAPq/jf/wBCt8P/APwXX3/yZR/w+r+N/wD0K3w//wDBdff/ACZRRQAf8Pq/jf8A9Ct8P/8AwXX3/wAmUf8AD6v43/8AQrfD/wD8F19/8mUUUAH/AA+r+N//AEK3w/8A/Bdff/JlU5f+Cynxim1e21STwb8O21G2gltobk6bfb0ilaNpEB+2dGaGIn/cFFFAEevf8FjPi/4o0m40vVfBfw8vtOuAFmtpdOvtkqgg7WH23lTjlTwRkEEEir//AA+q+N2c/wDCK/D/AD6/2dff/JlFFAB/w+p+N3I/4RX4f4PX/iXX3/yZR/w+q+N//Qq/D/8A8F19/wDJlFFAB/w+o+N23H/CKfD/AB6f2dff/JlL/wAPq/jf/wBCt8P/APwXX3/yZRRQAf8AD6v43/8AQrfD/wD8F19/8mUf8Pq/jf8A9Ct8P/8AwXX3/wAmUUUAH/D6v43/APQrfD//AMF19/8AJlH/AA+r+N//AEK3w/8A/Bdff/JlFFAB/wAPq/jf/wBCt8P/APwXX3/yZXP+Jv8Agrt8YfFWteE9Tu/DfgeO48Nam+q2aw2F4FklayubMrIDdklfLu5DgEHcqnOAQSigDoP+H1fxv/6Fb4f/APguvv8A5Mo/4fV/G/8A6Fb4f/8Aguvv/kyiigA/4fV/G/8A6Fb4f/8Aguvv/kyj/h9X8b/+hW+H/wD4Lr7/AOTKKKAE/wCH1Xxv/wChV+H/AP4Lr7/5MpP+H1HxuwR/winw+wev/Euvuf8AycoooAX/AIfVfG//AKFX4f8A/guvv/kyhf8AgtT8blXC+FPh+o9Bp19/8mUUUAL/AMPq/jf/ANCt8P8A/wAF19/8mUf8Pq/jf/0K3w//APBdff8AyZRRQBz/AIm/4K7fGHxVrXhPU7vw34HjuPDWpvqtmsNheBZJWsrmzKyA3ZJXy7uQ4BB3KpzgEHoP+H1fxv8A+hW+H/8A4Lr7/wCTKKKAD/h9X8b/APoVvh//AOC6+/8Akyj/AIfV/G//AKFb4f8A/guvv/kyiigA/wCH1fxv/wChW+H/AP4Lr7/5Mo/4fV/G/wD6Fb4f/wDguvv/AJMoooAP+H1fxv8A+hW+H/8A4Lr7/wCTKRv+C1XxuYYPhX4fkeh06+/+TKKKAF/4fVfG/wD6FX4f/wDguvv/AJMpP+H1Pxu3Z/4RX4f59f7Ovv8A5MoooAG/4LUfG5uD4U+H55zzp191/wDAyhv+C1PxuYYPhX4fkeh06+/+TKKKAD/h9V8b/wDoVfh//wCC6+/+TKB/wWp+Ny9PCnw/H/cOvv8A5MoooA4ez/4KhfEKx8WjxHF4J8Ff2gt/LqiQudXe0jvJI2jkuEtjqBhWRldxuCZ+dj1Yk9uP+C1HxuXOPCnw+GTk/wDEuvuT/wCBlFFAFHSf+Cxnxf0Fr5rDwX8PLZ765e8unXTr4tNMwALsTe5JwqqPRVUDAAAvj/gtT8bl6eFPh+P+4dff/JlFFAB/w+q+N3H/ABSvw/8A/Bdff/JlZ+if8Fivi94ct7mHTfBfw8tI7i6mvZgmn353zSyGSRyTe5JLMT7cAYAAoooA0B/wWp+Ny8Dwr8PwP+wdff8AyZS/8Pqvjf8A9Cr8P/8AwXX3/wAmUUUAN/4fT/G3Zs/4RP4fbOm3+zr7H/pZTv8Ah9V8b/8AoVfh/wD+C6+/+TKKKAE/4fVfG/8A6FX4f/8Aguvv/kyk/wCH0/xt+X/ik/h98v3f+JdfcfT/AEyiigBf+H1Xxv8A+hV+H/8A4Lr7/wCTKP8Ah9T8bsg/8Ir8P8/9g6+/+TKKKAMrxZ/wWC+Lvjfwvq3h7WfB3gC60jVbWWyu4BZaghkikUq67lvQRkE8gg1qf8PqPjbjH/CKfD7Gc/8AIOvuuc/8/lFFAC/8Pqvjf/0Kvw//APBdff8AyZUdx/wWi+NlxDLG3hbwColQozR2F+jYII4YXmQeeo6UUUAUPC//AAWG+Lvg3w3pWgaP4M+HtlpGl2sVlaWy2F+wjhjUIi5N6ScADkkk960/+H1Xxv8A+hV+H/8A4Lr7/wCTKKKAD/h9T8bgxYeFPh/uPBP9nX2f/Syhf+C1HxuUYHhT4fge2nX3/wAmUUUAH/D6n43Zz/wivw/z6/2dff8AyZR/w+q+N/8A0Kvw/wD/AAXX3/yZRRQAg/4LUfG5c48KfD4ZOT/xLr7r/wCBlL/w+q+N/wD0Kvw//wDBdff/ACZRRQAv/D6v43/9Ct8P/wDwXX3/AMmUf8Pq/jf/ANCt8P8A/wAF19/8mUUUAH/D6v43/wDQrfD/AP8ABdff/JlH/D6v43/9Ct8P/wDwXX3/AMmUUUAH/D6v43/9Ct8P/wDwXX3/AMmUf8Pq/jf/ANCt8P8A/wAF19/8mUUUAeP/ALUH/BQv4i/tZeAdP8I+LtF8L6dptlqceqxy6Ja3MUxlSKWIKTJcSDbtmfjGcgc9QSiigD//2Q==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1179830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NEF_2040_Outlook_May%20%202017_automated%20output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G%20Price%20Foreca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solidatededison.sharepoint.com/CurbsideCharging/Shared%20Documents/DPS%20documents/Initial%20filing/Draft%20curbside%20DPS%20respons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solidatededison.sharepoint.com/Users/rossb/AppData/Local/Microsoft/Windows/INetCache/Content.Outlook/IZCG67T3/NorthwestResLQtlFixed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utheastResLQtlFixed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02009fi\datadirs\Rate%20Engineering\ELECRATE\RateCase%202019\Joint%20Proposal\Shortcut\Shortcuts%20Case%2019-E-0065%20%20RY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02009fi\datadirs\Rate%20Engineering\ELECRATE\Rate%20Questions\EV%20Rates%20and%20Incentives\DCAS\Supporting%20documents\Copy%20of%20CECONY%20SC9%20Bill%20Calcs%20for%20LIP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02009fi\datadirs\Rate%20Engineering\ELECRATE\Rate%20Questions\EV%20Rates%20and%20Incentives\DCAS\Supporting%20documents\Copy%20of%20CECONY%20SC2%20Bill%20Calcs%20for%20LI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%20calculation%20Charger%20station%201%20meter_WeightedAver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_adoption_v21_TEMP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CONY%20NUGs%20Generation%20and%20Price%20Estim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e%20A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ward%20Energy%20Price%20Report%20%2003-01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NEF_Waterfall%20builder_201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solidatededison.sharepoint.com/Users/rossb/AppData/Local/Microsoft/Windows/INetCache/Content.Outlook/IZCG67T3/pev+cou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solidatededison.sharepoint.com/Users/rossb/AppData/Local/Microsoft/Windows/INetCache/Content.Outlook/IZCG67T3/Table%20A%20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f"/>
      <sheetName val="Control"/>
      <sheetName val="Dashboard"/>
      <sheetName val="RoW Country elec"/>
      <sheetName val="Output_RawData"/>
      <sheetName val="TCO charts"/>
      <sheetName val="Comparison"/>
      <sheetName val="Global"/>
      <sheetName val="US"/>
      <sheetName val="CH"/>
      <sheetName val="Japan"/>
      <sheetName val="RoW"/>
      <sheetName val="GER"/>
      <sheetName val="UK"/>
      <sheetName val="FR"/>
      <sheetName val="RoE"/>
      <sheetName val="Data_Global"/>
      <sheetName val="Data_US"/>
      <sheetName val="Data_China"/>
      <sheetName val="Data_France"/>
      <sheetName val="Data_Japan"/>
      <sheetName val="Data_UK"/>
      <sheetName val="Data_Germany"/>
      <sheetName val="Data_RestOfEurope"/>
      <sheetName val="IM"/>
      <sheetName val="VMT distribution"/>
      <sheetName val="US IM"/>
      <sheetName val="China IM"/>
      <sheetName val="Germany IM"/>
      <sheetName val="UK IM"/>
      <sheetName val="France IM"/>
      <sheetName val="RoEurope IM"/>
      <sheetName val="Japan IM"/>
      <sheetName val="RoWorld IM"/>
      <sheetName val="VMT US"/>
      <sheetName val="VMT China"/>
      <sheetName val="VMT Germany"/>
      <sheetName val="VMT UK"/>
      <sheetName val="VMT France"/>
      <sheetName val="VMT RoEurope"/>
      <sheetName val="VMT Japan"/>
      <sheetName val="VMT RoWorld"/>
      <sheetName val="Bass Parameters_monthly"/>
      <sheetName val="Bass Parameters_quarterly_US"/>
      <sheetName val="Annual_Norway_EVonly"/>
      <sheetName val="Annual_Norway"/>
      <sheetName val="Quarterly_Norway"/>
      <sheetName val="Monthly_Norway"/>
      <sheetName val="Annual_US"/>
      <sheetName val="Quarterly_US"/>
      <sheetName val="Styles"/>
      <sheetName val="ExampleSheet"/>
      <sheetName val="AddInExamples"/>
      <sheetName val="VBA"/>
      <sheetName val="BNEF_2040_Outlook_May  2017_aut"/>
    </sheetNames>
    <sheetDataSet>
      <sheetData sheetId="0" refreshError="1"/>
      <sheetData sheetId="1">
        <row r="5">
          <cell r="B5" t="str">
            <v>US</v>
          </cell>
          <cell r="C5" t="str">
            <v>Small</v>
          </cell>
        </row>
        <row r="18">
          <cell r="B18">
            <v>7</v>
          </cell>
          <cell r="C18">
            <v>4</v>
          </cell>
        </row>
      </sheetData>
      <sheetData sheetId="2">
        <row r="136">
          <cell r="B136">
            <v>1000000000</v>
          </cell>
        </row>
      </sheetData>
      <sheetData sheetId="3">
        <row r="5">
          <cell r="C5" t="str">
            <v>RestOfEurope</v>
          </cell>
        </row>
        <row r="6">
          <cell r="C6" t="str">
            <v>SUV</v>
          </cell>
        </row>
        <row r="8">
          <cell r="C8" t="b">
            <v>0</v>
          </cell>
        </row>
        <row r="9">
          <cell r="C9" t="str">
            <v>EUR</v>
          </cell>
        </row>
        <row r="10">
          <cell r="C10" t="str">
            <v>US</v>
          </cell>
        </row>
        <row r="11">
          <cell r="C11">
            <v>2022</v>
          </cell>
        </row>
        <row r="12">
          <cell r="C12" t="str">
            <v>Data_RestOfEurope</v>
          </cell>
        </row>
        <row r="13">
          <cell r="C13" t="str">
            <v>Data_RestOfEurope.ID</v>
          </cell>
        </row>
        <row r="14">
          <cell r="C14" t="str">
            <v>Data_RestOfEurope.year</v>
          </cell>
        </row>
        <row r="16">
          <cell r="C16">
            <v>8.1928117956971895E-4</v>
          </cell>
        </row>
        <row r="17">
          <cell r="C17">
            <v>0.29249999999999998</v>
          </cell>
        </row>
        <row r="18">
          <cell r="C18">
            <v>-1</v>
          </cell>
        </row>
        <row r="25">
          <cell r="C25">
            <v>1000000</v>
          </cell>
        </row>
      </sheetData>
      <sheetData sheetId="4" refreshError="1"/>
      <sheetData sheetId="5">
        <row r="1">
          <cell r="A1">
            <v>42863.710034722222</v>
          </cell>
        </row>
        <row r="2">
          <cell r="A2" t="str">
            <v>ID</v>
          </cell>
          <cell r="B2">
            <v>2011</v>
          </cell>
          <cell r="C2">
            <v>2012</v>
          </cell>
          <cell r="D2">
            <v>2013</v>
          </cell>
          <cell r="E2">
            <v>2014</v>
          </cell>
          <cell r="F2">
            <v>2015</v>
          </cell>
          <cell r="G2">
            <v>2016</v>
          </cell>
          <cell r="H2">
            <v>2017</v>
          </cell>
          <cell r="I2">
            <v>2018</v>
          </cell>
          <cell r="J2">
            <v>2019</v>
          </cell>
          <cell r="K2">
            <v>2020</v>
          </cell>
          <cell r="L2">
            <v>2021</v>
          </cell>
          <cell r="M2">
            <v>2022</v>
          </cell>
          <cell r="N2">
            <v>2023</v>
          </cell>
          <cell r="O2">
            <v>2024</v>
          </cell>
          <cell r="P2">
            <v>2025</v>
          </cell>
          <cell r="Q2">
            <v>2026</v>
          </cell>
          <cell r="R2">
            <v>2027</v>
          </cell>
          <cell r="S2">
            <v>2028</v>
          </cell>
          <cell r="T2">
            <v>2029</v>
          </cell>
          <cell r="U2">
            <v>2030</v>
          </cell>
          <cell r="V2">
            <v>2031</v>
          </cell>
          <cell r="W2">
            <v>2032</v>
          </cell>
          <cell r="X2">
            <v>2033</v>
          </cell>
          <cell r="Y2">
            <v>2034</v>
          </cell>
          <cell r="Z2">
            <v>2035</v>
          </cell>
          <cell r="AA2">
            <v>2036</v>
          </cell>
          <cell r="AB2">
            <v>2037</v>
          </cell>
          <cell r="AC2">
            <v>2038</v>
          </cell>
          <cell r="AD2">
            <v>2039</v>
          </cell>
          <cell r="AE2">
            <v>2040</v>
          </cell>
          <cell r="AF2">
            <v>2041</v>
          </cell>
          <cell r="AG2">
            <v>2042</v>
          </cell>
          <cell r="AH2">
            <v>2043</v>
          </cell>
          <cell r="AI2">
            <v>2044</v>
          </cell>
          <cell r="AJ2">
            <v>2045</v>
          </cell>
        </row>
        <row r="3">
          <cell r="A3" t="str">
            <v>US_Small_annual</v>
          </cell>
          <cell r="B3">
            <v>10060</v>
          </cell>
          <cell r="C3">
            <v>11322</v>
          </cell>
          <cell r="D3">
            <v>33778</v>
          </cell>
          <cell r="E3">
            <v>55901</v>
          </cell>
          <cell r="F3">
            <v>48250</v>
          </cell>
          <cell r="G3">
            <v>50821.333333333328</v>
          </cell>
          <cell r="H3">
            <v>101161.06394745882</v>
          </cell>
          <cell r="I3">
            <v>140242.51878615678</v>
          </cell>
          <cell r="J3">
            <v>157385.36041145385</v>
          </cell>
          <cell r="K3">
            <v>171992.65930440821</v>
          </cell>
          <cell r="L3">
            <v>188483.09052341353</v>
          </cell>
          <cell r="M3">
            <v>255951.18798709378</v>
          </cell>
          <cell r="N3">
            <v>337683.48302409344</v>
          </cell>
          <cell r="O3">
            <v>449403.90444078285</v>
          </cell>
          <cell r="P3">
            <v>583234.95029752993</v>
          </cell>
          <cell r="Q3">
            <v>714508.9669199643</v>
          </cell>
          <cell r="R3">
            <v>887370.93406212796</v>
          </cell>
          <cell r="S3">
            <v>1003293.757090069</v>
          </cell>
          <cell r="T3">
            <v>1249553.0233869932</v>
          </cell>
          <cell r="U3">
            <v>1534203.3132955784</v>
          </cell>
          <cell r="V3">
            <v>1887714.4507849831</v>
          </cell>
          <cell r="W3">
            <v>1927852.7107454124</v>
          </cell>
          <cell r="X3">
            <v>1956866.894042131</v>
          </cell>
          <cell r="Y3">
            <v>1986317.740797465</v>
          </cell>
          <cell r="Z3">
            <v>2016211.8227964665</v>
          </cell>
          <cell r="AA3">
            <v>2046555.8107295528</v>
          </cell>
          <cell r="AB3">
            <v>2077356.4756810325</v>
          </cell>
          <cell r="AC3">
            <v>2108620.6906400318</v>
          </cell>
          <cell r="AD3">
            <v>2140355.4320341642</v>
          </cell>
          <cell r="AE3">
            <v>2172567.7812862778</v>
          </cell>
          <cell r="AF3">
            <v>2205264.9263946363</v>
          </cell>
          <cell r="AG3">
            <v>2238454.163536875</v>
          </cell>
          <cell r="AH3">
            <v>2272142.8986981045</v>
          </cell>
          <cell r="AI3">
            <v>2306338.6493235114</v>
          </cell>
          <cell r="AJ3">
            <v>2341049.0459958296</v>
          </cell>
        </row>
        <row r="4">
          <cell r="A4" t="str">
            <v>US_Small_cumulative</v>
          </cell>
          <cell r="B4">
            <v>10060</v>
          </cell>
          <cell r="C4">
            <v>21382</v>
          </cell>
          <cell r="D4">
            <v>55160</v>
          </cell>
          <cell r="E4">
            <v>111061</v>
          </cell>
          <cell r="F4">
            <v>159311</v>
          </cell>
          <cell r="G4">
            <v>210132.33333333331</v>
          </cell>
          <cell r="H4">
            <v>311293.39728079212</v>
          </cell>
          <cell r="I4">
            <v>451535.91606694891</v>
          </cell>
          <cell r="J4">
            <v>608921.27647840278</v>
          </cell>
          <cell r="K4">
            <v>780913.93578281102</v>
          </cell>
          <cell r="L4">
            <v>969397.02630622452</v>
          </cell>
          <cell r="M4">
            <v>1225348.2142933183</v>
          </cell>
          <cell r="N4">
            <v>1551709.6973174117</v>
          </cell>
          <cell r="O4">
            <v>1967335.6017581946</v>
          </cell>
          <cell r="P4">
            <v>2494669.5520557244</v>
          </cell>
          <cell r="Q4">
            <v>3160928.5189756886</v>
          </cell>
          <cell r="R4">
            <v>3997478.1197044831</v>
          </cell>
          <cell r="S4">
            <v>5000771.8767945524</v>
          </cell>
          <cell r="T4">
            <v>6250324.9001815459</v>
          </cell>
          <cell r="U4">
            <v>7777286.8891293257</v>
          </cell>
          <cell r="V4">
            <v>9581676.2201482952</v>
          </cell>
          <cell r="W4">
            <v>11509528.930893708</v>
          </cell>
          <cell r="X4">
            <v>13466395.824935839</v>
          </cell>
          <cell r="Y4">
            <v>15452713.565733304</v>
          </cell>
          <cell r="Z4">
            <v>17468925.38852977</v>
          </cell>
          <cell r="AA4">
            <v>19515481.199259322</v>
          </cell>
          <cell r="AB4">
            <v>21592837.674940355</v>
          </cell>
          <cell r="AC4">
            <v>23701458.365580387</v>
          </cell>
          <cell r="AD4">
            <v>25841813.797614552</v>
          </cell>
          <cell r="AE4">
            <v>27728793.512276251</v>
          </cell>
          <cell r="AF4">
            <v>29331459.457944326</v>
          </cell>
          <cell r="AG4">
            <v>30675253.330814563</v>
          </cell>
          <cell r="AH4">
            <v>31801014.43510725</v>
          </cell>
          <cell r="AI4">
            <v>32753630.966851864</v>
          </cell>
          <cell r="AJ4">
            <v>33574805.522870675</v>
          </cell>
        </row>
        <row r="5">
          <cell r="A5" t="str">
            <v>US_Medium_annual</v>
          </cell>
          <cell r="B5">
            <v>7671</v>
          </cell>
          <cell r="C5">
            <v>39743</v>
          </cell>
          <cell r="D5">
            <v>43964</v>
          </cell>
          <cell r="E5">
            <v>44576</v>
          </cell>
          <cell r="F5">
            <v>34418</v>
          </cell>
          <cell r="G5">
            <v>39555.749999999985</v>
          </cell>
          <cell r="H5">
            <v>71749.921291178223</v>
          </cell>
          <cell r="I5">
            <v>136055.35456991327</v>
          </cell>
          <cell r="J5">
            <v>167447.32037703021</v>
          </cell>
          <cell r="K5">
            <v>184821.24644327242</v>
          </cell>
          <cell r="L5">
            <v>218284.10634173843</v>
          </cell>
          <cell r="M5">
            <v>316001.08887374436</v>
          </cell>
          <cell r="N5">
            <v>449567.95764116198</v>
          </cell>
          <cell r="O5">
            <v>576012.46206061286</v>
          </cell>
          <cell r="P5">
            <v>735074.08921019081</v>
          </cell>
          <cell r="Q5">
            <v>930639.37614903774</v>
          </cell>
          <cell r="R5">
            <v>1201765.955987931</v>
          </cell>
          <cell r="S5">
            <v>1574814.1167033848</v>
          </cell>
          <cell r="T5">
            <v>2070039.6565205099</v>
          </cell>
          <cell r="U5">
            <v>2636458.1916020364</v>
          </cell>
          <cell r="V5">
            <v>3304772.302077611</v>
          </cell>
          <cell r="W5">
            <v>4039492.1374085834</v>
          </cell>
          <cell r="X5">
            <v>4659221.4158926504</v>
          </cell>
          <cell r="Y5">
            <v>5182462.9417492244</v>
          </cell>
          <cell r="Z5">
            <v>5503417.1114472393</v>
          </cell>
          <cell r="AA5">
            <v>5453707.4116165731</v>
          </cell>
          <cell r="AB5">
            <v>5293216.4143928075</v>
          </cell>
          <cell r="AC5">
            <v>5077776.2876628377</v>
          </cell>
          <cell r="AD5">
            <v>4848786.8162860898</v>
          </cell>
          <cell r="AE5">
            <v>4667742.4177618204</v>
          </cell>
          <cell r="AF5">
            <v>4578217.995929285</v>
          </cell>
          <cell r="AG5">
            <v>4577011.6308758035</v>
          </cell>
          <cell r="AH5">
            <v>4630543.691842502</v>
          </cell>
          <cell r="AI5">
            <v>4707926.3198460275</v>
          </cell>
          <cell r="AJ5">
            <v>4792435.9935995825</v>
          </cell>
        </row>
        <row r="6">
          <cell r="A6" t="str">
            <v>US_Medium_cumulative</v>
          </cell>
          <cell r="B6">
            <v>7671</v>
          </cell>
          <cell r="C6">
            <v>47414</v>
          </cell>
          <cell r="D6">
            <v>91378</v>
          </cell>
          <cell r="E6">
            <v>135954</v>
          </cell>
          <cell r="F6">
            <v>170372</v>
          </cell>
          <cell r="G6">
            <v>209927.75</v>
          </cell>
          <cell r="H6">
            <v>281677.67129117821</v>
          </cell>
          <cell r="I6">
            <v>417733.02586109145</v>
          </cell>
          <cell r="J6">
            <v>585180.34623812162</v>
          </cell>
          <cell r="K6">
            <v>770001.59268139408</v>
          </cell>
          <cell r="L6">
            <v>988285.69902313245</v>
          </cell>
          <cell r="M6">
            <v>1304286.7878968767</v>
          </cell>
          <cell r="N6">
            <v>1714111.7455380387</v>
          </cell>
          <cell r="O6">
            <v>2246160.2075986518</v>
          </cell>
          <cell r="P6">
            <v>2936658.2968088426</v>
          </cell>
          <cell r="Q6">
            <v>3832879.6729578804</v>
          </cell>
          <cell r="R6">
            <v>4995089.8789458117</v>
          </cell>
          <cell r="S6">
            <v>6498154.0743580181</v>
          </cell>
          <cell r="T6">
            <v>8432138.3763086144</v>
          </cell>
          <cell r="U6">
            <v>10901149.247533619</v>
          </cell>
          <cell r="V6">
            <v>14021100.303167958</v>
          </cell>
          <cell r="W6">
            <v>17904756.330378503</v>
          </cell>
          <cell r="X6">
            <v>22563977.746271152</v>
          </cell>
          <cell r="Y6">
            <v>27746440.688020378</v>
          </cell>
          <cell r="Z6">
            <v>33249857.799467616</v>
          </cell>
          <cell r="AA6">
            <v>38703565.211084187</v>
          </cell>
          <cell r="AB6">
            <v>43996781.625476994</v>
          </cell>
          <cell r="AC6">
            <v>49074557.913139835</v>
          </cell>
          <cell r="AD6">
            <v>53923344.729425922</v>
          </cell>
          <cell r="AE6">
            <v>58591087.14718774</v>
          </cell>
          <cell r="AF6">
            <v>63169305.143117025</v>
          </cell>
          <cell r="AG6">
            <v>67746316.773992836</v>
          </cell>
          <cell r="AH6">
            <v>72376860.465835333</v>
          </cell>
          <cell r="AI6">
            <v>77084786.785681367</v>
          </cell>
          <cell r="AJ6">
            <v>81877222.779280946</v>
          </cell>
        </row>
        <row r="7">
          <cell r="A7" t="str">
            <v>US_Large_annual</v>
          </cell>
          <cell r="B7">
            <v>0</v>
          </cell>
          <cell r="C7">
            <v>2371</v>
          </cell>
          <cell r="D7">
            <v>19451</v>
          </cell>
          <cell r="E7">
            <v>18296</v>
          </cell>
          <cell r="F7">
            <v>30153</v>
          </cell>
          <cell r="G7">
            <v>31621.416666666664</v>
          </cell>
          <cell r="H7">
            <v>33846.065670848722</v>
          </cell>
          <cell r="I7">
            <v>35891.574652686228</v>
          </cell>
          <cell r="J7">
            <v>66420.509132468404</v>
          </cell>
          <cell r="K7">
            <v>71332.410831394038</v>
          </cell>
          <cell r="L7">
            <v>76640.325103316369</v>
          </cell>
          <cell r="M7">
            <v>109744.35231657658</v>
          </cell>
          <cell r="N7">
            <v>143600.47158288391</v>
          </cell>
          <cell r="O7">
            <v>201241.52412176409</v>
          </cell>
          <cell r="P7">
            <v>251927.49355543443</v>
          </cell>
          <cell r="Q7">
            <v>264241.01841361268</v>
          </cell>
          <cell r="R7">
            <v>330595.09972182917</v>
          </cell>
          <cell r="S7">
            <v>388981.35916869633</v>
          </cell>
          <cell r="T7">
            <v>495253.7067038223</v>
          </cell>
          <cell r="U7">
            <v>748200.33252480614</v>
          </cell>
          <cell r="V7">
            <v>812769.73868516891</v>
          </cell>
          <cell r="W7">
            <v>817292.33384861203</v>
          </cell>
          <cell r="X7">
            <v>848383.690887123</v>
          </cell>
          <cell r="Y7">
            <v>986930.22842411662</v>
          </cell>
          <cell r="Z7">
            <v>1092053.2696501319</v>
          </cell>
          <cell r="AA7">
            <v>1097513.5359983824</v>
          </cell>
          <cell r="AB7">
            <v>1103001.1036783743</v>
          </cell>
          <cell r="AC7">
            <v>1108516.109196766</v>
          </cell>
          <cell r="AD7">
            <v>1118096.8576930412</v>
          </cell>
          <cell r="AE7">
            <v>1128023.6786625313</v>
          </cell>
          <cell r="AF7">
            <v>1133663.797055844</v>
          </cell>
          <cell r="AG7">
            <v>1139332.1160411229</v>
          </cell>
          <cell r="AH7">
            <v>1145028.7766213284</v>
          </cell>
          <cell r="AI7">
            <v>1150753.920504435</v>
          </cell>
          <cell r="AJ7">
            <v>1156507.690106957</v>
          </cell>
        </row>
        <row r="8">
          <cell r="A8" t="str">
            <v>US_Large_cumulative</v>
          </cell>
          <cell r="B8">
            <v>0</v>
          </cell>
          <cell r="C8">
            <v>2371</v>
          </cell>
          <cell r="D8">
            <v>21822</v>
          </cell>
          <cell r="E8">
            <v>40118</v>
          </cell>
          <cell r="F8">
            <v>70271</v>
          </cell>
          <cell r="G8">
            <v>101892.41666666666</v>
          </cell>
          <cell r="H8">
            <v>135738.48233751539</v>
          </cell>
          <cell r="I8">
            <v>171630.05699020161</v>
          </cell>
          <cell r="J8">
            <v>238050.56612267002</v>
          </cell>
          <cell r="K8">
            <v>309382.97695406404</v>
          </cell>
          <cell r="L8">
            <v>386023.30205738044</v>
          </cell>
          <cell r="M8">
            <v>495767.65437395702</v>
          </cell>
          <cell r="N8">
            <v>636997.12595684093</v>
          </cell>
          <cell r="O8">
            <v>818787.65007860505</v>
          </cell>
          <cell r="P8">
            <v>1052419.1436340394</v>
          </cell>
          <cell r="Q8">
            <v>1316660.1620476521</v>
          </cell>
          <cell r="R8">
            <v>1647255.2617694812</v>
          </cell>
          <cell r="S8">
            <v>2036236.6209381777</v>
          </cell>
          <cell r="T8">
            <v>2531490.3276419998</v>
          </cell>
          <cell r="U8">
            <v>3228669.0901868693</v>
          </cell>
          <cell r="V8">
            <v>4041438.8288720381</v>
          </cell>
          <cell r="W8">
            <v>4858731.1627206504</v>
          </cell>
          <cell r="X8">
            <v>5707114.8536077738</v>
          </cell>
          <cell r="Y8">
            <v>6694045.0820318907</v>
          </cell>
          <cell r="Z8">
            <v>7786098.3516820222</v>
          </cell>
          <cell r="AA8">
            <v>8883611.8876804039</v>
          </cell>
          <cell r="AB8">
            <v>9986612.9913587775</v>
          </cell>
          <cell r="AC8">
            <v>11095129.100555543</v>
          </cell>
          <cell r="AD8">
            <v>12213225.958248584</v>
          </cell>
          <cell r="AE8">
            <v>13341249.636911115</v>
          </cell>
          <cell r="AF8">
            <v>14474913.433966959</v>
          </cell>
          <cell r="AG8">
            <v>15614245.550008081</v>
          </cell>
          <cell r="AH8">
            <v>16759274.32662941</v>
          </cell>
          <cell r="AI8">
            <v>17910028.247133844</v>
          </cell>
          <cell r="AJ8">
            <v>19066535.937240802</v>
          </cell>
        </row>
        <row r="9">
          <cell r="A9" t="str">
            <v>US_SUV_annual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1068</v>
          </cell>
          <cell r="G9">
            <v>25498.416666666664</v>
          </cell>
          <cell r="H9">
            <v>25384.406650101562</v>
          </cell>
          <cell r="I9">
            <v>31901.034934149222</v>
          </cell>
          <cell r="J9">
            <v>45636.504739297932</v>
          </cell>
          <cell r="K9">
            <v>48694.601916072264</v>
          </cell>
          <cell r="L9">
            <v>52126.378961833296</v>
          </cell>
          <cell r="M9">
            <v>92122.146084820415</v>
          </cell>
          <cell r="N9">
            <v>120298.37970646677</v>
          </cell>
          <cell r="O9">
            <v>157306.80916757963</v>
          </cell>
          <cell r="P9">
            <v>205820.36680379705</v>
          </cell>
          <cell r="Q9">
            <v>270764.87387812778</v>
          </cell>
          <cell r="R9">
            <v>379320.15984003543</v>
          </cell>
          <cell r="S9">
            <v>489581.66793475708</v>
          </cell>
          <cell r="T9">
            <v>639934.63096953719</v>
          </cell>
          <cell r="U9">
            <v>839411.43540457834</v>
          </cell>
          <cell r="V9">
            <v>1079750.7990525726</v>
          </cell>
          <cell r="W9">
            <v>1380038.8314994099</v>
          </cell>
          <cell r="X9">
            <v>1783692.1510752181</v>
          </cell>
          <cell r="Y9">
            <v>2243962.48208695</v>
          </cell>
          <cell r="Z9">
            <v>2773390.0515776714</v>
          </cell>
          <cell r="AA9">
            <v>3130357.1072149123</v>
          </cell>
          <cell r="AB9">
            <v>3177468.9816784966</v>
          </cell>
          <cell r="AC9">
            <v>3225289.8898527571</v>
          </cell>
          <cell r="AD9">
            <v>3273830.5026950408</v>
          </cell>
          <cell r="AE9">
            <v>3323101.6517606014</v>
          </cell>
          <cell r="AF9">
            <v>3373114.3316195975</v>
          </cell>
          <cell r="AG9">
            <v>3423879.7023104718</v>
          </cell>
          <cell r="AH9">
            <v>3475409.0918302443</v>
          </cell>
          <cell r="AI9">
            <v>3527713.9986622892</v>
          </cell>
          <cell r="AJ9">
            <v>3580806.0943421563</v>
          </cell>
        </row>
        <row r="10">
          <cell r="A10" t="str">
            <v>US_SUV_cumulative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1068</v>
          </cell>
          <cell r="G10">
            <v>26566.416666666664</v>
          </cell>
          <cell r="H10">
            <v>51950.823316768227</v>
          </cell>
          <cell r="I10">
            <v>83851.858250917445</v>
          </cell>
          <cell r="J10">
            <v>129488.36299021538</v>
          </cell>
          <cell r="K10">
            <v>178182.96490628764</v>
          </cell>
          <cell r="L10">
            <v>230309.34386812092</v>
          </cell>
          <cell r="M10">
            <v>322431.48995294131</v>
          </cell>
          <cell r="N10">
            <v>442729.86965940811</v>
          </cell>
          <cell r="O10">
            <v>600036.67882698774</v>
          </cell>
          <cell r="P10">
            <v>805857.04563078482</v>
          </cell>
          <cell r="Q10">
            <v>1075553.9195089126</v>
          </cell>
          <cell r="R10">
            <v>1429375.6626822813</v>
          </cell>
          <cell r="S10">
            <v>1893572.923966937</v>
          </cell>
          <cell r="T10">
            <v>2501606.5200023251</v>
          </cell>
          <cell r="U10">
            <v>3295381.4506676053</v>
          </cell>
          <cell r="V10">
            <v>4326437.6478041057</v>
          </cell>
          <cell r="W10">
            <v>5654350.1003416823</v>
          </cell>
          <cell r="X10">
            <v>7345920.1053320803</v>
          </cell>
          <cell r="Y10">
            <v>9469584.2077125628</v>
          </cell>
          <cell r="Z10">
            <v>12085667.450122654</v>
          </cell>
          <cell r="AA10">
            <v>15216024.557337567</v>
          </cell>
          <cell r="AB10">
            <v>18393493.539016064</v>
          </cell>
          <cell r="AC10">
            <v>21618783.428868823</v>
          </cell>
          <cell r="AD10">
            <v>24892613.931563862</v>
          </cell>
          <cell r="AE10">
            <v>28215715.583324462</v>
          </cell>
          <cell r="AF10">
            <v>31588829.91494406</v>
          </cell>
          <cell r="AG10">
            <v>35012709.617254533</v>
          </cell>
          <cell r="AH10">
            <v>38488118.709084779</v>
          </cell>
          <cell r="AI10">
            <v>42015832.707747072</v>
          </cell>
          <cell r="AJ10">
            <v>45274452.480147153</v>
          </cell>
        </row>
        <row r="11">
          <cell r="A11" t="str">
            <v>China_Small_annual</v>
          </cell>
          <cell r="B11">
            <v>0</v>
          </cell>
          <cell r="C11">
            <v>14</v>
          </cell>
          <cell r="D11">
            <v>69</v>
          </cell>
          <cell r="E11">
            <v>619</v>
          </cell>
          <cell r="F11">
            <v>18419</v>
          </cell>
          <cell r="G11">
            <v>80078</v>
          </cell>
          <cell r="H11">
            <v>155165.09556018302</v>
          </cell>
          <cell r="I11">
            <v>207723.85017312513</v>
          </cell>
          <cell r="J11">
            <v>215326.53899483598</v>
          </cell>
          <cell r="K11">
            <v>223207.48607755822</v>
          </cell>
          <cell r="L11">
            <v>231376.87566815989</v>
          </cell>
          <cell r="M11">
            <v>313317.0936123454</v>
          </cell>
          <cell r="N11">
            <v>405930.05198960309</v>
          </cell>
          <cell r="O11">
            <v>525701.01575705514</v>
          </cell>
          <cell r="P11">
            <v>679628.78637116193</v>
          </cell>
          <cell r="Q11">
            <v>893726.20388697041</v>
          </cell>
          <cell r="R11">
            <v>1202956.0767453902</v>
          </cell>
          <cell r="S11">
            <v>1585749.4397070606</v>
          </cell>
          <cell r="T11">
            <v>2011348.5173189226</v>
          </cell>
          <cell r="U11">
            <v>2456152.9160431018</v>
          </cell>
          <cell r="V11">
            <v>2959000.9006342907</v>
          </cell>
          <cell r="W11">
            <v>3491730.9392507034</v>
          </cell>
          <cell r="X11">
            <v>4089225.1309333132</v>
          </cell>
          <cell r="Y11">
            <v>4631890.1080148118</v>
          </cell>
          <cell r="Z11">
            <v>5073761.8267986886</v>
          </cell>
          <cell r="AA11">
            <v>5169849.8664054899</v>
          </cell>
          <cell r="AB11">
            <v>5247656.1068948917</v>
          </cell>
          <cell r="AC11">
            <v>5326633.3313036598</v>
          </cell>
          <cell r="AD11">
            <v>5406799.1629397795</v>
          </cell>
          <cell r="AE11">
            <v>5342077.4106113007</v>
          </cell>
          <cell r="AF11">
            <v>5289805.586573205</v>
          </cell>
          <cell r="AG11">
            <v>5350309.7128272988</v>
          </cell>
          <cell r="AH11">
            <v>5516072.9387104064</v>
          </cell>
          <cell r="AI11">
            <v>5823841.4727802919</v>
          </cell>
          <cell r="AJ11">
            <v>5913775.7368932096</v>
          </cell>
        </row>
        <row r="12">
          <cell r="A12" t="str">
            <v>China_Small_cumulative</v>
          </cell>
          <cell r="B12">
            <v>0</v>
          </cell>
          <cell r="C12">
            <v>14</v>
          </cell>
          <cell r="D12">
            <v>83</v>
          </cell>
          <cell r="E12">
            <v>702</v>
          </cell>
          <cell r="F12">
            <v>19121</v>
          </cell>
          <cell r="G12">
            <v>99199</v>
          </cell>
          <cell r="H12">
            <v>254364.09556018302</v>
          </cell>
          <cell r="I12">
            <v>462087.94573330815</v>
          </cell>
          <cell r="J12">
            <v>677414.48472814413</v>
          </cell>
          <cell r="K12">
            <v>900621.97080570238</v>
          </cell>
          <cell r="L12">
            <v>1131998.8464738622</v>
          </cell>
          <cell r="M12">
            <v>1445315.9400862076</v>
          </cell>
          <cell r="N12">
            <v>1851231.9920758107</v>
          </cell>
          <cell r="O12">
            <v>2376864.0078328657</v>
          </cell>
          <cell r="P12">
            <v>3055873.7942040274</v>
          </cell>
          <cell r="Q12">
            <v>3931180.9980909978</v>
          </cell>
          <cell r="R12">
            <v>5054059.0748363882</v>
          </cell>
          <cell r="S12">
            <v>6484643.4189832658</v>
          </cell>
          <cell r="T12">
            <v>8288268.0861290637</v>
          </cell>
          <cell r="U12">
            <v>10529094.463177329</v>
          </cell>
          <cell r="V12">
            <v>13264887.877734061</v>
          </cell>
          <cell r="W12">
            <v>16525241.941316605</v>
          </cell>
          <cell r="X12">
            <v>20301149.978637572</v>
          </cell>
          <cell r="Y12">
            <v>24527110.034662779</v>
          </cell>
          <cell r="Z12">
            <v>29075170.845704414</v>
          </cell>
          <cell r="AA12">
            <v>33763076.562321737</v>
          </cell>
          <cell r="AB12">
            <v>38340951.633897431</v>
          </cell>
          <cell r="AC12">
            <v>42617154.149364993</v>
          </cell>
          <cell r="AD12">
            <v>46454312.033395976</v>
          </cell>
          <cell r="AE12">
            <v>49785040.926688358</v>
          </cell>
          <cell r="AF12">
            <v>52618693.597218461</v>
          </cell>
          <cell r="AG12">
            <v>55010002.409411475</v>
          </cell>
          <cell r="AH12">
            <v>57034344.408871181</v>
          </cell>
          <cell r="AI12">
            <v>58768960.750718161</v>
          </cell>
          <cell r="AJ12">
            <v>60282303.937928475</v>
          </cell>
        </row>
        <row r="13">
          <cell r="A13" t="str">
            <v>China_Medium_annual</v>
          </cell>
          <cell r="B13">
            <v>401</v>
          </cell>
          <cell r="C13">
            <v>1928</v>
          </cell>
          <cell r="D13">
            <v>3124</v>
          </cell>
          <cell r="E13">
            <v>22270</v>
          </cell>
          <cell r="F13">
            <v>64141</v>
          </cell>
          <cell r="G13">
            <v>128308</v>
          </cell>
          <cell r="H13">
            <v>259870.00289276504</v>
          </cell>
          <cell r="I13">
            <v>289526.93846358749</v>
          </cell>
          <cell r="J13">
            <v>346883.15513436712</v>
          </cell>
          <cell r="K13">
            <v>359579.07177456928</v>
          </cell>
          <cell r="L13">
            <v>372739.65871354262</v>
          </cell>
          <cell r="M13">
            <v>545105.37919182668</v>
          </cell>
          <cell r="N13">
            <v>713305.49958843482</v>
          </cell>
          <cell r="O13">
            <v>930534.14744002104</v>
          </cell>
          <cell r="P13">
            <v>1227983.5323249879</v>
          </cell>
          <cell r="Q13">
            <v>1627000.0103066692</v>
          </cell>
          <cell r="R13">
            <v>2141789.0481688743</v>
          </cell>
          <cell r="S13">
            <v>2832341.6314424998</v>
          </cell>
          <cell r="T13">
            <v>3536312.047552851</v>
          </cell>
          <cell r="U13">
            <v>4376248.1781174745</v>
          </cell>
          <cell r="V13">
            <v>5262492.8218998741</v>
          </cell>
          <cell r="W13">
            <v>6180264.2894414552</v>
          </cell>
          <cell r="X13">
            <v>7207541.9006514447</v>
          </cell>
          <cell r="Y13">
            <v>8073800.5224541463</v>
          </cell>
          <cell r="Z13">
            <v>8319825.0571834994</v>
          </cell>
          <cell r="AA13">
            <v>8409580.6406338755</v>
          </cell>
          <cell r="AB13">
            <v>8374807.7788086524</v>
          </cell>
          <cell r="AC13">
            <v>8302731.163443408</v>
          </cell>
          <cell r="AD13">
            <v>8222266.8554989183</v>
          </cell>
          <cell r="AE13">
            <v>8178976.3124307087</v>
          </cell>
          <cell r="AF13">
            <v>8208823.0954489596</v>
          </cell>
          <cell r="AG13">
            <v>8308973.9157257555</v>
          </cell>
          <cell r="AH13">
            <v>8454821.9135033805</v>
          </cell>
          <cell r="AI13">
            <v>8617579.6565528326</v>
          </cell>
          <cell r="AJ13">
            <v>8781209.9492448382</v>
          </cell>
        </row>
        <row r="14">
          <cell r="A14" t="str">
            <v>China_Medium_cumulative</v>
          </cell>
          <cell r="B14">
            <v>401</v>
          </cell>
          <cell r="C14">
            <v>2329</v>
          </cell>
          <cell r="D14">
            <v>5453</v>
          </cell>
          <cell r="E14">
            <v>27723</v>
          </cell>
          <cell r="F14">
            <v>91864</v>
          </cell>
          <cell r="G14">
            <v>220172</v>
          </cell>
          <cell r="H14">
            <v>480042.00289276504</v>
          </cell>
          <cell r="I14">
            <v>769568.94135635253</v>
          </cell>
          <cell r="J14">
            <v>1116452.0964907196</v>
          </cell>
          <cell r="K14">
            <v>1476031.1682652889</v>
          </cell>
          <cell r="L14">
            <v>1848770.8269788316</v>
          </cell>
          <cell r="M14">
            <v>2393876.2061706581</v>
          </cell>
          <cell r="N14">
            <v>3105253.7057590932</v>
          </cell>
          <cell r="O14">
            <v>4032663.8531991141</v>
          </cell>
          <cell r="P14">
            <v>5238377.3855241016</v>
          </cell>
          <cell r="Q14">
            <v>6801236.395830771</v>
          </cell>
          <cell r="R14">
            <v>8814717.4439996444</v>
          </cell>
          <cell r="S14">
            <v>11387189.07254938</v>
          </cell>
          <cell r="T14">
            <v>14633974.181638643</v>
          </cell>
          <cell r="U14">
            <v>18663339.204621751</v>
          </cell>
          <cell r="V14">
            <v>23566252.954747055</v>
          </cell>
          <cell r="W14">
            <v>29373777.585474968</v>
          </cell>
          <cell r="X14">
            <v>36036214.106934592</v>
          </cell>
          <cell r="Y14">
            <v>43396709.129800297</v>
          </cell>
          <cell r="Z14">
            <v>51192088.328436829</v>
          </cell>
          <cell r="AA14">
            <v>59069126.884790413</v>
          </cell>
          <cell r="AB14">
            <v>66565380.987675399</v>
          </cell>
          <cell r="AC14">
            <v>73344454.23202756</v>
          </cell>
          <cell r="AD14">
            <v>79182913.725328967</v>
          </cell>
          <cell r="AE14">
            <v>83998317.266968057</v>
          </cell>
          <cell r="AF14">
            <v>87891517.376706228</v>
          </cell>
          <cell r="AG14">
            <v>91045741.12259993</v>
          </cell>
          <cell r="AH14">
            <v>93660158.246364921</v>
          </cell>
          <cell r="AI14">
            <v>95905336.446415529</v>
          </cell>
          <cell r="AJ14">
            <v>97907927.205084115</v>
          </cell>
        </row>
        <row r="15">
          <cell r="A15" t="str">
            <v>China_Large_annual</v>
          </cell>
          <cell r="B15">
            <v>0</v>
          </cell>
          <cell r="C15">
            <v>0</v>
          </cell>
          <cell r="D15">
            <v>100</v>
          </cell>
          <cell r="E15">
            <v>0</v>
          </cell>
          <cell r="F15">
            <v>4771</v>
          </cell>
          <cell r="G15">
            <v>22285</v>
          </cell>
          <cell r="H15">
            <v>61019.695800878944</v>
          </cell>
          <cell r="I15">
            <v>127801.85215865105</v>
          </cell>
          <cell r="J15">
            <v>132479.39742844421</v>
          </cell>
          <cell r="K15">
            <v>153352.47652352389</v>
          </cell>
          <cell r="L15">
            <v>158965.17414142078</v>
          </cell>
          <cell r="M15">
            <v>135964.52557994536</v>
          </cell>
          <cell r="N15">
            <v>139363.63871944399</v>
          </cell>
          <cell r="O15">
            <v>167619.22131459226</v>
          </cell>
          <cell r="P15">
            <v>171809.70184745707</v>
          </cell>
          <cell r="Q15">
            <v>175245.8958844062</v>
          </cell>
          <cell r="R15">
            <v>180155.23972213225</v>
          </cell>
          <cell r="S15">
            <v>183758.3445165749</v>
          </cell>
          <cell r="T15">
            <v>187433.51140690641</v>
          </cell>
          <cell r="U15">
            <v>189307.84652097546</v>
          </cell>
          <cell r="V15">
            <v>191200.92498618524</v>
          </cell>
          <cell r="W15">
            <v>193112.93423604706</v>
          </cell>
          <cell r="X15">
            <v>195044.06357840757</v>
          </cell>
          <cell r="Y15">
            <v>196994.50421419163</v>
          </cell>
          <cell r="Z15">
            <v>198964.44925633355</v>
          </cell>
          <cell r="AA15">
            <v>199959.27150261521</v>
          </cell>
          <cell r="AB15">
            <v>200959.06786012827</v>
          </cell>
          <cell r="AC15">
            <v>203677.90942804067</v>
          </cell>
          <cell r="AD15">
            <v>205598.71172678727</v>
          </cell>
          <cell r="AE15">
            <v>206626.70528542119</v>
          </cell>
          <cell r="AF15">
            <v>207659.83881184828</v>
          </cell>
          <cell r="AG15">
            <v>208698.13800590747</v>
          </cell>
          <cell r="AH15">
            <v>209741.62869593699</v>
          </cell>
          <cell r="AI15">
            <v>210790.33683941668</v>
          </cell>
          <cell r="AJ15">
            <v>211844.28852361377</v>
          </cell>
        </row>
        <row r="16">
          <cell r="A16" t="str">
            <v>China_Large_cumulative</v>
          </cell>
          <cell r="B16">
            <v>0</v>
          </cell>
          <cell r="C16">
            <v>0</v>
          </cell>
          <cell r="D16">
            <v>100</v>
          </cell>
          <cell r="E16">
            <v>100</v>
          </cell>
          <cell r="F16">
            <v>4871</v>
          </cell>
          <cell r="G16">
            <v>27156</v>
          </cell>
          <cell r="H16">
            <v>88175.695800878952</v>
          </cell>
          <cell r="I16">
            <v>215977.54795953</v>
          </cell>
          <cell r="J16">
            <v>348456.94538797421</v>
          </cell>
          <cell r="K16">
            <v>501809.42191149807</v>
          </cell>
          <cell r="L16">
            <v>660774.59605291882</v>
          </cell>
          <cell r="M16">
            <v>796739.12163286423</v>
          </cell>
          <cell r="N16">
            <v>936102.76035230816</v>
          </cell>
          <cell r="O16">
            <v>1103721.9816669005</v>
          </cell>
          <cell r="P16">
            <v>1275531.6835143575</v>
          </cell>
          <cell r="Q16">
            <v>1450777.5793987638</v>
          </cell>
          <cell r="R16">
            <v>1630932.819120896</v>
          </cell>
          <cell r="S16">
            <v>1814691.1636374709</v>
          </cell>
          <cell r="T16">
            <v>2002124.6750443773</v>
          </cell>
          <cell r="U16">
            <v>2191432.5215653526</v>
          </cell>
          <cell r="V16">
            <v>2382633.4465515376</v>
          </cell>
          <cell r="W16">
            <v>2575746.3807875845</v>
          </cell>
          <cell r="X16">
            <v>2770790.4443659922</v>
          </cell>
          <cell r="Y16">
            <v>2967784.948580184</v>
          </cell>
          <cell r="Z16">
            <v>3166749.3978365175</v>
          </cell>
          <cell r="AA16">
            <v>3366708.669339133</v>
          </cell>
          <cell r="AB16">
            <v>3567667.7371992613</v>
          </cell>
          <cell r="AC16">
            <v>3771345.6466273018</v>
          </cell>
          <cell r="AD16">
            <v>3976944.3583540889</v>
          </cell>
          <cell r="AE16">
            <v>4183571.06363951</v>
          </cell>
          <cell r="AF16">
            <v>4391230.9024513578</v>
          </cell>
          <cell r="AG16">
            <v>4599929.0404572655</v>
          </cell>
          <cell r="AH16">
            <v>4809670.6691532023</v>
          </cell>
          <cell r="AI16">
            <v>5020461.0059926193</v>
          </cell>
          <cell r="AJ16">
            <v>5232305.2945162328</v>
          </cell>
        </row>
        <row r="17">
          <cell r="A17" t="str">
            <v>China_SUV_annual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18740</v>
          </cell>
          <cell r="G17">
            <v>31860</v>
          </cell>
          <cell r="H17">
            <v>48670.733866750175</v>
          </cell>
          <cell r="I17">
            <v>87051.490210113479</v>
          </cell>
          <cell r="J17">
            <v>96984.449184015466</v>
          </cell>
          <cell r="K17">
            <v>116558.41387302082</v>
          </cell>
          <cell r="L17">
            <v>120824.44952318911</v>
          </cell>
          <cell r="M17">
            <v>157673.37477029386</v>
          </cell>
          <cell r="N17">
            <v>205697.00241701884</v>
          </cell>
          <cell r="O17">
            <v>268527.2073933747</v>
          </cell>
          <cell r="P17">
            <v>350495.46600348002</v>
          </cell>
          <cell r="Q17">
            <v>476720.07308168674</v>
          </cell>
          <cell r="R17">
            <v>629944.65680818586</v>
          </cell>
          <cell r="S17">
            <v>828770.10508780484</v>
          </cell>
          <cell r="T17">
            <v>1101181.8070119102</v>
          </cell>
          <cell r="U17">
            <v>1407867.1574968097</v>
          </cell>
          <cell r="V17">
            <v>1797704.3371034567</v>
          </cell>
          <cell r="W17">
            <v>2250765.3686194099</v>
          </cell>
          <cell r="X17">
            <v>2815942.8124782336</v>
          </cell>
          <cell r="Y17">
            <v>3148199.0065783653</v>
          </cell>
          <cell r="Z17">
            <v>3277933.0675350064</v>
          </cell>
          <cell r="AA17">
            <v>3343872.1099987938</v>
          </cell>
          <cell r="AB17">
            <v>3627484.5476435972</v>
          </cell>
          <cell r="AC17">
            <v>3645621.9703818141</v>
          </cell>
          <cell r="AD17">
            <v>3698815.2225970491</v>
          </cell>
          <cell r="AE17">
            <v>3717309.2987100342</v>
          </cell>
          <cell r="AF17">
            <v>3735895.8452035841</v>
          </cell>
          <cell r="AG17">
            <v>3754575.324429601</v>
          </cell>
          <cell r="AH17">
            <v>3773348.2010517484</v>
          </cell>
          <cell r="AI17">
            <v>3792214.942057007</v>
          </cell>
          <cell r="AJ17">
            <v>3811176.0167672923</v>
          </cell>
        </row>
        <row r="18">
          <cell r="A18" t="str">
            <v>China_SUV_cumulative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18740</v>
          </cell>
          <cell r="G18">
            <v>50600</v>
          </cell>
          <cell r="H18">
            <v>99270.733866750175</v>
          </cell>
          <cell r="I18">
            <v>186322.22407686367</v>
          </cell>
          <cell r="J18">
            <v>283306.67326087912</v>
          </cell>
          <cell r="K18">
            <v>399865.08713389991</v>
          </cell>
          <cell r="L18">
            <v>520689.53665708902</v>
          </cell>
          <cell r="M18">
            <v>678362.91142738285</v>
          </cell>
          <cell r="N18">
            <v>884059.91384440172</v>
          </cell>
          <cell r="O18">
            <v>1152587.1212377765</v>
          </cell>
          <cell r="P18">
            <v>1503082.5872412566</v>
          </cell>
          <cell r="Q18">
            <v>1961062.6603229432</v>
          </cell>
          <cell r="R18">
            <v>2559147.3171311291</v>
          </cell>
          <cell r="S18">
            <v>3339246.6883521834</v>
          </cell>
          <cell r="T18">
            <v>4353377.0051539801</v>
          </cell>
          <cell r="U18">
            <v>5664259.7134667747</v>
          </cell>
          <cell r="V18">
            <v>7345405.6366972104</v>
          </cell>
          <cell r="W18">
            <v>9475346.5557934307</v>
          </cell>
          <cell r="X18">
            <v>12133615.993501369</v>
          </cell>
          <cell r="Y18">
            <v>15281815.000079734</v>
          </cell>
          <cell r="Z18">
            <v>18559748.067614742</v>
          </cell>
          <cell r="AA18">
            <v>21903620.177613534</v>
          </cell>
          <cell r="AB18">
            <v>25531104.725257132</v>
          </cell>
          <cell r="AC18">
            <v>29176726.695638947</v>
          </cell>
          <cell r="AD18">
            <v>32875541.918235995</v>
          </cell>
          <cell r="AE18">
            <v>36592851.216946028</v>
          </cell>
          <cell r="AF18">
            <v>40328747.062149614</v>
          </cell>
          <cell r="AG18">
            <v>44083322.386579216</v>
          </cell>
          <cell r="AH18">
            <v>47856670.587630965</v>
          </cell>
          <cell r="AI18">
            <v>51648885.529687971</v>
          </cell>
          <cell r="AJ18">
            <v>55460061.546455264</v>
          </cell>
        </row>
        <row r="19">
          <cell r="A19" t="str">
            <v>Japan_Small_annual</v>
          </cell>
          <cell r="B19">
            <v>13449</v>
          </cell>
          <cell r="C19">
            <v>16864</v>
          </cell>
          <cell r="D19">
            <v>15114</v>
          </cell>
          <cell r="E19">
            <v>16240</v>
          </cell>
          <cell r="F19">
            <v>10353</v>
          </cell>
          <cell r="G19">
            <v>15203</v>
          </cell>
          <cell r="H19">
            <v>17715.426844803358</v>
          </cell>
          <cell r="I19">
            <v>19135.807140869114</v>
          </cell>
          <cell r="J19">
            <v>19366.704009195786</v>
          </cell>
          <cell r="K19">
            <v>19600.386930047476</v>
          </cell>
          <cell r="L19">
            <v>19836.889520548259</v>
          </cell>
          <cell r="M19">
            <v>49075.302677023945</v>
          </cell>
          <cell r="N19">
            <v>79214.145453062694</v>
          </cell>
          <cell r="O19">
            <v>94521.552474653115</v>
          </cell>
          <cell r="P19">
            <v>117365.10735524235</v>
          </cell>
          <cell r="Q19">
            <v>139236.59366551193</v>
          </cell>
          <cell r="R19">
            <v>179195.54270935943</v>
          </cell>
          <cell r="S19">
            <v>225591.38128639539</v>
          </cell>
          <cell r="T19">
            <v>280904.64377553615</v>
          </cell>
          <cell r="U19">
            <v>345795.55693295994</v>
          </cell>
          <cell r="V19">
            <v>421779.54629350983</v>
          </cell>
          <cell r="W19">
            <v>506696.18798440672</v>
          </cell>
          <cell r="X19">
            <v>520536.81160783948</v>
          </cell>
          <cell r="Y19">
            <v>520536.81160783948</v>
          </cell>
          <cell r="Z19">
            <v>520536.81160783948</v>
          </cell>
          <cell r="AA19">
            <v>520536.81160783948</v>
          </cell>
          <cell r="AB19">
            <v>523219.26713073655</v>
          </cell>
          <cell r="AC19">
            <v>526793.67486807494</v>
          </cell>
          <cell r="AD19">
            <v>529838.81549188832</v>
          </cell>
          <cell r="AE19">
            <v>529838.81549188832</v>
          </cell>
          <cell r="AF19">
            <v>529838.81549188832</v>
          </cell>
          <cell r="AG19">
            <v>529838.81549188832</v>
          </cell>
          <cell r="AH19">
            <v>529190.13826087199</v>
          </cell>
          <cell r="AI19">
            <v>527824.91285506252</v>
          </cell>
          <cell r="AJ19">
            <v>526454.55802847061</v>
          </cell>
        </row>
        <row r="20">
          <cell r="A20" t="str">
            <v>Japan_Small_cumulative</v>
          </cell>
          <cell r="B20">
            <v>13449</v>
          </cell>
          <cell r="C20">
            <v>30313</v>
          </cell>
          <cell r="D20">
            <v>45427</v>
          </cell>
          <cell r="E20">
            <v>61667</v>
          </cell>
          <cell r="F20">
            <v>72020</v>
          </cell>
          <cell r="G20">
            <v>87223</v>
          </cell>
          <cell r="H20">
            <v>104938.42684480335</v>
          </cell>
          <cell r="I20">
            <v>124074.23398567247</v>
          </cell>
          <cell r="J20">
            <v>143440.93799486826</v>
          </cell>
          <cell r="K20">
            <v>163041.32492491574</v>
          </cell>
          <cell r="L20">
            <v>182878.21444546399</v>
          </cell>
          <cell r="M20">
            <v>231953.51712248795</v>
          </cell>
          <cell r="N20">
            <v>294303.66257555061</v>
          </cell>
          <cell r="O20">
            <v>373711.21505020373</v>
          </cell>
          <cell r="P20">
            <v>474836.32240544609</v>
          </cell>
          <cell r="Q20">
            <v>603719.91607095802</v>
          </cell>
          <cell r="R20">
            <v>767712.45878031745</v>
          </cell>
          <cell r="S20">
            <v>975588.41322190943</v>
          </cell>
          <cell r="T20">
            <v>1237357.2498565766</v>
          </cell>
          <cell r="U20">
            <v>1563786.1027803407</v>
          </cell>
          <cell r="V20">
            <v>1965965.2621438031</v>
          </cell>
          <cell r="W20">
            <v>2452824.5606076615</v>
          </cell>
          <cell r="X20">
            <v>2973361.372215501</v>
          </cell>
          <cell r="Y20">
            <v>3493898.1838233406</v>
          </cell>
          <cell r="Z20">
            <v>4014434.9954311801</v>
          </cell>
          <cell r="AA20">
            <v>4534971.8070390197</v>
          </cell>
          <cell r="AB20">
            <v>5058191.0741697559</v>
          </cell>
          <cell r="AC20">
            <v>5584984.7490378311</v>
          </cell>
          <cell r="AD20">
            <v>6114823.5645297198</v>
          </cell>
          <cell r="AE20">
            <v>6644662.3800216084</v>
          </cell>
          <cell r="AF20">
            <v>7174501.1955134971</v>
          </cell>
          <cell r="AG20">
            <v>7704340.0110053858</v>
          </cell>
          <cell r="AH20">
            <v>8233530.1492662579</v>
          </cell>
          <cell r="AI20">
            <v>8761355.0621213205</v>
          </cell>
          <cell r="AJ20">
            <v>9286739.7162949927</v>
          </cell>
        </row>
        <row r="21">
          <cell r="A21" t="str">
            <v>Japan_Medium_annual</v>
          </cell>
          <cell r="B21">
            <v>0</v>
          </cell>
          <cell r="C21">
            <v>10548</v>
          </cell>
          <cell r="D21">
            <v>4514</v>
          </cell>
          <cell r="E21">
            <v>5288</v>
          </cell>
          <cell r="F21">
            <v>1417</v>
          </cell>
          <cell r="G21">
            <v>163.10720166392235</v>
          </cell>
          <cell r="H21">
            <v>164.1712955990314</v>
          </cell>
          <cell r="I21">
            <v>7405.8845201265594</v>
          </cell>
          <cell r="J21">
            <v>8701.8676052920691</v>
          </cell>
          <cell r="K21">
            <v>8806.8662585427082</v>
          </cell>
          <cell r="L21">
            <v>10119.753898274521</v>
          </cell>
          <cell r="M21">
            <v>19011.282840356336</v>
          </cell>
          <cell r="N21">
            <v>34929.712990363434</v>
          </cell>
          <cell r="O21">
            <v>35925.489608144417</v>
          </cell>
          <cell r="P21">
            <v>45837.041604127298</v>
          </cell>
          <cell r="Q21">
            <v>53929.553499033049</v>
          </cell>
          <cell r="R21">
            <v>68239.847431860311</v>
          </cell>
          <cell r="S21">
            <v>88390.530164510492</v>
          </cell>
          <cell r="T21">
            <v>121500.88836753902</v>
          </cell>
          <cell r="U21">
            <v>155638.97921304245</v>
          </cell>
          <cell r="V21">
            <v>196912.30707118282</v>
          </cell>
          <cell r="W21">
            <v>248579.43121645908</v>
          </cell>
          <cell r="X21">
            <v>264153.25621774892</v>
          </cell>
          <cell r="Y21">
            <v>280010.56756522064</v>
          </cell>
          <cell r="Z21">
            <v>294577.48678818456</v>
          </cell>
          <cell r="AA21">
            <v>305522.31124723231</v>
          </cell>
          <cell r="AB21">
            <v>316908.14842232107</v>
          </cell>
          <cell r="AC21">
            <v>330761.47668488213</v>
          </cell>
          <cell r="AD21">
            <v>342200.42541901831</v>
          </cell>
          <cell r="AE21">
            <v>349834.93420594366</v>
          </cell>
          <cell r="AF21">
            <v>346268.46359323116</v>
          </cell>
          <cell r="AG21">
            <v>342688.58267658291</v>
          </cell>
          <cell r="AH21">
            <v>338759.47920920193</v>
          </cell>
          <cell r="AI21">
            <v>333015.65392437775</v>
          </cell>
          <cell r="AJ21">
            <v>327250.24795649544</v>
          </cell>
        </row>
        <row r="22">
          <cell r="A22" t="str">
            <v>Japan_Medium_cumulative</v>
          </cell>
          <cell r="B22">
            <v>0</v>
          </cell>
          <cell r="C22">
            <v>10548</v>
          </cell>
          <cell r="D22">
            <v>15062</v>
          </cell>
          <cell r="E22">
            <v>20350</v>
          </cell>
          <cell r="F22">
            <v>21767</v>
          </cell>
          <cell r="G22">
            <v>21930.107201663923</v>
          </cell>
          <cell r="H22">
            <v>22094.278497262952</v>
          </cell>
          <cell r="I22">
            <v>29500.16301738951</v>
          </cell>
          <cell r="J22">
            <v>38202.030622681581</v>
          </cell>
          <cell r="K22">
            <v>47008.896881224289</v>
          </cell>
          <cell r="L22">
            <v>57128.650779498814</v>
          </cell>
          <cell r="M22">
            <v>76139.933619855146</v>
          </cell>
          <cell r="N22">
            <v>100521.64661021858</v>
          </cell>
          <cell r="O22">
            <v>131933.13621836301</v>
          </cell>
          <cell r="P22">
            <v>172482.17782249031</v>
          </cell>
          <cell r="Q22">
            <v>224994.73132152337</v>
          </cell>
          <cell r="R22">
            <v>293071.47155171982</v>
          </cell>
          <cell r="S22">
            <v>381297.83042063128</v>
          </cell>
          <cell r="T22">
            <v>495392.83426804375</v>
          </cell>
          <cell r="U22">
            <v>642329.94587579416</v>
          </cell>
          <cell r="V22">
            <v>830435.38668843429</v>
          </cell>
          <cell r="W22">
            <v>1068895.0640066187</v>
          </cell>
          <cell r="X22">
            <v>1333048.3202243675</v>
          </cell>
          <cell r="Y22">
            <v>1613058.8877895882</v>
          </cell>
          <cell r="Z22">
            <v>1907636.3745777728</v>
          </cell>
          <cell r="AA22">
            <v>2213158.6858250052</v>
          </cell>
          <cell r="AB22">
            <v>2530066.8342473265</v>
          </cell>
          <cell r="AC22">
            <v>2860828.3109322088</v>
          </cell>
          <cell r="AD22">
            <v>3203028.7363512269</v>
          </cell>
          <cell r="AE22">
            <v>3552863.6705571706</v>
          </cell>
          <cell r="AF22">
            <v>3899132.1341504017</v>
          </cell>
          <cell r="AG22">
            <v>4241820.7168269847</v>
          </cell>
          <cell r="AH22">
            <v>4580580.196036187</v>
          </cell>
          <cell r="AI22">
            <v>4913595.8499605646</v>
          </cell>
          <cell r="AJ22">
            <v>5240846.0979170604</v>
          </cell>
        </row>
        <row r="23">
          <cell r="A23" t="str">
            <v>Japan_Large_annual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424</v>
          </cell>
          <cell r="G23">
            <v>0</v>
          </cell>
          <cell r="H23">
            <v>100</v>
          </cell>
          <cell r="I23">
            <v>1207.828671628871</v>
          </cell>
          <cell r="J23">
            <v>1222.4025987018845</v>
          </cell>
          <cell r="K23">
            <v>1237.1523779924501</v>
          </cell>
          <cell r="L23">
            <v>1252.0801313722</v>
          </cell>
          <cell r="M23">
            <v>3741.7256137873887</v>
          </cell>
          <cell r="N23">
            <v>4774.360628019539</v>
          </cell>
          <cell r="O23">
            <v>6140.2702798860146</v>
          </cell>
          <cell r="P23">
            <v>7927.8661335092211</v>
          </cell>
          <cell r="Q23">
            <v>10722.009065913167</v>
          </cell>
          <cell r="R23">
            <v>13418.371417744269</v>
          </cell>
          <cell r="S23">
            <v>17625.794033345617</v>
          </cell>
          <cell r="T23">
            <v>24129.058208159586</v>
          </cell>
          <cell r="U23">
            <v>31211.769053231557</v>
          </cell>
          <cell r="V23">
            <v>40455.022790581628</v>
          </cell>
          <cell r="W23">
            <v>52389.547232959267</v>
          </cell>
          <cell r="X23">
            <v>70173.016259311611</v>
          </cell>
          <cell r="Y23">
            <v>84075.54377666548</v>
          </cell>
          <cell r="Z23">
            <v>84075.54377666548</v>
          </cell>
          <cell r="AA23">
            <v>84075.54377666548</v>
          </cell>
          <cell r="AB23">
            <v>84075.54377666548</v>
          </cell>
          <cell r="AC23">
            <v>84075.54377666548</v>
          </cell>
          <cell r="AD23">
            <v>84075.54377666548</v>
          </cell>
          <cell r="AE23">
            <v>97043.012476645497</v>
          </cell>
          <cell r="AF23">
            <v>89864.039076285102</v>
          </cell>
          <cell r="AG23">
            <v>84075.54377666548</v>
          </cell>
          <cell r="AH23">
            <v>84075.54377666548</v>
          </cell>
          <cell r="AI23">
            <v>84075.54377666548</v>
          </cell>
          <cell r="AJ23">
            <v>84075.54377666548</v>
          </cell>
        </row>
        <row r="24">
          <cell r="A24" t="str">
            <v>Japan_Large_cumulative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424</v>
          </cell>
          <cell r="G24">
            <v>424</v>
          </cell>
          <cell r="H24">
            <v>524</v>
          </cell>
          <cell r="I24">
            <v>1731.828671628871</v>
          </cell>
          <cell r="J24">
            <v>2954.2312703307553</v>
          </cell>
          <cell r="K24">
            <v>4191.3836483232053</v>
          </cell>
          <cell r="L24">
            <v>5443.4637796954048</v>
          </cell>
          <cell r="M24">
            <v>9185.1893934827931</v>
          </cell>
          <cell r="N24">
            <v>13959.550021502331</v>
          </cell>
          <cell r="O24">
            <v>20099.820301388347</v>
          </cell>
          <cell r="P24">
            <v>28027.686434897569</v>
          </cell>
          <cell r="Q24">
            <v>38325.695500810732</v>
          </cell>
          <cell r="R24">
            <v>51744.066918555</v>
          </cell>
          <cell r="S24">
            <v>69269.860951900613</v>
          </cell>
          <cell r="T24">
            <v>92191.090488431335</v>
          </cell>
          <cell r="U24">
            <v>122180.45694296101</v>
          </cell>
          <cell r="V24">
            <v>161398.32735555019</v>
          </cell>
          <cell r="W24">
            <v>212535.79445713726</v>
          </cell>
          <cell r="X24">
            <v>278967.08510266151</v>
          </cell>
          <cell r="Y24">
            <v>363042.62887932698</v>
          </cell>
          <cell r="Z24">
            <v>447118.17265599244</v>
          </cell>
          <cell r="AA24">
            <v>531193.71643265791</v>
          </cell>
          <cell r="AB24">
            <v>615269.26020932337</v>
          </cell>
          <cell r="AC24">
            <v>699344.80398598884</v>
          </cell>
          <cell r="AD24">
            <v>783420.3477626543</v>
          </cell>
          <cell r="AE24">
            <v>880463.36023929983</v>
          </cell>
          <cell r="AF24">
            <v>970327.39931558492</v>
          </cell>
          <cell r="AG24">
            <v>1054402.9430922505</v>
          </cell>
          <cell r="AH24">
            <v>1138478.4868689161</v>
          </cell>
          <cell r="AI24">
            <v>1222554.0306455817</v>
          </cell>
          <cell r="AJ24">
            <v>1306629.5744222472</v>
          </cell>
        </row>
        <row r="25">
          <cell r="A25" t="str">
            <v>Japan_SUV_annual</v>
          </cell>
          <cell r="B25">
            <v>0</v>
          </cell>
          <cell r="C25">
            <v>0</v>
          </cell>
          <cell r="D25">
            <v>9608</v>
          </cell>
          <cell r="E25">
            <v>10064</v>
          </cell>
          <cell r="F25">
            <v>10996</v>
          </cell>
          <cell r="G25">
            <v>5197.3747645951034</v>
          </cell>
          <cell r="H25">
            <v>7039.4059326451579</v>
          </cell>
          <cell r="I25">
            <v>7729.4650048665308</v>
          </cell>
          <cell r="J25">
            <v>10235.974533088338</v>
          </cell>
          <cell r="K25">
            <v>12772.728157952473</v>
          </cell>
          <cell r="L25">
            <v>12926.846712239136</v>
          </cell>
          <cell r="M25">
            <v>23544.516016854534</v>
          </cell>
          <cell r="N25">
            <v>30053.739931289732</v>
          </cell>
          <cell r="O25">
            <v>48025.017463710254</v>
          </cell>
          <cell r="P25">
            <v>59115.897391613864</v>
          </cell>
          <cell r="Q25">
            <v>73575.946833105816</v>
          </cell>
          <cell r="R25">
            <v>84739.829299203862</v>
          </cell>
          <cell r="S25">
            <v>107490.80904728404</v>
          </cell>
          <cell r="T25">
            <v>133317.25812860977</v>
          </cell>
          <cell r="U25">
            <v>165035.49088986043</v>
          </cell>
          <cell r="V25">
            <v>200393.42624088007</v>
          </cell>
          <cell r="W25">
            <v>234990.09766043219</v>
          </cell>
          <cell r="X25">
            <v>242511.6405960038</v>
          </cell>
          <cell r="Y25">
            <v>242511.6405960038</v>
          </cell>
          <cell r="Z25">
            <v>245785.25285160687</v>
          </cell>
          <cell r="AA25">
            <v>272132.90822854132</v>
          </cell>
          <cell r="AB25">
            <v>274854.23731082672</v>
          </cell>
          <cell r="AC25">
            <v>277602.77968393499</v>
          </cell>
          <cell r="AD25">
            <v>280378.80748077435</v>
          </cell>
          <cell r="AE25">
            <v>283182.59555558208</v>
          </cell>
          <cell r="AF25">
            <v>286014.42151113792</v>
          </cell>
          <cell r="AG25">
            <v>288874.5657262493</v>
          </cell>
          <cell r="AH25">
            <v>291763.31138351175</v>
          </cell>
          <cell r="AI25">
            <v>292931.67710128729</v>
          </cell>
          <cell r="AJ25">
            <v>292931.67710128729</v>
          </cell>
        </row>
        <row r="26">
          <cell r="A26" t="str">
            <v>Japan_SUV_cumulative</v>
          </cell>
          <cell r="B26">
            <v>0</v>
          </cell>
          <cell r="C26">
            <v>0</v>
          </cell>
          <cell r="D26">
            <v>9608</v>
          </cell>
          <cell r="E26">
            <v>19672</v>
          </cell>
          <cell r="F26">
            <v>30668</v>
          </cell>
          <cell r="G26">
            <v>35865.374764595101</v>
          </cell>
          <cell r="H26">
            <v>42904.780697240261</v>
          </cell>
          <cell r="I26">
            <v>50634.245702106789</v>
          </cell>
          <cell r="J26">
            <v>60870.220235195127</v>
          </cell>
          <cell r="K26">
            <v>73642.948393147599</v>
          </cell>
          <cell r="L26">
            <v>86569.795105386729</v>
          </cell>
          <cell r="M26">
            <v>110114.31112224126</v>
          </cell>
          <cell r="N26">
            <v>140168.051053531</v>
          </cell>
          <cell r="O26">
            <v>178585.06851724125</v>
          </cell>
          <cell r="P26">
            <v>227636.96590885511</v>
          </cell>
          <cell r="Q26">
            <v>290216.91274196096</v>
          </cell>
          <cell r="R26">
            <v>369759.36727656971</v>
          </cell>
          <cell r="S26">
            <v>470210.77039120864</v>
          </cell>
          <cell r="T26">
            <v>595798.56351495197</v>
          </cell>
          <cell r="U26">
            <v>750598.07987172413</v>
          </cell>
          <cell r="V26">
            <v>938218.77795465174</v>
          </cell>
          <cell r="W26">
            <v>1160282.0289028448</v>
          </cell>
          <cell r="X26">
            <v>1402793.6694988485</v>
          </cell>
          <cell r="Y26">
            <v>1645305.3100948522</v>
          </cell>
          <cell r="Z26">
            <v>1891090.562946459</v>
          </cell>
          <cell r="AA26">
            <v>2163223.4711750005</v>
          </cell>
          <cell r="AB26">
            <v>2438077.7084858273</v>
          </cell>
          <cell r="AC26">
            <v>2715680.4881697623</v>
          </cell>
          <cell r="AD26">
            <v>2974546.9529260383</v>
          </cell>
          <cell r="AE26">
            <v>3197509.3168397243</v>
          </cell>
          <cell r="AF26">
            <v>3383455.164128677</v>
          </cell>
          <cell r="AG26">
            <v>3535377.5465802741</v>
          </cell>
          <cell r="AH26">
            <v>3658556.3040002617</v>
          </cell>
          <cell r="AI26">
            <v>3758931.0191337708</v>
          </cell>
          <cell r="AJ26">
            <v>3842042.3298674999</v>
          </cell>
        </row>
        <row r="27">
          <cell r="A27" t="str">
            <v>France_Small_annual</v>
          </cell>
          <cell r="B27">
            <v>1574</v>
          </cell>
          <cell r="C27">
            <v>4855</v>
          </cell>
          <cell r="D27">
            <v>4107</v>
          </cell>
          <cell r="E27">
            <v>10065</v>
          </cell>
          <cell r="F27">
            <v>19726</v>
          </cell>
          <cell r="G27">
            <v>25095</v>
          </cell>
          <cell r="H27">
            <v>30649.87146992765</v>
          </cell>
          <cell r="I27">
            <v>48613.352220293142</v>
          </cell>
          <cell r="J27">
            <v>55448.999298092363</v>
          </cell>
          <cell r="K27">
            <v>59848.169739596859</v>
          </cell>
          <cell r="L27">
            <v>65562.1979722955</v>
          </cell>
          <cell r="M27">
            <v>88027.669736067211</v>
          </cell>
          <cell r="N27">
            <v>116815.94694797757</v>
          </cell>
          <cell r="O27">
            <v>145557.1094531196</v>
          </cell>
          <cell r="P27">
            <v>186706.27269395793</v>
          </cell>
          <cell r="Q27">
            <v>237079.11030180304</v>
          </cell>
          <cell r="R27">
            <v>287325.50483188347</v>
          </cell>
          <cell r="S27">
            <v>339089.49265815027</v>
          </cell>
          <cell r="T27">
            <v>399882.83331050392</v>
          </cell>
          <cell r="U27">
            <v>410279.17388107016</v>
          </cell>
          <cell r="V27">
            <v>418525.78527607973</v>
          </cell>
          <cell r="W27">
            <v>426938.15356012888</v>
          </cell>
          <cell r="X27">
            <v>435519.61044668755</v>
          </cell>
          <cell r="Y27">
            <v>444273.55461666593</v>
          </cell>
          <cell r="Z27">
            <v>453203.45306446089</v>
          </cell>
          <cell r="AA27">
            <v>462312.84247105662</v>
          </cell>
          <cell r="AB27">
            <v>471605.33060472488</v>
          </cell>
          <cell r="AC27">
            <v>481084.59774987993</v>
          </cell>
          <cell r="AD27">
            <v>490754.39816465258</v>
          </cell>
          <cell r="AE27">
            <v>500618.56156776211</v>
          </cell>
          <cell r="AF27">
            <v>510680.9946552742</v>
          </cell>
          <cell r="AG27">
            <v>520945.68264784518</v>
          </cell>
          <cell r="AH27">
            <v>531416.69086906686</v>
          </cell>
          <cell r="AI27">
            <v>542098.16635553516</v>
          </cell>
          <cell r="AJ27">
            <v>552994.33949928137</v>
          </cell>
        </row>
        <row r="28">
          <cell r="A28" t="str">
            <v>France_Small_cumulative</v>
          </cell>
          <cell r="B28">
            <v>1574</v>
          </cell>
          <cell r="C28">
            <v>6429</v>
          </cell>
          <cell r="D28">
            <v>10536</v>
          </cell>
          <cell r="E28">
            <v>20601</v>
          </cell>
          <cell r="F28">
            <v>40327</v>
          </cell>
          <cell r="G28">
            <v>65422</v>
          </cell>
          <cell r="H28">
            <v>96071.871469927646</v>
          </cell>
          <cell r="I28">
            <v>144685.2236902208</v>
          </cell>
          <cell r="J28">
            <v>200134.22298831315</v>
          </cell>
          <cell r="K28">
            <v>259982.39272791002</v>
          </cell>
          <cell r="L28">
            <v>325544.59070020553</v>
          </cell>
          <cell r="M28">
            <v>413572.26043627271</v>
          </cell>
          <cell r="N28">
            <v>525533.20738425024</v>
          </cell>
          <cell r="O28">
            <v>666983.31683736981</v>
          </cell>
          <cell r="P28">
            <v>843624.58953132771</v>
          </cell>
          <cell r="Q28">
            <v>1060977.6998331307</v>
          </cell>
          <cell r="R28">
            <v>1323208.2046650141</v>
          </cell>
          <cell r="S28">
            <v>1631647.8258532367</v>
          </cell>
          <cell r="T28">
            <v>1982917.3069434476</v>
          </cell>
          <cell r="U28">
            <v>2367585.1411033762</v>
          </cell>
          <cell r="V28">
            <v>2773643.2263560905</v>
          </cell>
          <cell r="W28">
            <v>3183340.0240101661</v>
          </cell>
          <cell r="X28">
            <v>3578545.6402115026</v>
          </cell>
          <cell r="Y28">
            <v>3944052.1391317891</v>
          </cell>
          <cell r="Z28">
            <v>4270597.1009939667</v>
          </cell>
          <cell r="AA28">
            <v>4555356.604557367</v>
          </cell>
          <cell r="AB28">
            <v>4799086.0606732098</v>
          </cell>
          <cell r="AC28">
            <v>5008099.1015650891</v>
          </cell>
          <cell r="AD28">
            <v>5189698.8000896107</v>
          </cell>
          <cell r="AE28">
            <v>5350796.3467193311</v>
          </cell>
          <cell r="AF28">
            <v>5497247.4891465968</v>
          </cell>
          <cell r="AG28">
            <v>5633685.9927000441</v>
          </cell>
          <cell r="AH28">
            <v>5763620.9792578369</v>
          </cell>
          <cell r="AI28">
            <v>5889635.5141796665</v>
          </cell>
          <cell r="AJ28">
            <v>6013597.3846038487</v>
          </cell>
        </row>
        <row r="29">
          <cell r="A29" t="str">
            <v>France_Medium_annual</v>
          </cell>
          <cell r="B29">
            <v>0</v>
          </cell>
          <cell r="C29">
            <v>702</v>
          </cell>
          <cell r="D29">
            <v>389</v>
          </cell>
          <cell r="E29">
            <v>66</v>
          </cell>
          <cell r="F29">
            <v>260</v>
          </cell>
          <cell r="G29">
            <v>1321</v>
          </cell>
          <cell r="H29">
            <v>1613.4082570940197</v>
          </cell>
          <cell r="I29">
            <v>2559.0053111379657</v>
          </cell>
          <cell r="J29">
            <v>2918.8335554006781</v>
          </cell>
          <cell r="K29">
            <v>3150.4057472009345</v>
          </cell>
          <cell r="L29">
            <v>3451.1920112134826</v>
          </cell>
          <cell r="M29">
            <v>10590.848926079358</v>
          </cell>
          <cell r="N29">
            <v>14768.695435900845</v>
          </cell>
          <cell r="O29">
            <v>19140.869819433661</v>
          </cell>
          <cell r="P29">
            <v>25075.96911711029</v>
          </cell>
          <cell r="Q29">
            <v>33633.593935092256</v>
          </cell>
          <cell r="R29">
            <v>45882.154942740664</v>
          </cell>
          <cell r="S29">
            <v>61125.814278778213</v>
          </cell>
          <cell r="T29">
            <v>81955.558839015241</v>
          </cell>
          <cell r="U29">
            <v>108586.89151102555</v>
          </cell>
          <cell r="V29">
            <v>143258.03711155892</v>
          </cell>
          <cell r="W29">
            <v>187978.62393432375</v>
          </cell>
          <cell r="X29">
            <v>251539.65918749769</v>
          </cell>
          <cell r="Y29">
            <v>325744.82569870993</v>
          </cell>
          <cell r="Z29">
            <v>414482.37883945054</v>
          </cell>
          <cell r="AA29">
            <v>517760.40886671946</v>
          </cell>
          <cell r="AB29">
            <v>580367.57282435079</v>
          </cell>
          <cell r="AC29">
            <v>597487.18889303075</v>
          </cell>
          <cell r="AD29">
            <v>611396.41419895319</v>
          </cell>
          <cell r="AE29">
            <v>624755.47472891468</v>
          </cell>
          <cell r="AF29">
            <v>613058.52586540335</v>
          </cell>
          <cell r="AG29">
            <v>607562.32450419955</v>
          </cell>
          <cell r="AH29">
            <v>604434.88300957507</v>
          </cell>
          <cell r="AI29">
            <v>601618.33807944716</v>
          </cell>
          <cell r="AJ29">
            <v>597799.44231812085</v>
          </cell>
        </row>
        <row r="30">
          <cell r="A30" t="str">
            <v>France_Medium_cumulative</v>
          </cell>
          <cell r="B30">
            <v>0</v>
          </cell>
          <cell r="C30">
            <v>702</v>
          </cell>
          <cell r="D30">
            <v>1091</v>
          </cell>
          <cell r="E30">
            <v>1157</v>
          </cell>
          <cell r="F30">
            <v>1417</v>
          </cell>
          <cell r="G30">
            <v>2738</v>
          </cell>
          <cell r="H30">
            <v>4351.40825709402</v>
          </cell>
          <cell r="I30">
            <v>6910.4135682319857</v>
          </cell>
          <cell r="J30">
            <v>9829.2471236326637</v>
          </cell>
          <cell r="K30">
            <v>12979.652870833597</v>
          </cell>
          <cell r="L30">
            <v>16430.84488204708</v>
          </cell>
          <cell r="M30">
            <v>27021.693808126438</v>
          </cell>
          <cell r="N30">
            <v>41088.389244027283</v>
          </cell>
          <cell r="O30">
            <v>59840.259063460944</v>
          </cell>
          <cell r="P30">
            <v>84850.228180571226</v>
          </cell>
          <cell r="Q30">
            <v>118223.82211566348</v>
          </cell>
          <cell r="R30">
            <v>162784.97705840415</v>
          </cell>
          <cell r="S30">
            <v>222297.38308008836</v>
          </cell>
          <cell r="T30">
            <v>301693.93660796562</v>
          </cell>
          <cell r="U30">
            <v>407361.9945635905</v>
          </cell>
          <cell r="V30">
            <v>547469.62592794851</v>
          </cell>
          <cell r="W30">
            <v>731997.05785105878</v>
          </cell>
          <cell r="X30">
            <v>972945.86811247712</v>
          </cell>
          <cell r="Y30">
            <v>1283921.9983752863</v>
          </cell>
          <cell r="Z30">
            <v>1679263.5073953031</v>
          </cell>
          <cell r="AA30">
            <v>2171947.9471449126</v>
          </cell>
          <cell r="AB30">
            <v>2752315.5199692631</v>
          </cell>
          <cell r="AC30">
            <v>3349802.708862294</v>
          </cell>
          <cell r="AD30">
            <v>3961199.1230612472</v>
          </cell>
          <cell r="AE30">
            <v>4585954.5977901621</v>
          </cell>
          <cell r="AF30">
            <v>5199013.1236555651</v>
          </cell>
          <cell r="AG30">
            <v>5806575.4481597645</v>
          </cell>
          <cell r="AH30">
            <v>6411010.3311693398</v>
          </cell>
          <cell r="AI30">
            <v>7012628.6692487868</v>
          </cell>
          <cell r="AJ30">
            <v>7610428.1115669077</v>
          </cell>
        </row>
        <row r="31">
          <cell r="A31" t="str">
            <v>France_Large_annual</v>
          </cell>
          <cell r="B31">
            <v>0</v>
          </cell>
          <cell r="C31">
            <v>0</v>
          </cell>
          <cell r="D31">
            <v>64</v>
          </cell>
          <cell r="E31">
            <v>1962</v>
          </cell>
          <cell r="F31">
            <v>5093</v>
          </cell>
          <cell r="G31">
            <v>5122</v>
          </cell>
          <cell r="H31">
            <v>6255.7737265977057</v>
          </cell>
          <cell r="I31">
            <v>9922.1992457597717</v>
          </cell>
          <cell r="J31">
            <v>11317.384913521779</v>
          </cell>
          <cell r="K31">
            <v>12215.274971357445</v>
          </cell>
          <cell r="L31">
            <v>13381.533294046523</v>
          </cell>
          <cell r="M31">
            <v>6561.6144530295451</v>
          </cell>
          <cell r="N31">
            <v>7081.3321022115406</v>
          </cell>
          <cell r="O31">
            <v>7213.1240325652816</v>
          </cell>
          <cell r="P31">
            <v>7718.2484219170228</v>
          </cell>
          <cell r="Q31">
            <v>8243.885121212923</v>
          </cell>
          <cell r="R31">
            <v>8326.3239724250525</v>
          </cell>
          <cell r="S31">
            <v>8409.587212149303</v>
          </cell>
          <cell r="T31">
            <v>11310.703791457701</v>
          </cell>
          <cell r="U31">
            <v>12651.850474551267</v>
          </cell>
          <cell r="V31">
            <v>15497.440757339344</v>
          </cell>
          <cell r="W31">
            <v>19417.746238463002</v>
          </cell>
          <cell r="X31">
            <v>24854.088183201646</v>
          </cell>
          <cell r="Y31">
            <v>26651.948073132837</v>
          </cell>
          <cell r="Z31">
            <v>27049.626791294006</v>
          </cell>
          <cell r="AA31">
            <v>27581.265804322622</v>
          </cell>
          <cell r="AB31">
            <v>28496.148528089521</v>
          </cell>
          <cell r="AC31">
            <v>31622.292773564652</v>
          </cell>
          <cell r="AD31">
            <v>35798.188775639006</v>
          </cell>
          <cell r="AE31">
            <v>37443.824185031706</v>
          </cell>
          <cell r="AF31">
            <v>37818.262426882015</v>
          </cell>
          <cell r="AG31">
            <v>37007.916807522233</v>
          </cell>
          <cell r="AH31">
            <v>35547.017072095325</v>
          </cell>
          <cell r="AI31">
            <v>34046.252365381748</v>
          </cell>
          <cell r="AJ31">
            <v>32504.873680335575</v>
          </cell>
        </row>
        <row r="32">
          <cell r="A32" t="str">
            <v>France_Large_cumulative</v>
          </cell>
          <cell r="B32">
            <v>0</v>
          </cell>
          <cell r="C32">
            <v>0</v>
          </cell>
          <cell r="D32">
            <v>64</v>
          </cell>
          <cell r="E32">
            <v>2026</v>
          </cell>
          <cell r="F32">
            <v>7119</v>
          </cell>
          <cell r="G32">
            <v>12241</v>
          </cell>
          <cell r="H32">
            <v>18496.773726597705</v>
          </cell>
          <cell r="I32">
            <v>28418.972972357478</v>
          </cell>
          <cell r="J32">
            <v>39736.357885879261</v>
          </cell>
          <cell r="K32">
            <v>51951.632857236706</v>
          </cell>
          <cell r="L32">
            <v>65333.166151283229</v>
          </cell>
          <cell r="M32">
            <v>71894.780604312778</v>
          </cell>
          <cell r="N32">
            <v>78976.11270652432</v>
          </cell>
          <cell r="O32">
            <v>86189.236739089596</v>
          </cell>
          <cell r="P32">
            <v>93907.485161006625</v>
          </cell>
          <cell r="Q32">
            <v>102151.37028221955</v>
          </cell>
          <cell r="R32">
            <v>110477.69425464459</v>
          </cell>
          <cell r="S32">
            <v>118887.28146679389</v>
          </cell>
          <cell r="T32">
            <v>130197.9852582516</v>
          </cell>
          <cell r="U32">
            <v>142849.83573280287</v>
          </cell>
          <cell r="V32">
            <v>158347.27649014222</v>
          </cell>
          <cell r="W32">
            <v>177765.02272860522</v>
          </cell>
          <cell r="X32">
            <v>202619.11091180687</v>
          </cell>
          <cell r="Y32">
            <v>229271.05898493971</v>
          </cell>
          <cell r="Z32">
            <v>256320.6857762337</v>
          </cell>
          <cell r="AA32">
            <v>283901.95158055634</v>
          </cell>
          <cell r="AB32">
            <v>312398.10010864586</v>
          </cell>
          <cell r="AC32">
            <v>344020.39288221049</v>
          </cell>
          <cell r="AD32">
            <v>379818.58165784949</v>
          </cell>
          <cell r="AE32">
            <v>417262.40584288118</v>
          </cell>
          <cell r="AF32">
            <v>455080.66826976318</v>
          </cell>
          <cell r="AG32">
            <v>492088.58507728542</v>
          </cell>
          <cell r="AH32">
            <v>527635.60214938072</v>
          </cell>
          <cell r="AI32">
            <v>558378.35906718881</v>
          </cell>
          <cell r="AJ32">
            <v>584464.22187040246</v>
          </cell>
        </row>
        <row r="33">
          <cell r="A33" t="str">
            <v>France_SUV_annual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211</v>
          </cell>
          <cell r="G33">
            <v>1884</v>
          </cell>
          <cell r="H33">
            <v>2301.0303984596012</v>
          </cell>
          <cell r="I33">
            <v>3649.6336155820791</v>
          </cell>
          <cell r="J33">
            <v>4162.8178791634191</v>
          </cell>
          <cell r="K33">
            <v>4493.0843510420591</v>
          </cell>
          <cell r="L33">
            <v>4922.0633982787285</v>
          </cell>
          <cell r="M33">
            <v>9759.9120978316914</v>
          </cell>
          <cell r="N33">
            <v>12920.92025995007</v>
          </cell>
          <cell r="O33">
            <v>17167.270150805536</v>
          </cell>
          <cell r="P33">
            <v>22825.555704240494</v>
          </cell>
          <cell r="Q33">
            <v>30586.195472332427</v>
          </cell>
          <cell r="R33">
            <v>42327.382239781989</v>
          </cell>
          <cell r="S33">
            <v>56132.494122923796</v>
          </cell>
          <cell r="T33">
            <v>75156.256603564005</v>
          </cell>
          <cell r="U33">
            <v>98779.481575701255</v>
          </cell>
          <cell r="V33">
            <v>128966.69722213066</v>
          </cell>
          <cell r="W33">
            <v>167128.07631319194</v>
          </cell>
          <cell r="X33">
            <v>218585.31400867851</v>
          </cell>
          <cell r="Y33">
            <v>277429.07076532912</v>
          </cell>
          <cell r="Z33">
            <v>345432.22932335723</v>
          </cell>
          <cell r="AA33">
            <v>419866.61460145126</v>
          </cell>
          <cell r="AB33">
            <v>491791.61123463209</v>
          </cell>
          <cell r="AC33">
            <v>524688.75844263961</v>
          </cell>
          <cell r="AD33">
            <v>535235.00248733663</v>
          </cell>
          <cell r="AE33">
            <v>545993.22603733209</v>
          </cell>
          <cell r="AF33">
            <v>556967.68988068262</v>
          </cell>
          <cell r="AG33">
            <v>568162.7404472843</v>
          </cell>
          <cell r="AH33">
            <v>579582.8115302748</v>
          </cell>
          <cell r="AI33">
            <v>591232.42604203336</v>
          </cell>
          <cell r="AJ33">
            <v>600180.30761549692</v>
          </cell>
        </row>
        <row r="34">
          <cell r="A34" t="str">
            <v>France_SUV_cumulative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211</v>
          </cell>
          <cell r="G34">
            <v>2095</v>
          </cell>
          <cell r="H34">
            <v>4396.0303984596012</v>
          </cell>
          <cell r="I34">
            <v>8045.6640140416803</v>
          </cell>
          <cell r="J34">
            <v>12208.481893205098</v>
          </cell>
          <cell r="K34">
            <v>16701.566244247158</v>
          </cell>
          <cell r="L34">
            <v>21623.629642525888</v>
          </cell>
          <cell r="M34">
            <v>31383.541740357578</v>
          </cell>
          <cell r="N34">
            <v>44304.462000307649</v>
          </cell>
          <cell r="O34">
            <v>61471.732151113189</v>
          </cell>
          <cell r="P34">
            <v>84297.287855353687</v>
          </cell>
          <cell r="Q34">
            <v>114672.48332768612</v>
          </cell>
          <cell r="R34">
            <v>155115.86556746811</v>
          </cell>
          <cell r="S34">
            <v>208947.32929193228</v>
          </cell>
          <cell r="T34">
            <v>280453.95227991423</v>
          </cell>
          <cell r="U34">
            <v>375070.61597645207</v>
          </cell>
          <cell r="V34">
            <v>499544.22884754068</v>
          </cell>
          <cell r="W34">
            <v>661750.24176245392</v>
          </cell>
          <cell r="X34">
            <v>870575.64367330074</v>
          </cell>
          <cell r="Y34">
            <v>1135083.7941786798</v>
          </cell>
          <cell r="Z34">
            <v>1463348.7533512313</v>
          </cell>
          <cell r="AA34">
            <v>1860389.8122484421</v>
          </cell>
          <cell r="AB34">
            <v>2321595.228010742</v>
          </cell>
          <cell r="AC34">
            <v>2836346.1547101485</v>
          </cell>
          <cell r="AD34">
            <v>3371581.1571974852</v>
          </cell>
          <cell r="AE34">
            <v>3917574.3832348175</v>
          </cell>
          <cell r="AF34">
            <v>4457517.4136374835</v>
          </cell>
          <cell r="AG34">
            <v>4955708.7212901544</v>
          </cell>
          <cell r="AH34">
            <v>5397250.7584790448</v>
          </cell>
          <cell r="AI34">
            <v>5777500.6813525455</v>
          </cell>
          <cell r="AJ34">
            <v>6100251.9182027131</v>
          </cell>
        </row>
        <row r="35">
          <cell r="A35" t="str">
            <v>Germany_Small_annual</v>
          </cell>
          <cell r="B35">
            <v>1091</v>
          </cell>
          <cell r="C35">
            <v>1199</v>
          </cell>
          <cell r="D35">
            <v>2839</v>
          </cell>
          <cell r="E35">
            <v>8792</v>
          </cell>
          <cell r="F35">
            <v>15129</v>
          </cell>
          <cell r="G35">
            <v>14311</v>
          </cell>
          <cell r="H35">
            <v>17189.91217356173</v>
          </cell>
          <cell r="I35">
            <v>25372.62904817102</v>
          </cell>
          <cell r="J35">
            <v>29318.464243178998</v>
          </cell>
          <cell r="K35">
            <v>31575.806295918308</v>
          </cell>
          <cell r="L35">
            <v>34175.140941721664</v>
          </cell>
          <cell r="M35">
            <v>50499.005048428633</v>
          </cell>
          <cell r="N35">
            <v>65976.766030159924</v>
          </cell>
          <cell r="O35">
            <v>85835.67972520781</v>
          </cell>
          <cell r="P35">
            <v>114650.30607289457</v>
          </cell>
          <cell r="Q35">
            <v>149493.04472267823</v>
          </cell>
          <cell r="R35">
            <v>183686.13920612217</v>
          </cell>
          <cell r="S35">
            <v>228586.89010148842</v>
          </cell>
          <cell r="T35">
            <v>285607.21258747519</v>
          </cell>
          <cell r="U35">
            <v>343942.40617643239</v>
          </cell>
          <cell r="V35">
            <v>404345.59516758285</v>
          </cell>
          <cell r="W35">
            <v>464112.74570811127</v>
          </cell>
          <cell r="X35">
            <v>531289.43259774882</v>
          </cell>
          <cell r="Y35">
            <v>583178.82299117802</v>
          </cell>
          <cell r="Z35">
            <v>594900.71733330062</v>
          </cell>
          <cell r="AA35">
            <v>606858.22175169992</v>
          </cell>
          <cell r="AB35">
            <v>619056.07200890919</v>
          </cell>
          <cell r="AC35">
            <v>631499.09905628825</v>
          </cell>
          <cell r="AD35">
            <v>644192.23094731953</v>
          </cell>
          <cell r="AE35">
            <v>657140.49478936079</v>
          </cell>
          <cell r="AF35">
            <v>668886.66275340959</v>
          </cell>
          <cell r="AG35">
            <v>683823.03401119297</v>
          </cell>
          <cell r="AH35">
            <v>697567.87699481798</v>
          </cell>
          <cell r="AI35">
            <v>711588.99132241379</v>
          </cell>
          <cell r="AJ35">
            <v>725891.93004799425</v>
          </cell>
        </row>
        <row r="36">
          <cell r="A36" t="str">
            <v>Germany_Small_cumulative</v>
          </cell>
          <cell r="B36">
            <v>1091</v>
          </cell>
          <cell r="C36">
            <v>2290</v>
          </cell>
          <cell r="D36">
            <v>5129</v>
          </cell>
          <cell r="E36">
            <v>13921</v>
          </cell>
          <cell r="F36">
            <v>29050</v>
          </cell>
          <cell r="G36">
            <v>43361</v>
          </cell>
          <cell r="H36">
            <v>60550.91217356173</v>
          </cell>
          <cell r="I36">
            <v>85923.541221732754</v>
          </cell>
          <cell r="J36">
            <v>115242.00546491175</v>
          </cell>
          <cell r="K36">
            <v>146817.81176083005</v>
          </cell>
          <cell r="L36">
            <v>180992.95270255173</v>
          </cell>
          <cell r="M36">
            <v>231491.95775098036</v>
          </cell>
          <cell r="N36">
            <v>296269.72378114029</v>
          </cell>
          <cell r="O36">
            <v>379266.40350634808</v>
          </cell>
          <cell r="P36">
            <v>485124.70957924263</v>
          </cell>
          <cell r="Q36">
            <v>619488.75430192088</v>
          </cell>
          <cell r="R36">
            <v>788863.89350804302</v>
          </cell>
          <cell r="S36">
            <v>1000260.8714359697</v>
          </cell>
          <cell r="T36">
            <v>1260495.4549752739</v>
          </cell>
          <cell r="U36">
            <v>1575119.3969085275</v>
          </cell>
          <cell r="V36">
            <v>1947889.185780192</v>
          </cell>
          <cell r="W36">
            <v>2377826.7905465816</v>
          </cell>
          <cell r="X36">
            <v>2858617.2180959019</v>
          </cell>
          <cell r="Y36">
            <v>3377608.6025503157</v>
          </cell>
          <cell r="Z36">
            <v>3916808.0265771057</v>
          </cell>
          <cell r="AA36">
            <v>4455197.4032639051</v>
          </cell>
          <cell r="AB36">
            <v>4968732.0230258517</v>
          </cell>
          <cell r="AC36">
            <v>5441738.6267339597</v>
          </cell>
          <cell r="AD36">
            <v>5865445.0566377928</v>
          </cell>
          <cell r="AE36">
            <v>6238010.200614877</v>
          </cell>
          <cell r="AF36">
            <v>6562954.4571918547</v>
          </cell>
          <cell r="AG36">
            <v>6846954.9987394363</v>
          </cell>
          <cell r="AH36">
            <v>7097851.4754462903</v>
          </cell>
          <cell r="AI36">
            <v>7323271.8189532366</v>
          </cell>
          <cell r="AJ36">
            <v>7529900.9458703035</v>
          </cell>
        </row>
        <row r="37">
          <cell r="A37" t="str">
            <v>Germany_Medium_annual</v>
          </cell>
          <cell r="B37">
            <v>0</v>
          </cell>
          <cell r="C37">
            <v>0</v>
          </cell>
          <cell r="D37">
            <v>0</v>
          </cell>
          <cell r="E37">
            <v>131</v>
          </cell>
          <cell r="F37">
            <v>506</v>
          </cell>
          <cell r="G37">
            <v>2086</v>
          </cell>
          <cell r="H37">
            <v>2505.6359998637254</v>
          </cell>
          <cell r="I37">
            <v>3698.3651872325318</v>
          </cell>
          <cell r="J37">
            <v>4273.5180218902524</v>
          </cell>
          <cell r="K37">
            <v>4602.5527170208652</v>
          </cell>
          <cell r="L37">
            <v>4981.4369369318292</v>
          </cell>
          <cell r="M37">
            <v>13494.686076310236</v>
          </cell>
          <cell r="N37">
            <v>17775.367483045535</v>
          </cell>
          <cell r="O37">
            <v>23481.979456913752</v>
          </cell>
          <cell r="P37">
            <v>31144.253755514717</v>
          </cell>
          <cell r="Q37">
            <v>41491.762369882577</v>
          </cell>
          <cell r="R37">
            <v>56288.034447891499</v>
          </cell>
          <cell r="S37">
            <v>74206.559532535888</v>
          </cell>
          <cell r="T37">
            <v>98468.179115952109</v>
          </cell>
          <cell r="U37">
            <v>129281.31367542407</v>
          </cell>
          <cell r="V37">
            <v>168985.88831046305</v>
          </cell>
          <cell r="W37">
            <v>219891.86665022635</v>
          </cell>
          <cell r="X37">
            <v>292412.44658587262</v>
          </cell>
          <cell r="Y37">
            <v>376191.39040390344</v>
          </cell>
          <cell r="Z37">
            <v>478129.04441879666</v>
          </cell>
          <cell r="AA37">
            <v>598078.16294002824</v>
          </cell>
          <cell r="AB37">
            <v>727410.9011486884</v>
          </cell>
          <cell r="AC37">
            <v>861836.62324089545</v>
          </cell>
          <cell r="AD37">
            <v>937989.53282391932</v>
          </cell>
          <cell r="AE37">
            <v>933224.29168962198</v>
          </cell>
          <cell r="AF37">
            <v>940868.49767979328</v>
          </cell>
          <cell r="AG37">
            <v>959651.21252066153</v>
          </cell>
          <cell r="AH37">
            <v>984456.88341424125</v>
          </cell>
          <cell r="AI37">
            <v>1005661.2322511221</v>
          </cell>
          <cell r="AJ37">
            <v>999046.13586355443</v>
          </cell>
        </row>
        <row r="38">
          <cell r="A38" t="str">
            <v>Germany_Medium_cumulative</v>
          </cell>
          <cell r="B38">
            <v>0</v>
          </cell>
          <cell r="C38">
            <v>0</v>
          </cell>
          <cell r="D38">
            <v>0</v>
          </cell>
          <cell r="E38">
            <v>131</v>
          </cell>
          <cell r="F38">
            <v>637</v>
          </cell>
          <cell r="G38">
            <v>2723</v>
          </cell>
          <cell r="H38">
            <v>5228.6359998637254</v>
          </cell>
          <cell r="I38">
            <v>8927.0011870962571</v>
          </cell>
          <cell r="J38">
            <v>13200.519208986509</v>
          </cell>
          <cell r="K38">
            <v>17803.071926007375</v>
          </cell>
          <cell r="L38">
            <v>22784.508862939205</v>
          </cell>
          <cell r="M38">
            <v>36279.194939249443</v>
          </cell>
          <cell r="N38">
            <v>54054.562422294977</v>
          </cell>
          <cell r="O38">
            <v>77536.541879208729</v>
          </cell>
          <cell r="P38">
            <v>108549.79563472344</v>
          </cell>
          <cell r="Q38">
            <v>149535.55800460602</v>
          </cell>
          <cell r="R38">
            <v>203737.59245249751</v>
          </cell>
          <cell r="S38">
            <v>275438.51598516968</v>
          </cell>
          <cell r="T38">
            <v>370208.32991388929</v>
          </cell>
          <cell r="U38">
            <v>495216.12556742312</v>
          </cell>
          <cell r="V38">
            <v>659599.46116086526</v>
          </cell>
          <cell r="W38">
            <v>874509.89087415987</v>
          </cell>
          <cell r="X38">
            <v>1153427.6513837222</v>
          </cell>
          <cell r="Y38">
            <v>1511843.6743045803</v>
          </cell>
          <cell r="Z38">
            <v>1966490.7392664631</v>
          </cell>
          <cell r="AA38">
            <v>2533424.6484509762</v>
          </cell>
          <cell r="AB38">
            <v>3219343.787229782</v>
          </cell>
          <cell r="AC38">
            <v>4024892.3760227859</v>
          </cell>
          <cell r="AD38">
            <v>4937178.7108684387</v>
          </cell>
          <cell r="AE38">
            <v>5870403.0025580609</v>
          </cell>
          <cell r="AF38">
            <v>6811271.5002378542</v>
          </cell>
          <cell r="AG38">
            <v>7770922.712758516</v>
          </cell>
          <cell r="AH38">
            <v>8741867.391695546</v>
          </cell>
          <cell r="AI38">
            <v>9627423.7369499132</v>
          </cell>
          <cell r="AJ38">
            <v>10408888.336118288</v>
          </cell>
        </row>
        <row r="39">
          <cell r="A39" t="str">
            <v>Germany_Large_annual</v>
          </cell>
          <cell r="B39">
            <v>0</v>
          </cell>
          <cell r="C39">
            <v>0</v>
          </cell>
          <cell r="D39">
            <v>126</v>
          </cell>
          <cell r="E39">
            <v>2942</v>
          </cell>
          <cell r="F39">
            <v>6219</v>
          </cell>
          <cell r="G39">
            <v>6921</v>
          </cell>
          <cell r="H39">
            <v>8313.2822411586021</v>
          </cell>
          <cell r="I39">
            <v>12270.558706057695</v>
          </cell>
          <cell r="J39">
            <v>14178.819860739422</v>
          </cell>
          <cell r="K39">
            <v>15270.502087488689</v>
          </cell>
          <cell r="L39">
            <v>16527.576721239304</v>
          </cell>
          <cell r="M39">
            <v>10913.161936680997</v>
          </cell>
          <cell r="N39">
            <v>11777.547204586457</v>
          </cell>
          <cell r="O39">
            <v>11996.741228891575</v>
          </cell>
          <cell r="P39">
            <v>12836.855243304215</v>
          </cell>
          <cell r="Q39">
            <v>13711.084971420918</v>
          </cell>
          <cell r="R39">
            <v>13848.195821135128</v>
          </cell>
          <cell r="S39">
            <v>13986.677779346477</v>
          </cell>
          <cell r="T39">
            <v>18811.763930600722</v>
          </cell>
          <cell r="U39">
            <v>21042.335543458139</v>
          </cell>
          <cell r="V39">
            <v>25775.071333378579</v>
          </cell>
          <cell r="W39">
            <v>32295.254569229535</v>
          </cell>
          <cell r="X39">
            <v>41336.883029845965</v>
          </cell>
          <cell r="Y39">
            <v>44327.052028456317</v>
          </cell>
          <cell r="Z39">
            <v>44988.464289285017</v>
          </cell>
          <cell r="AA39">
            <v>45872.676960201672</v>
          </cell>
          <cell r="AB39">
            <v>47394.293841079234</v>
          </cell>
          <cell r="AC39">
            <v>52593.642055228236</v>
          </cell>
          <cell r="AD39">
            <v>59538.918957368551</v>
          </cell>
          <cell r="AE39">
            <v>62275.91087300099</v>
          </cell>
          <cell r="AF39">
            <v>62898.669981731</v>
          </cell>
          <cell r="AG39">
            <v>61550.917377237405</v>
          </cell>
          <cell r="AH39">
            <v>59121.17459059634</v>
          </cell>
          <cell r="AI39">
            <v>56625.129083738044</v>
          </cell>
          <cell r="AJ39">
            <v>54061.535121296263</v>
          </cell>
        </row>
        <row r="40">
          <cell r="A40" t="str">
            <v>Germany_Large_cumulative</v>
          </cell>
          <cell r="B40">
            <v>0</v>
          </cell>
          <cell r="C40">
            <v>0</v>
          </cell>
          <cell r="D40">
            <v>126</v>
          </cell>
          <cell r="E40">
            <v>3068</v>
          </cell>
          <cell r="F40">
            <v>9287</v>
          </cell>
          <cell r="G40">
            <v>16208</v>
          </cell>
          <cell r="H40">
            <v>24521.282241158602</v>
          </cell>
          <cell r="I40">
            <v>36791.840947216297</v>
          </cell>
          <cell r="J40">
            <v>50970.660807955719</v>
          </cell>
          <cell r="K40">
            <v>66241.162895444402</v>
          </cell>
          <cell r="L40">
            <v>82768.739616683713</v>
          </cell>
          <cell r="M40">
            <v>93681.901553364703</v>
          </cell>
          <cell r="N40">
            <v>105459.44875795116</v>
          </cell>
          <cell r="O40">
            <v>117456.18998684274</v>
          </cell>
          <cell r="P40">
            <v>130293.04523014696</v>
          </cell>
          <cell r="Q40">
            <v>144004.1302015679</v>
          </cell>
          <cell r="R40">
            <v>157852.32602270303</v>
          </cell>
          <cell r="S40">
            <v>171839.0038020495</v>
          </cell>
          <cell r="T40">
            <v>190650.76773265022</v>
          </cell>
          <cell r="U40">
            <v>211693.10327610836</v>
          </cell>
          <cell r="V40">
            <v>237468.17460948694</v>
          </cell>
          <cell r="W40">
            <v>269763.4291787165</v>
          </cell>
          <cell r="X40">
            <v>311100.31220856245</v>
          </cell>
          <cell r="Y40">
            <v>355427.36423701874</v>
          </cell>
          <cell r="Z40">
            <v>400415.82852630375</v>
          </cell>
          <cell r="AA40">
            <v>446288.50548650546</v>
          </cell>
          <cell r="AB40">
            <v>493682.79932758468</v>
          </cell>
          <cell r="AC40">
            <v>546276.44138281292</v>
          </cell>
          <cell r="AD40">
            <v>594243.68597911473</v>
          </cell>
          <cell r="AE40">
            <v>636035.99661935575</v>
          </cell>
          <cell r="AF40">
            <v>671948.80362243298</v>
          </cell>
          <cell r="AG40">
            <v>702783.15595517925</v>
          </cell>
          <cell r="AH40">
            <v>729540.56129639549</v>
          </cell>
          <cell r="AI40">
            <v>753206.60390970588</v>
          </cell>
          <cell r="AJ40">
            <v>774637.0176147162</v>
          </cell>
        </row>
        <row r="41">
          <cell r="A41" t="str">
            <v>Germany_SUV_annual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151</v>
          </cell>
          <cell r="G41">
            <v>2066</v>
          </cell>
          <cell r="H41">
            <v>2481.6126441603337</v>
          </cell>
          <cell r="I41">
            <v>3662.9062688506278</v>
          </cell>
          <cell r="J41">
            <v>4232.5446947388591</v>
          </cell>
          <cell r="K41">
            <v>4558.4246948058999</v>
          </cell>
          <cell r="L41">
            <v>4933.6762759832973</v>
          </cell>
          <cell r="M41">
            <v>10491.494225247465</v>
          </cell>
          <cell r="N41">
            <v>13790.686055712529</v>
          </cell>
          <cell r="O41">
            <v>18184.893251902085</v>
          </cell>
          <cell r="P41">
            <v>23982.538068042926</v>
          </cell>
          <cell r="Q41">
            <v>31811.619285194174</v>
          </cell>
          <cell r="R41">
            <v>43898.963757844474</v>
          </cell>
          <cell r="S41">
            <v>57768.43527099707</v>
          </cell>
          <cell r="T41">
            <v>76648.936153247501</v>
          </cell>
          <cell r="U41">
            <v>100339.49728402204</v>
          </cell>
          <cell r="V41">
            <v>130613.62105186022</v>
          </cell>
          <cell r="W41">
            <v>169114.77681101963</v>
          </cell>
          <cell r="X41">
            <v>222444.3331054287</v>
          </cell>
          <cell r="Y41">
            <v>284155.40699869004</v>
          </cell>
          <cell r="Z41">
            <v>357863.05554113712</v>
          </cell>
          <cell r="AA41">
            <v>442580.77874165232</v>
          </cell>
          <cell r="AB41">
            <v>530950.77447243175</v>
          </cell>
          <cell r="AC41">
            <v>620616.29485262092</v>
          </cell>
          <cell r="AD41">
            <v>699975.07901781541</v>
          </cell>
          <cell r="AE41">
            <v>716701.86895626434</v>
          </cell>
          <cell r="AF41">
            <v>731107.57652228535</v>
          </cell>
          <cell r="AG41">
            <v>745802.83881038323</v>
          </cell>
          <cell r="AH41">
            <v>760793.47587047191</v>
          </cell>
          <cell r="AI41">
            <v>776085.42473546835</v>
          </cell>
          <cell r="AJ41">
            <v>785494.93836643524</v>
          </cell>
        </row>
        <row r="42">
          <cell r="A42" t="str">
            <v>Germany_SUV_cumulative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151</v>
          </cell>
          <cell r="G42">
            <v>2217</v>
          </cell>
          <cell r="H42">
            <v>4698.6126441603337</v>
          </cell>
          <cell r="I42">
            <v>8361.5189130109611</v>
          </cell>
          <cell r="J42">
            <v>12594.06360774982</v>
          </cell>
          <cell r="K42">
            <v>17152.488302555721</v>
          </cell>
          <cell r="L42">
            <v>22086.164578539017</v>
          </cell>
          <cell r="M42">
            <v>32577.658803786482</v>
          </cell>
          <cell r="N42">
            <v>46368.344859499011</v>
          </cell>
          <cell r="O42">
            <v>64553.238111401093</v>
          </cell>
          <cell r="P42">
            <v>88535.776179444016</v>
          </cell>
          <cell r="Q42">
            <v>120196.39546463819</v>
          </cell>
          <cell r="R42">
            <v>162029.35922248266</v>
          </cell>
          <cell r="S42">
            <v>217316.18184931937</v>
          </cell>
          <cell r="T42">
            <v>290302.21173371625</v>
          </cell>
          <cell r="U42">
            <v>386409.16432299942</v>
          </cell>
          <cell r="V42">
            <v>512464.36068005371</v>
          </cell>
          <cell r="W42">
            <v>676645.46121509001</v>
          </cell>
          <cell r="X42">
            <v>888598.30009527132</v>
          </cell>
          <cell r="Y42">
            <v>1158963.0210382487</v>
          </cell>
          <cell r="Z42">
            <v>1498641.1833274839</v>
          </cell>
          <cell r="AA42">
            <v>1917239.4240010935</v>
          </cell>
          <cell r="AB42">
            <v>2416378.579188331</v>
          </cell>
          <cell r="AC42">
            <v>2993095.9102831073</v>
          </cell>
          <cell r="AD42">
            <v>3635302.5540299253</v>
          </cell>
          <cell r="AE42">
            <v>4321204.5700150682</v>
          </cell>
          <cell r="AF42">
            <v>5021470.9462737283</v>
          </cell>
          <cell r="AG42">
            <v>5704257.9084811285</v>
          </cell>
          <cell r="AH42">
            <v>6341619.2637718972</v>
          </cell>
          <cell r="AI42">
            <v>6914761.9596040975</v>
          </cell>
          <cell r="AJ42">
            <v>7416101.4909718428</v>
          </cell>
        </row>
        <row r="43">
          <cell r="A43" t="str">
            <v>UK_Small_annual</v>
          </cell>
          <cell r="B43">
            <v>805</v>
          </cell>
          <cell r="C43">
            <v>1060</v>
          </cell>
          <cell r="D43">
            <v>2460</v>
          </cell>
          <cell r="E43">
            <v>6711</v>
          </cell>
          <cell r="F43">
            <v>12244</v>
          </cell>
          <cell r="G43">
            <v>12838</v>
          </cell>
          <cell r="H43">
            <v>15296.874022832893</v>
          </cell>
          <cell r="I43">
            <v>15297.197536680143</v>
          </cell>
          <cell r="J43">
            <v>15297.521050527383</v>
          </cell>
          <cell r="K43">
            <v>15297.844564374622</v>
          </cell>
          <cell r="L43">
            <v>15298.168078221861</v>
          </cell>
          <cell r="M43">
            <v>34317.622962597961</v>
          </cell>
          <cell r="N43">
            <v>45734.590857711984</v>
          </cell>
          <cell r="O43">
            <v>60624.562843460895</v>
          </cell>
          <cell r="P43">
            <v>82310.025314954968</v>
          </cell>
          <cell r="Q43">
            <v>110409.1594013525</v>
          </cell>
          <cell r="R43">
            <v>140028.2444030706</v>
          </cell>
          <cell r="S43">
            <v>179374.69987784722</v>
          </cell>
          <cell r="T43">
            <v>225422.92373008956</v>
          </cell>
          <cell r="U43">
            <v>281562.44284547953</v>
          </cell>
          <cell r="V43">
            <v>348226.80978177284</v>
          </cell>
          <cell r="W43">
            <v>423774.46620612778</v>
          </cell>
          <cell r="X43">
            <v>524089.83834969322</v>
          </cell>
          <cell r="Y43">
            <v>616604.97458224674</v>
          </cell>
          <cell r="Z43">
            <v>704351.80629460048</v>
          </cell>
          <cell r="AA43">
            <v>760535.6438010619</v>
          </cell>
          <cell r="AB43">
            <v>775822.41024146322</v>
          </cell>
          <cell r="AC43">
            <v>791416.4406873167</v>
          </cell>
          <cell r="AD43">
            <v>807323.91114513169</v>
          </cell>
          <cell r="AE43">
            <v>823551.1217591489</v>
          </cell>
          <cell r="AF43">
            <v>820809.4144886448</v>
          </cell>
          <cell r="AG43">
            <v>815962.08011272142</v>
          </cell>
          <cell r="AH43">
            <v>827131.61744066083</v>
          </cell>
          <cell r="AI43">
            <v>873955.11920141615</v>
          </cell>
          <cell r="AJ43">
            <v>909712.79050237301</v>
          </cell>
        </row>
        <row r="44">
          <cell r="A44" t="str">
            <v>UK_Small_cumulative</v>
          </cell>
          <cell r="B44">
            <v>805</v>
          </cell>
          <cell r="C44">
            <v>1865</v>
          </cell>
          <cell r="D44">
            <v>4325</v>
          </cell>
          <cell r="E44">
            <v>11036</v>
          </cell>
          <cell r="F44">
            <v>23280</v>
          </cell>
          <cell r="G44">
            <v>36118</v>
          </cell>
          <cell r="H44">
            <v>51414.874022832897</v>
          </cell>
          <cell r="I44">
            <v>66712.071559513046</v>
          </cell>
          <cell r="J44">
            <v>82009.592610040432</v>
          </cell>
          <cell r="K44">
            <v>97307.437174415056</v>
          </cell>
          <cell r="L44">
            <v>112605.60525263692</v>
          </cell>
          <cell r="M44">
            <v>146923.22821523488</v>
          </cell>
          <cell r="N44">
            <v>191597.81907294685</v>
          </cell>
          <cell r="O44">
            <v>249762.38191640773</v>
          </cell>
          <cell r="P44">
            <v>325361.40723136271</v>
          </cell>
          <cell r="Q44">
            <v>423526.56663271523</v>
          </cell>
          <cell r="R44">
            <v>550716.81103578582</v>
          </cell>
          <cell r="S44">
            <v>714794.6368908002</v>
          </cell>
          <cell r="T44">
            <v>924920.36308420962</v>
          </cell>
          <cell r="U44">
            <v>1191185.2848791617</v>
          </cell>
          <cell r="V44">
            <v>1524114.25009656</v>
          </cell>
          <cell r="W44">
            <v>1932590.5482244659</v>
          </cell>
          <cell r="X44">
            <v>2422362.7636115616</v>
          </cell>
          <cell r="Y44">
            <v>2993233.147336096</v>
          </cell>
          <cell r="Z44">
            <v>3636960.3907872355</v>
          </cell>
          <cell r="AA44">
            <v>4335626.9448130243</v>
          </cell>
          <cell r="AB44">
            <v>5056206.6916235294</v>
          </cell>
          <cell r="AC44">
            <v>5766862.2868814338</v>
          </cell>
          <cell r="AD44">
            <v>6438164.9632989084</v>
          </cell>
          <cell r="AE44">
            <v>7048704.6078477018</v>
          </cell>
          <cell r="AF44">
            <v>7587951.5794908674</v>
          </cell>
          <cell r="AG44">
            <v>8055686.8498218153</v>
          </cell>
          <cell r="AH44">
            <v>8459044.0010563489</v>
          </cell>
          <cell r="AI44">
            <v>8808909.2819080725</v>
          </cell>
          <cell r="AJ44">
            <v>9116990.1169273648</v>
          </cell>
        </row>
        <row r="45">
          <cell r="A45" t="str">
            <v>UK_Medium_annual</v>
          </cell>
          <cell r="B45">
            <v>0</v>
          </cell>
          <cell r="C45">
            <v>470</v>
          </cell>
          <cell r="D45">
            <v>524</v>
          </cell>
          <cell r="E45">
            <v>0</v>
          </cell>
          <cell r="F45">
            <v>455</v>
          </cell>
          <cell r="G45">
            <v>9104</v>
          </cell>
          <cell r="H45">
            <v>10847.697546648282</v>
          </cell>
          <cell r="I45">
            <v>10847.926964787039</v>
          </cell>
          <cell r="J45">
            <v>10848.156382925788</v>
          </cell>
          <cell r="K45">
            <v>10848.385801064538</v>
          </cell>
          <cell r="L45">
            <v>10848.615219203288</v>
          </cell>
          <cell r="M45">
            <v>26550.377589909767</v>
          </cell>
          <cell r="N45">
            <v>35565.745574182583</v>
          </cell>
          <cell r="O45">
            <v>46911.17922692436</v>
          </cell>
          <cell r="P45">
            <v>61276.525930999363</v>
          </cell>
          <cell r="Q45">
            <v>81469.447243452698</v>
          </cell>
          <cell r="R45">
            <v>116268.0558075993</v>
          </cell>
          <cell r="S45">
            <v>152506.19904993809</v>
          </cell>
          <cell r="T45">
            <v>197651.84022908116</v>
          </cell>
          <cell r="U45">
            <v>256112.56410996162</v>
          </cell>
          <cell r="V45">
            <v>330859.13774316566</v>
          </cell>
          <cell r="W45">
            <v>424248.84011032101</v>
          </cell>
          <cell r="X45">
            <v>543966.32228758722</v>
          </cell>
          <cell r="Y45">
            <v>604553.72208444972</v>
          </cell>
          <cell r="Z45">
            <v>665073.16924236331</v>
          </cell>
          <cell r="AA45">
            <v>728803.81123986247</v>
          </cell>
          <cell r="AB45">
            <v>778528.82218835491</v>
          </cell>
          <cell r="AC45">
            <v>802519.09771595197</v>
          </cell>
          <cell r="AD45">
            <v>822011.86080147023</v>
          </cell>
          <cell r="AE45">
            <v>840138.2114036046</v>
          </cell>
          <cell r="AF45">
            <v>823772.79766144324</v>
          </cell>
          <cell r="AG45">
            <v>815265.3567449894</v>
          </cell>
          <cell r="AH45">
            <v>809905.86783597514</v>
          </cell>
          <cell r="AI45">
            <v>805180.17728211428</v>
          </cell>
          <cell r="AJ45">
            <v>799376.65529578528</v>
          </cell>
        </row>
        <row r="46">
          <cell r="A46" t="str">
            <v>UK_Medium_cumulative</v>
          </cell>
          <cell r="B46">
            <v>0</v>
          </cell>
          <cell r="C46">
            <v>470</v>
          </cell>
          <cell r="D46">
            <v>994</v>
          </cell>
          <cell r="E46">
            <v>994</v>
          </cell>
          <cell r="F46">
            <v>1449</v>
          </cell>
          <cell r="G46">
            <v>10553</v>
          </cell>
          <cell r="H46">
            <v>21400.697546648284</v>
          </cell>
          <cell r="I46">
            <v>32248.624511435322</v>
          </cell>
          <cell r="J46">
            <v>43096.780894361109</v>
          </cell>
          <cell r="K46">
            <v>53945.166695425651</v>
          </cell>
          <cell r="L46">
            <v>64793.78191462894</v>
          </cell>
          <cell r="M46">
            <v>91344.159504538708</v>
          </cell>
          <cell r="N46">
            <v>126439.90507872129</v>
          </cell>
          <cell r="O46">
            <v>172827.08430564567</v>
          </cell>
          <cell r="P46">
            <v>234103.61023664504</v>
          </cell>
          <cell r="Q46">
            <v>315118.05748009775</v>
          </cell>
          <cell r="R46">
            <v>422282.11328769708</v>
          </cell>
          <cell r="S46">
            <v>563940.61479098699</v>
          </cell>
          <cell r="T46">
            <v>750744.52805528115</v>
          </cell>
          <cell r="U46">
            <v>996008.93578231696</v>
          </cell>
          <cell r="V46">
            <v>1316019.687724418</v>
          </cell>
          <cell r="W46">
            <v>1729419.9126155358</v>
          </cell>
          <cell r="X46">
            <v>2256720.7295947932</v>
          </cell>
          <cell r="Y46">
            <v>2861274.4516792428</v>
          </cell>
          <cell r="Z46">
            <v>3526347.6209216062</v>
          </cell>
          <cell r="AA46">
            <v>4255151.432161469</v>
          </cell>
          <cell r="AB46">
            <v>5033680.254349824</v>
          </cell>
          <cell r="AC46">
            <v>5836199.3520657755</v>
          </cell>
          <cell r="AD46">
            <v>6658211.212867246</v>
          </cell>
          <cell r="AE46">
            <v>7498349.4242708506</v>
          </cell>
          <cell r="AF46">
            <v>8322122.2219322938</v>
          </cell>
          <cell r="AG46">
            <v>9137387.5786772836</v>
          </cell>
          <cell r="AH46">
            <v>9947293.4465132579</v>
          </cell>
          <cell r="AI46">
            <v>10752473.623795372</v>
          </cell>
          <cell r="AJ46">
            <v>11551850.279091157</v>
          </cell>
        </row>
        <row r="47">
          <cell r="A47" t="str">
            <v>UK_Large_annual</v>
          </cell>
          <cell r="B47">
            <v>0</v>
          </cell>
          <cell r="C47">
            <v>0</v>
          </cell>
          <cell r="D47">
            <v>0</v>
          </cell>
          <cell r="E47">
            <v>6060</v>
          </cell>
          <cell r="F47">
            <v>14489</v>
          </cell>
          <cell r="G47">
            <v>14231</v>
          </cell>
          <cell r="H47">
            <v>16956.676602191532</v>
          </cell>
          <cell r="I47">
            <v>16957.035219231588</v>
          </cell>
          <cell r="J47">
            <v>16957.393836271629</v>
          </cell>
          <cell r="K47">
            <v>16957.752453311674</v>
          </cell>
          <cell r="L47">
            <v>16958.111070351715</v>
          </cell>
          <cell r="M47">
            <v>8767.9759825145011</v>
          </cell>
          <cell r="N47">
            <v>9462.4501699780285</v>
          </cell>
          <cell r="O47">
            <v>9638.5575118986326</v>
          </cell>
          <cell r="P47">
            <v>10313.531414392028</v>
          </cell>
          <cell r="Q47">
            <v>11015.914949411625</v>
          </cell>
          <cell r="R47">
            <v>11126.074098905739</v>
          </cell>
          <cell r="S47">
            <v>11237.334839894798</v>
          </cell>
          <cell r="T47">
            <v>15113.960123494968</v>
          </cell>
          <cell r="U47">
            <v>16906.071194721302</v>
          </cell>
          <cell r="V47">
            <v>20708.499306608181</v>
          </cell>
          <cell r="W47">
            <v>25947.018660140438</v>
          </cell>
          <cell r="X47">
            <v>33211.346051731853</v>
          </cell>
          <cell r="Y47">
            <v>35613.741445073589</v>
          </cell>
          <cell r="Z47">
            <v>36145.140763725169</v>
          </cell>
          <cell r="AA47">
            <v>36855.544907548407</v>
          </cell>
          <cell r="AB47">
            <v>38078.059550282691</v>
          </cell>
          <cell r="AC47">
            <v>42255.378693065613</v>
          </cell>
          <cell r="AD47">
            <v>47835.431607445651</v>
          </cell>
          <cell r="AE47">
            <v>50034.416605546168</v>
          </cell>
          <cell r="AF47">
            <v>50534.760771601628</v>
          </cell>
          <cell r="AG47">
            <v>49451.934132069124</v>
          </cell>
          <cell r="AH47">
            <v>47499.802703930989</v>
          </cell>
          <cell r="AI47">
            <v>45494.401594483817</v>
          </cell>
          <cell r="AJ47">
            <v>43434.729940931356</v>
          </cell>
        </row>
        <row r="48">
          <cell r="A48" t="str">
            <v>UK_Large_cumulative</v>
          </cell>
          <cell r="B48">
            <v>0</v>
          </cell>
          <cell r="C48">
            <v>0</v>
          </cell>
          <cell r="D48">
            <v>0</v>
          </cell>
          <cell r="E48">
            <v>6060</v>
          </cell>
          <cell r="F48">
            <v>20549</v>
          </cell>
          <cell r="G48">
            <v>34780</v>
          </cell>
          <cell r="H48">
            <v>51736.676602191532</v>
          </cell>
          <cell r="I48">
            <v>68693.711821423116</v>
          </cell>
          <cell r="J48">
            <v>85651.105657694745</v>
          </cell>
          <cell r="K48">
            <v>102608.85811100641</v>
          </cell>
          <cell r="L48">
            <v>119566.96918135813</v>
          </cell>
          <cell r="M48">
            <v>128334.94516387263</v>
          </cell>
          <cell r="N48">
            <v>137797.39533385067</v>
          </cell>
          <cell r="O48">
            <v>147435.9528457493</v>
          </cell>
          <cell r="P48">
            <v>157749.48426014133</v>
          </cell>
          <cell r="Q48">
            <v>168765.39920955294</v>
          </cell>
          <cell r="R48">
            <v>179891.47330845869</v>
          </cell>
          <cell r="S48">
            <v>191128.80814835348</v>
          </cell>
          <cell r="T48">
            <v>206242.76827184844</v>
          </cell>
          <cell r="U48">
            <v>223148.83946656974</v>
          </cell>
          <cell r="V48">
            <v>243857.33877317794</v>
          </cell>
          <cell r="W48">
            <v>269804.35743331839</v>
          </cell>
          <cell r="X48">
            <v>303015.70348505024</v>
          </cell>
          <cell r="Y48">
            <v>338629.44493012381</v>
          </cell>
          <cell r="Z48">
            <v>374774.58569384896</v>
          </cell>
          <cell r="AA48">
            <v>411630.13060139737</v>
          </cell>
          <cell r="AB48">
            <v>449708.19015168003</v>
          </cell>
          <cell r="AC48">
            <v>491963.56884474563</v>
          </cell>
          <cell r="AD48">
            <v>539799.00045219134</v>
          </cell>
          <cell r="AE48">
            <v>589833.41705773748</v>
          </cell>
          <cell r="AF48">
            <v>640368.17782933905</v>
          </cell>
          <cell r="AG48">
            <v>689820.11196140817</v>
          </cell>
          <cell r="AH48">
            <v>737319.91466533917</v>
          </cell>
          <cell r="AI48">
            <v>782814.31625982304</v>
          </cell>
          <cell r="AJ48">
            <v>826249.04620075435</v>
          </cell>
        </row>
        <row r="49">
          <cell r="A49" t="str">
            <v>UK_SUV_annual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209</v>
          </cell>
          <cell r="G49">
            <v>3510</v>
          </cell>
          <cell r="H49">
            <v>4182.2735488505568</v>
          </cell>
          <cell r="I49">
            <v>4182.3619998245294</v>
          </cell>
          <cell r="J49">
            <v>4182.4504507984975</v>
          </cell>
          <cell r="K49">
            <v>4182.5389017724665</v>
          </cell>
          <cell r="L49">
            <v>4182.6273527464355</v>
          </cell>
          <cell r="M49">
            <v>11918.36300808238</v>
          </cell>
          <cell r="N49">
            <v>15750.959235318578</v>
          </cell>
          <cell r="O49">
            <v>20805.646258803943</v>
          </cell>
          <cell r="P49">
            <v>27466.011062991165</v>
          </cell>
          <cell r="Q49">
            <v>36521.195707288432</v>
          </cell>
          <cell r="R49">
            <v>51594.160233081449</v>
          </cell>
          <cell r="S49">
            <v>67903.967787208589</v>
          </cell>
          <cell r="T49">
            <v>88575.143021690295</v>
          </cell>
          <cell r="U49">
            <v>115722.61187033093</v>
          </cell>
          <cell r="V49">
            <v>151088.32106090744</v>
          </cell>
          <cell r="W49">
            <v>196393.61448245056</v>
          </cell>
          <cell r="X49">
            <v>261305.61938433102</v>
          </cell>
          <cell r="Y49">
            <v>335662.91425489727</v>
          </cell>
          <cell r="Z49">
            <v>425313.40269576939</v>
          </cell>
          <cell r="AA49">
            <v>529467.88895906461</v>
          </cell>
          <cell r="AB49">
            <v>639131.02600495948</v>
          </cell>
          <cell r="AC49">
            <v>752725.15789829858</v>
          </cell>
          <cell r="AD49">
            <v>803696.01888016111</v>
          </cell>
          <cell r="AE49">
            <v>817245.92936939397</v>
          </cell>
          <cell r="AF49">
            <v>822815.59316547459</v>
          </cell>
          <cell r="AG49">
            <v>828405.04099236662</v>
          </cell>
          <cell r="AH49">
            <v>836329.30006773141</v>
          </cell>
          <cell r="AI49">
            <v>844692.59306840878</v>
          </cell>
          <cell r="AJ49">
            <v>853139.51899909298</v>
          </cell>
        </row>
        <row r="50">
          <cell r="A50" t="str">
            <v>UK_SUV_cumulative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209</v>
          </cell>
          <cell r="G50">
            <v>3719</v>
          </cell>
          <cell r="H50">
            <v>7901.2735488505568</v>
          </cell>
          <cell r="I50">
            <v>12083.635548675087</v>
          </cell>
          <cell r="J50">
            <v>16266.085999473584</v>
          </cell>
          <cell r="K50">
            <v>20448.62490124605</v>
          </cell>
          <cell r="L50">
            <v>24631.252253992487</v>
          </cell>
          <cell r="M50">
            <v>36549.615262074869</v>
          </cell>
          <cell r="N50">
            <v>52300.574497393449</v>
          </cell>
          <cell r="O50">
            <v>73106.220756197392</v>
          </cell>
          <cell r="P50">
            <v>100572.23181918856</v>
          </cell>
          <cell r="Q50">
            <v>136884.427526477</v>
          </cell>
          <cell r="R50">
            <v>184968.58775955846</v>
          </cell>
          <cell r="S50">
            <v>248690.28199791649</v>
          </cell>
          <cell r="T50">
            <v>333083.06301978225</v>
          </cell>
          <cell r="U50">
            <v>444623.22443931468</v>
          </cell>
          <cell r="V50">
            <v>591529.00659844966</v>
          </cell>
          <cell r="W50">
            <v>783739.99372815376</v>
          </cell>
          <cell r="X50">
            <v>1033127.2501044024</v>
          </cell>
          <cell r="Y50">
            <v>1353039.205123981</v>
          </cell>
          <cell r="Z50">
            <v>1757546.9615609464</v>
          </cell>
          <cell r="AA50">
            <v>2259548.8394570197</v>
          </cell>
          <cell r="AB50">
            <v>2862158.6697546905</v>
          </cell>
          <cell r="AC50">
            <v>3563289.6674199076</v>
          </cell>
          <cell r="AD50">
            <v>4349529.6747622695</v>
          </cell>
          <cell r="AE50">
            <v>5166775.6041316632</v>
          </cell>
          <cell r="AF50">
            <v>5989591.1972971382</v>
          </cell>
          <cell r="AG50">
            <v>6817996.2382895052</v>
          </cell>
          <cell r="AH50">
            <v>7626436.1814407455</v>
          </cell>
          <cell r="AI50">
            <v>8358243.3724915888</v>
          </cell>
          <cell r="AJ50">
            <v>9000547.2638397738</v>
          </cell>
        </row>
        <row r="51">
          <cell r="A51" t="str">
            <v>RestOfEurope_Small_annual</v>
          </cell>
          <cell r="B51">
            <v>234</v>
          </cell>
          <cell r="C51">
            <v>6219</v>
          </cell>
          <cell r="D51">
            <v>10759</v>
          </cell>
          <cell r="E51">
            <v>22589</v>
          </cell>
          <cell r="F51">
            <v>51477</v>
          </cell>
          <cell r="G51">
            <v>48882</v>
          </cell>
          <cell r="H51">
            <v>67673.952079043622</v>
          </cell>
          <cell r="I51">
            <v>60761.366912583144</v>
          </cell>
          <cell r="J51">
            <v>71232.984683873306</v>
          </cell>
          <cell r="K51">
            <v>75141.432597537787</v>
          </cell>
          <cell r="L51">
            <v>87945.039439392698</v>
          </cell>
          <cell r="M51">
            <v>130033.16692286081</v>
          </cell>
          <cell r="N51">
            <v>171139.95240525261</v>
          </cell>
          <cell r="O51">
            <v>219396.54397728902</v>
          </cell>
          <cell r="P51">
            <v>284871.37854295166</v>
          </cell>
          <cell r="Q51">
            <v>378693.4718413527</v>
          </cell>
          <cell r="R51">
            <v>452941.42470866669</v>
          </cell>
          <cell r="S51">
            <v>559899.15404525655</v>
          </cell>
          <cell r="T51">
            <v>649654.29357806884</v>
          </cell>
          <cell r="U51">
            <v>759799.43192433659</v>
          </cell>
          <cell r="V51">
            <v>861146.24860503373</v>
          </cell>
          <cell r="W51">
            <v>957497.28291225107</v>
          </cell>
          <cell r="X51">
            <v>1051400.4017934753</v>
          </cell>
          <cell r="Y51">
            <v>1072533.5498695241</v>
          </cell>
          <cell r="Z51">
            <v>1094091.4742219015</v>
          </cell>
          <cell r="AA51">
            <v>1116082.7128537616</v>
          </cell>
          <cell r="AB51">
            <v>1138515.9753821222</v>
          </cell>
          <cell r="AC51">
            <v>1161400.1464873028</v>
          </cell>
          <cell r="AD51">
            <v>1184744.2894316977</v>
          </cell>
          <cell r="AE51">
            <v>1208557.649649275</v>
          </cell>
          <cell r="AF51">
            <v>1232849.6584072253</v>
          </cell>
          <cell r="AG51">
            <v>1257629.9365412104</v>
          </cell>
          <cell r="AH51">
            <v>1282908.2982656888</v>
          </cell>
          <cell r="AI51">
            <v>1308694.7550608295</v>
          </cell>
          <cell r="AJ51">
            <v>1334999.5196375521</v>
          </cell>
        </row>
        <row r="52">
          <cell r="A52" t="str">
            <v>RestOfEurope_Small_cumulative</v>
          </cell>
          <cell r="B52">
            <v>234</v>
          </cell>
          <cell r="C52">
            <v>6453</v>
          </cell>
          <cell r="D52">
            <v>17212</v>
          </cell>
          <cell r="E52">
            <v>39801</v>
          </cell>
          <cell r="F52">
            <v>91278</v>
          </cell>
          <cell r="G52">
            <v>140160</v>
          </cell>
          <cell r="H52">
            <v>207833.95207904361</v>
          </cell>
          <cell r="I52">
            <v>268595.31899162673</v>
          </cell>
          <cell r="J52">
            <v>339828.30367550004</v>
          </cell>
          <cell r="K52">
            <v>414969.73627303785</v>
          </cell>
          <cell r="L52">
            <v>502914.77571243054</v>
          </cell>
          <cell r="M52">
            <v>632947.94263529137</v>
          </cell>
          <cell r="N52">
            <v>797868.89504054398</v>
          </cell>
          <cell r="O52">
            <v>1006506.439017833</v>
          </cell>
          <cell r="P52">
            <v>1268788.8175607845</v>
          </cell>
          <cell r="Q52">
            <v>1596005.2894021373</v>
          </cell>
          <cell r="R52">
            <v>2000064.714110804</v>
          </cell>
          <cell r="S52">
            <v>2492289.9160770169</v>
          </cell>
          <cell r="T52">
            <v>3081182.8427425027</v>
          </cell>
          <cell r="U52">
            <v>3769749.2899829661</v>
          </cell>
          <cell r="V52">
            <v>4555754.105990462</v>
          </cell>
          <cell r="W52">
            <v>5425306.3494633194</v>
          </cell>
          <cell r="X52">
            <v>6354618.2841644585</v>
          </cell>
          <cell r="Y52">
            <v>7311186.9589205813</v>
          </cell>
          <cell r="Z52">
            <v>8258793.5519242389</v>
          </cell>
          <cell r="AA52">
            <v>9163482.5224279463</v>
          </cell>
          <cell r="AB52">
            <v>9992803.851835724</v>
          </cell>
          <cell r="AC52">
            <v>10734031.1964704</v>
          </cell>
          <cell r="AD52">
            <v>11385967.468303803</v>
          </cell>
          <cell r="AE52">
            <v>11955944.258594908</v>
          </cell>
          <cell r="AF52">
            <v>12456068.03894346</v>
          </cell>
          <cell r="AG52">
            <v>12899995.17487153</v>
          </cell>
          <cell r="AH52">
            <v>13300784.1024231</v>
          </cell>
          <cell r="AI52">
            <v>13669790.309742479</v>
          </cell>
          <cell r="AJ52">
            <v>14016309.63387277</v>
          </cell>
        </row>
        <row r="53">
          <cell r="A53" t="str">
            <v>RestOfEurope_Medium_annual</v>
          </cell>
          <cell r="B53">
            <v>0</v>
          </cell>
          <cell r="C53">
            <v>1678</v>
          </cell>
          <cell r="D53">
            <v>2686</v>
          </cell>
          <cell r="E53">
            <v>541</v>
          </cell>
          <cell r="F53">
            <v>4457</v>
          </cell>
          <cell r="G53">
            <v>11544</v>
          </cell>
          <cell r="H53">
            <v>18425.480769223115</v>
          </cell>
          <cell r="I53">
            <v>93155.415820523907</v>
          </cell>
          <cell r="J53">
            <v>113857.44249742635</v>
          </cell>
          <cell r="K53">
            <v>123904.54943999706</v>
          </cell>
          <cell r="L53">
            <v>132014.10123947149</v>
          </cell>
          <cell r="M53">
            <v>146543.53842878682</v>
          </cell>
          <cell r="N53">
            <v>191184.50154786903</v>
          </cell>
          <cell r="O53">
            <v>247554.56905067214</v>
          </cell>
          <cell r="P53">
            <v>315760.96607416926</v>
          </cell>
          <cell r="Q53">
            <v>408306.91396990709</v>
          </cell>
          <cell r="R53">
            <v>525303.54071550444</v>
          </cell>
          <cell r="S53">
            <v>665571.46073341602</v>
          </cell>
          <cell r="T53">
            <v>855367.1306139857</v>
          </cell>
          <cell r="U53">
            <v>922062.45082519401</v>
          </cell>
          <cell r="V53">
            <v>1012008.2664959109</v>
          </cell>
          <cell r="W53">
            <v>1107542.6025032604</v>
          </cell>
          <cell r="X53">
            <v>1194926.7446001654</v>
          </cell>
          <cell r="Y53">
            <v>1328962.1990631651</v>
          </cell>
          <cell r="Z53">
            <v>1460238.3318877651</v>
          </cell>
          <cell r="AA53">
            <v>1599441.247781036</v>
          </cell>
          <cell r="AB53">
            <v>1707631.6032799024</v>
          </cell>
          <cell r="AC53">
            <v>1746124.4268331465</v>
          </cell>
          <cell r="AD53">
            <v>1723201.0047152312</v>
          </cell>
          <cell r="AE53">
            <v>1714135.0306534553</v>
          </cell>
          <cell r="AF53">
            <v>1728045.0125823489</v>
          </cell>
          <cell r="AG53">
            <v>1762572.0233320994</v>
          </cell>
          <cell r="AH53">
            <v>1782227.3517518586</v>
          </cell>
          <cell r="AI53">
            <v>1773548.0109330392</v>
          </cell>
          <cell r="AJ53">
            <v>1761978.7281489244</v>
          </cell>
        </row>
        <row r="54">
          <cell r="A54" t="str">
            <v>RestOfEurope_Medium_cumulative</v>
          </cell>
          <cell r="B54">
            <v>0</v>
          </cell>
          <cell r="C54">
            <v>1678</v>
          </cell>
          <cell r="D54">
            <v>4364</v>
          </cell>
          <cell r="E54">
            <v>4905</v>
          </cell>
          <cell r="F54">
            <v>9362</v>
          </cell>
          <cell r="G54">
            <v>20906</v>
          </cell>
          <cell r="H54">
            <v>39331.480769223112</v>
          </cell>
          <cell r="I54">
            <v>132486.89658974702</v>
          </cell>
          <cell r="J54">
            <v>246344.33908717337</v>
          </cell>
          <cell r="K54">
            <v>370248.88852717041</v>
          </cell>
          <cell r="L54">
            <v>502262.98976664187</v>
          </cell>
          <cell r="M54">
            <v>648806.52819542866</v>
          </cell>
          <cell r="N54">
            <v>838313.02974329772</v>
          </cell>
          <cell r="O54">
            <v>1083181.59879397</v>
          </cell>
          <cell r="P54">
            <v>1398401.5648681391</v>
          </cell>
          <cell r="Q54">
            <v>1802251.4788380461</v>
          </cell>
          <cell r="R54">
            <v>2316011.0195535505</v>
          </cell>
          <cell r="S54">
            <v>2963156.9995177435</v>
          </cell>
          <cell r="T54">
            <v>3767041.6463334551</v>
          </cell>
          <cell r="U54">
            <v>4689104.097158649</v>
          </cell>
          <cell r="V54">
            <v>5701112.3636545595</v>
          </cell>
          <cell r="W54">
            <v>6808654.9661578201</v>
          </cell>
          <cell r="X54">
            <v>8003581.7107579857</v>
          </cell>
          <cell r="Y54">
            <v>9332543.9098211508</v>
          </cell>
          <cell r="Z54">
            <v>10792782.241708916</v>
          </cell>
          <cell r="AA54">
            <v>12392223.489489952</v>
          </cell>
          <cell r="AB54">
            <v>14099855.092769854</v>
          </cell>
          <cell r="AC54">
            <v>15711923.865146941</v>
          </cell>
          <cell r="AD54">
            <v>17143139.595913328</v>
          </cell>
          <cell r="AE54">
            <v>18360035.45461116</v>
          </cell>
          <cell r="AF54">
            <v>19369543.552454926</v>
          </cell>
          <cell r="AG54">
            <v>20204712.545060836</v>
          </cell>
          <cell r="AH54">
            <v>20908620.050244346</v>
          </cell>
          <cell r="AI54">
            <v>21521784.271404479</v>
          </cell>
          <cell r="AJ54">
            <v>22076458.906424049</v>
          </cell>
        </row>
        <row r="55">
          <cell r="A55" t="str">
            <v>RestOfEurope_Large_annual</v>
          </cell>
          <cell r="B55">
            <v>98</v>
          </cell>
          <cell r="C55">
            <v>92</v>
          </cell>
          <cell r="D55">
            <v>17051</v>
          </cell>
          <cell r="E55">
            <v>24308</v>
          </cell>
          <cell r="F55">
            <v>42239</v>
          </cell>
          <cell r="G55">
            <v>39900</v>
          </cell>
          <cell r="H55">
            <v>37528.160928935467</v>
          </cell>
          <cell r="I55">
            <v>50479.995555908601</v>
          </cell>
          <cell r="J55">
            <v>61207.416701150432</v>
          </cell>
          <cell r="K55">
            <v>69862.599068687108</v>
          </cell>
          <cell r="L55">
            <v>74489.059388775844</v>
          </cell>
          <cell r="M55">
            <v>19269.156822604964</v>
          </cell>
          <cell r="N55">
            <v>20795.38500276567</v>
          </cell>
          <cell r="O55">
            <v>21182.411609116731</v>
          </cell>
          <cell r="P55">
            <v>22665.784511169411</v>
          </cell>
          <cell r="Q55">
            <v>24209.394862395198</v>
          </cell>
          <cell r="R55">
            <v>24451.48881101915</v>
          </cell>
          <cell r="S55">
            <v>24696.003699129342</v>
          </cell>
          <cell r="T55">
            <v>33215.564049332839</v>
          </cell>
          <cell r="U55">
            <v>37154.040767774386</v>
          </cell>
          <cell r="V55">
            <v>45510.539889207503</v>
          </cell>
          <cell r="W55">
            <v>57023.100044797218</v>
          </cell>
          <cell r="X55">
            <v>72987.726772615497</v>
          </cell>
          <cell r="Y55">
            <v>78267.40975492791</v>
          </cell>
          <cell r="Z55">
            <v>79435.252461949814</v>
          </cell>
          <cell r="AA55">
            <v>80996.489500242053</v>
          </cell>
          <cell r="AB55">
            <v>83683.178699181037</v>
          </cell>
          <cell r="AC55">
            <v>92863.566261929707</v>
          </cell>
          <cell r="AD55">
            <v>105126.70599908814</v>
          </cell>
          <cell r="AE55">
            <v>109959.35915227344</v>
          </cell>
          <cell r="AF55">
            <v>111058.95274379618</v>
          </cell>
          <cell r="AG55">
            <v>108679.25230090514</v>
          </cell>
          <cell r="AH55">
            <v>104389.10293209454</v>
          </cell>
          <cell r="AI55">
            <v>99981.884145543794</v>
          </cell>
          <cell r="AJ55">
            <v>95455.396370654475</v>
          </cell>
        </row>
        <row r="56">
          <cell r="A56" t="str">
            <v>RestOfEurope_Large_cumulative</v>
          </cell>
          <cell r="B56">
            <v>98</v>
          </cell>
          <cell r="C56">
            <v>190</v>
          </cell>
          <cell r="D56">
            <v>17241</v>
          </cell>
          <cell r="E56">
            <v>41549</v>
          </cell>
          <cell r="F56">
            <v>83788</v>
          </cell>
          <cell r="G56">
            <v>123688</v>
          </cell>
          <cell r="H56">
            <v>161216.16092893545</v>
          </cell>
          <cell r="I56">
            <v>211696.15648484405</v>
          </cell>
          <cell r="J56">
            <v>272903.57318599446</v>
          </cell>
          <cell r="K56">
            <v>342766.17225468159</v>
          </cell>
          <cell r="L56">
            <v>417255.23164345743</v>
          </cell>
          <cell r="M56">
            <v>436524.38846606237</v>
          </cell>
          <cell r="N56">
            <v>457319.77346882806</v>
          </cell>
          <cell r="O56">
            <v>478502.18507794477</v>
          </cell>
          <cell r="P56">
            <v>501167.96958911419</v>
          </cell>
          <cell r="Q56">
            <v>525377.36445150943</v>
          </cell>
          <cell r="R56">
            <v>549828.85326252854</v>
          </cell>
          <cell r="S56">
            <v>574524.85696165788</v>
          </cell>
          <cell r="T56">
            <v>607740.42101099074</v>
          </cell>
          <cell r="U56">
            <v>644894.46177876508</v>
          </cell>
          <cell r="V56">
            <v>690405.00166797254</v>
          </cell>
          <cell r="W56">
            <v>747428.10171276971</v>
          </cell>
          <cell r="X56">
            <v>820415.82848538517</v>
          </cell>
          <cell r="Y56">
            <v>898683.23824031302</v>
          </cell>
          <cell r="Z56">
            <v>978118.49070226285</v>
          </cell>
          <cell r="AA56">
            <v>1057092.0570528188</v>
          </cell>
          <cell r="AB56">
            <v>1125579.8244847732</v>
          </cell>
          <cell r="AC56">
            <v>1184434.5119419403</v>
          </cell>
          <cell r="AD56">
            <v>1235173.9466000858</v>
          </cell>
          <cell r="AE56">
            <v>1279513.435939268</v>
          </cell>
          <cell r="AF56">
            <v>1319063.4742275774</v>
          </cell>
          <cell r="AG56">
            <v>1355186.7083101964</v>
          </cell>
          <cell r="AH56">
            <v>1388963.6414524773</v>
          </cell>
          <cell r="AI56">
            <v>1421215.8417939031</v>
          </cell>
          <cell r="AJ56">
            <v>1452551.2290089647</v>
          </cell>
        </row>
        <row r="57">
          <cell r="A57" t="str">
            <v>RestOfEurope_SUV_annual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4132</v>
          </cell>
          <cell r="G57">
            <v>14386</v>
          </cell>
          <cell r="H57">
            <v>13604.259164893103</v>
          </cell>
          <cell r="I57">
            <v>16957.669508317009</v>
          </cell>
          <cell r="J57">
            <v>17629.650713285864</v>
          </cell>
          <cell r="K57">
            <v>18836.546055701408</v>
          </cell>
          <cell r="L57">
            <v>20010.271039632957</v>
          </cell>
          <cell r="M57">
            <v>35718.372683428293</v>
          </cell>
          <cell r="N57">
            <v>46646.523789300161</v>
          </cell>
          <cell r="O57">
            <v>61042.987654677119</v>
          </cell>
          <cell r="P57">
            <v>79837.676133169589</v>
          </cell>
          <cell r="Q57">
            <v>108525.96807302017</v>
          </cell>
          <cell r="R57">
            <v>150799.71972419144</v>
          </cell>
          <cell r="S57">
            <v>191562.76651564642</v>
          </cell>
          <cell r="T57">
            <v>248262.1621817486</v>
          </cell>
          <cell r="U57">
            <v>316499.71267335018</v>
          </cell>
          <cell r="V57">
            <v>401943.71440318396</v>
          </cell>
          <cell r="W57">
            <v>505184.7303489687</v>
          </cell>
          <cell r="X57">
            <v>640904.4085203635</v>
          </cell>
          <cell r="Y57">
            <v>786858.75042232533</v>
          </cell>
          <cell r="Z57">
            <v>944768.26942867914</v>
          </cell>
          <cell r="AA57">
            <v>1104249.3339030566</v>
          </cell>
          <cell r="AB57">
            <v>1241707.8750480651</v>
          </cell>
          <cell r="AC57">
            <v>1266666.2033365313</v>
          </cell>
          <cell r="AD57">
            <v>1292126.1940235954</v>
          </cell>
          <cell r="AE57">
            <v>1318097.93052347</v>
          </cell>
          <cell r="AF57">
            <v>1344591.6989269913</v>
          </cell>
          <cell r="AG57">
            <v>1371617.9920754239</v>
          </cell>
          <cell r="AH57">
            <v>1389293.1147461622</v>
          </cell>
          <cell r="AI57">
            <v>1404466.0939471163</v>
          </cell>
          <cell r="AJ57">
            <v>1444568.0630104938</v>
          </cell>
        </row>
        <row r="58">
          <cell r="A58" t="str">
            <v>RestOfEurope_SUV_cumulative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4132</v>
          </cell>
          <cell r="G58">
            <v>18518</v>
          </cell>
          <cell r="H58">
            <v>32122.259164893105</v>
          </cell>
          <cell r="I58">
            <v>49079.928673210117</v>
          </cell>
          <cell r="J58">
            <v>66709.579386495985</v>
          </cell>
          <cell r="K58">
            <v>85546.125442197401</v>
          </cell>
          <cell r="L58">
            <v>105556.39648183036</v>
          </cell>
          <cell r="M58">
            <v>141274.76916525865</v>
          </cell>
          <cell r="N58">
            <v>187921.2929545588</v>
          </cell>
          <cell r="O58">
            <v>248964.28060923592</v>
          </cell>
          <cell r="P58">
            <v>328801.95674240554</v>
          </cell>
          <cell r="Q58">
            <v>433195.92481542571</v>
          </cell>
          <cell r="R58">
            <v>569609.64453961712</v>
          </cell>
          <cell r="S58">
            <v>747568.15189037053</v>
          </cell>
          <cell r="T58">
            <v>978872.64456380205</v>
          </cell>
          <cell r="U58">
            <v>1277742.7065238664</v>
          </cell>
          <cell r="V58">
            <v>1660849.874871349</v>
          </cell>
          <cell r="W58">
            <v>2146024.3341806848</v>
          </cell>
          <cell r="X58">
            <v>2751210.3700176198</v>
          </cell>
          <cell r="Y58">
            <v>3491422.5966506451</v>
          </cell>
          <cell r="Z58">
            <v>4375147.8784246463</v>
          </cell>
          <cell r="AA58">
            <v>5399559.5361945331</v>
          </cell>
          <cell r="AB58">
            <v>6535769.7806595927</v>
          </cell>
          <cell r="AC58">
            <v>7745267.142553363</v>
          </cell>
          <cell r="AD58">
            <v>8977158.9455877524</v>
          </cell>
          <cell r="AE58">
            <v>10176852.670704637</v>
          </cell>
          <cell r="AF58">
            <v>11296824.356499838</v>
          </cell>
          <cell r="AG58">
            <v>12305269.935750913</v>
          </cell>
          <cell r="AH58">
            <v>13189378.320148107</v>
          </cell>
          <cell r="AI58">
            <v>13952940.00557486</v>
          </cell>
          <cell r="AJ58">
            <v>14610649.318163028</v>
          </cell>
        </row>
        <row r="158">
          <cell r="C158" t="str">
            <v>RoW</v>
          </cell>
          <cell r="E158">
            <v>0.10544573926256669</v>
          </cell>
          <cell r="F158">
            <v>0.15814711867093434</v>
          </cell>
          <cell r="G158">
            <v>0.25114280391080362</v>
          </cell>
          <cell r="H158">
            <v>0.42368556883599179</v>
          </cell>
          <cell r="I158">
            <v>0.73837251418829475</v>
          </cell>
          <cell r="J158">
            <v>1.3329896075078247</v>
          </cell>
          <cell r="K158">
            <v>2.4817103889179148</v>
          </cell>
          <cell r="L158">
            <v>4.5779947160453167</v>
          </cell>
          <cell r="M158">
            <v>8.3646531698192614</v>
          </cell>
          <cell r="N158">
            <v>14.304694146927485</v>
          </cell>
          <cell r="O158">
            <v>23.880268129690567</v>
          </cell>
          <cell r="P158">
            <v>38.546151733215297</v>
          </cell>
          <cell r="Q158">
            <v>59.11439937195879</v>
          </cell>
          <cell r="R158">
            <v>85.948322373711477</v>
          </cell>
          <cell r="S158">
            <v>118.67560631989818</v>
          </cell>
          <cell r="T158">
            <v>157.51938408744323</v>
          </cell>
          <cell r="U158">
            <v>202.57478675252827</v>
          </cell>
          <cell r="V158">
            <v>253.82039729977438</v>
          </cell>
          <cell r="W158">
            <v>311.54299434852993</v>
          </cell>
          <cell r="X158">
            <v>373.05988693024824</v>
          </cell>
          <cell r="Y158">
            <v>440.23866338279674</v>
          </cell>
          <cell r="Z158">
            <v>512.8917521801302</v>
          </cell>
          <cell r="AA158">
            <v>590.98185862760874</v>
          </cell>
          <cell r="AB158">
            <v>688.02686788711924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</sheetData>
      <sheetData sheetId="6" refreshError="1"/>
      <sheetData sheetId="7">
        <row r="47">
          <cell r="C47" t="str">
            <v>2016 forecast</v>
          </cell>
        </row>
      </sheetData>
      <sheetData sheetId="8">
        <row r="62">
          <cell r="B62" t="str">
            <v>EV sales share</v>
          </cell>
        </row>
      </sheetData>
      <sheetData sheetId="9">
        <row r="46">
          <cell r="E46">
            <v>7.3184244453718982E-5</v>
          </cell>
        </row>
      </sheetData>
      <sheetData sheetId="10">
        <row r="46">
          <cell r="E46">
            <v>7.0769437443682266E-6</v>
          </cell>
        </row>
      </sheetData>
      <sheetData sheetId="11">
        <row r="46">
          <cell r="E46">
            <v>2.2062851155564182E-4</v>
          </cell>
        </row>
      </sheetData>
      <sheetData sheetId="12">
        <row r="46">
          <cell r="E46">
            <v>1.0532275633699289E-5</v>
          </cell>
        </row>
      </sheetData>
      <sheetData sheetId="13">
        <row r="46">
          <cell r="E46">
            <v>3.0116840089240808E-5</v>
          </cell>
        </row>
      </sheetData>
      <sheetData sheetId="14">
        <row r="46">
          <cell r="E46">
            <v>3.1278392183401573E-5</v>
          </cell>
        </row>
      </sheetData>
      <sheetData sheetId="15">
        <row r="46">
          <cell r="E46">
            <v>6.7571419642041474E-5</v>
          </cell>
        </row>
      </sheetData>
      <sheetData sheetId="16">
        <row r="46">
          <cell r="E46">
            <v>4.619160575809531E-6</v>
          </cell>
        </row>
      </sheetData>
      <sheetData sheetId="17">
        <row r="3">
          <cell r="B3" t="str">
            <v>Replacement cycle of EV</v>
          </cell>
        </row>
        <row r="4">
          <cell r="G4" t="str">
            <v>Years</v>
          </cell>
        </row>
        <row r="5">
          <cell r="E5" t="str">
            <v>Tag</v>
          </cell>
          <cell r="F5" t="str">
            <v>Notes</v>
          </cell>
          <cell r="G5">
            <v>2011</v>
          </cell>
          <cell r="H5">
            <v>2012</v>
          </cell>
          <cell r="I5">
            <v>2013</v>
          </cell>
          <cell r="J5">
            <v>2014</v>
          </cell>
          <cell r="K5">
            <v>2015</v>
          </cell>
          <cell r="L5">
            <v>2016</v>
          </cell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  <cell r="Y5">
            <v>2029</v>
          </cell>
          <cell r="Z5">
            <v>2030</v>
          </cell>
          <cell r="AA5">
            <v>2031</v>
          </cell>
          <cell r="AB5">
            <v>2032</v>
          </cell>
          <cell r="AC5">
            <v>2033</v>
          </cell>
          <cell r="AD5">
            <v>2034</v>
          </cell>
          <cell r="AE5">
            <v>2035</v>
          </cell>
          <cell r="AF5">
            <v>2036</v>
          </cell>
          <cell r="AG5">
            <v>2037</v>
          </cell>
          <cell r="AH5">
            <v>2038</v>
          </cell>
          <cell r="AI5">
            <v>2039</v>
          </cell>
          <cell r="AJ5">
            <v>2040</v>
          </cell>
          <cell r="AK5">
            <v>2041</v>
          </cell>
          <cell r="AL5">
            <v>2042</v>
          </cell>
          <cell r="AM5">
            <v>2043</v>
          </cell>
          <cell r="AN5">
            <v>2044</v>
          </cell>
          <cell r="AO5">
            <v>2045</v>
          </cell>
        </row>
        <row r="6">
          <cell r="B6" t="str">
            <v>All</v>
          </cell>
          <cell r="C6" t="str">
            <v>All</v>
          </cell>
          <cell r="D6" t="str">
            <v>replacementCycle</v>
          </cell>
          <cell r="E6" t="str">
            <v>replacementCycle</v>
          </cell>
          <cell r="G6">
            <v>11.4</v>
          </cell>
          <cell r="H6">
            <v>11.4</v>
          </cell>
          <cell r="I6">
            <v>11.4</v>
          </cell>
          <cell r="J6">
            <v>11.4</v>
          </cell>
          <cell r="K6">
            <v>11.4</v>
          </cell>
          <cell r="L6">
            <v>11.4</v>
          </cell>
          <cell r="M6">
            <v>11.4</v>
          </cell>
          <cell r="N6">
            <v>11.4</v>
          </cell>
          <cell r="O6">
            <v>11.4</v>
          </cell>
          <cell r="P6">
            <v>11.4</v>
          </cell>
          <cell r="Q6">
            <v>11.4</v>
          </cell>
          <cell r="R6">
            <v>11.4</v>
          </cell>
          <cell r="S6">
            <v>11.4</v>
          </cell>
          <cell r="T6">
            <v>11.4</v>
          </cell>
          <cell r="U6">
            <v>11.4</v>
          </cell>
          <cell r="V6">
            <v>11.4</v>
          </cell>
          <cell r="W6">
            <v>11.4</v>
          </cell>
          <cell r="X6">
            <v>11.4</v>
          </cell>
          <cell r="Y6">
            <v>11.4</v>
          </cell>
          <cell r="Z6">
            <v>11.4</v>
          </cell>
          <cell r="AA6">
            <v>11.4</v>
          </cell>
          <cell r="AB6">
            <v>11.4</v>
          </cell>
          <cell r="AC6">
            <v>11.4</v>
          </cell>
          <cell r="AD6">
            <v>11.4</v>
          </cell>
          <cell r="AE6">
            <v>11.4</v>
          </cell>
          <cell r="AF6">
            <v>11.4</v>
          </cell>
          <cell r="AG6">
            <v>11.4</v>
          </cell>
          <cell r="AH6">
            <v>11.4</v>
          </cell>
          <cell r="AI6">
            <v>11.4</v>
          </cell>
          <cell r="AJ6">
            <v>11.4</v>
          </cell>
          <cell r="AK6">
            <v>11.4</v>
          </cell>
          <cell r="AL6">
            <v>11.4</v>
          </cell>
          <cell r="AM6">
            <v>11.4</v>
          </cell>
          <cell r="AN6">
            <v>11.4</v>
          </cell>
          <cell r="AO6">
            <v>11.4</v>
          </cell>
        </row>
        <row r="9">
          <cell r="B9" t="str">
            <v>Price - volume mapping</v>
          </cell>
        </row>
        <row r="10">
          <cell r="B10" t="str">
            <v>Percentage of buyers willing to pay for a vehicle at a specified price point and vehicle class</v>
          </cell>
        </row>
        <row r="11">
          <cell r="B11" t="str">
            <v>This will be used to cap the annual sales in a given year (using the up front cost of an EV in that year). Assume this cost is in local currency.</v>
          </cell>
        </row>
        <row r="12">
          <cell r="B12" t="str">
            <v>Country</v>
          </cell>
          <cell r="C12" t="str">
            <v>Segment</v>
          </cell>
          <cell r="E12" t="str">
            <v>Tag</v>
          </cell>
          <cell r="F12" t="str">
            <v>Notes</v>
          </cell>
          <cell r="G12">
            <v>15000</v>
          </cell>
          <cell r="H12">
            <v>15500</v>
          </cell>
          <cell r="I12">
            <v>16000</v>
          </cell>
          <cell r="J12">
            <v>16500</v>
          </cell>
          <cell r="K12">
            <v>17000</v>
          </cell>
          <cell r="L12">
            <v>17500</v>
          </cell>
          <cell r="M12">
            <v>18000</v>
          </cell>
          <cell r="N12">
            <v>18500</v>
          </cell>
          <cell r="O12">
            <v>19000</v>
          </cell>
          <cell r="P12">
            <v>19500</v>
          </cell>
          <cell r="Q12">
            <v>20000</v>
          </cell>
          <cell r="R12">
            <v>20500</v>
          </cell>
          <cell r="S12">
            <v>21000</v>
          </cell>
          <cell r="T12">
            <v>21500</v>
          </cell>
          <cell r="U12">
            <v>22000</v>
          </cell>
          <cell r="V12">
            <v>22500</v>
          </cell>
          <cell r="W12">
            <v>23000</v>
          </cell>
          <cell r="X12">
            <v>23500</v>
          </cell>
          <cell r="Y12">
            <v>24000</v>
          </cell>
          <cell r="Z12">
            <v>24500</v>
          </cell>
          <cell r="AA12">
            <v>25000</v>
          </cell>
          <cell r="AB12">
            <v>25500</v>
          </cell>
          <cell r="AC12">
            <v>26000</v>
          </cell>
          <cell r="AD12">
            <v>26500</v>
          </cell>
          <cell r="AE12">
            <v>27000</v>
          </cell>
          <cell r="AF12">
            <v>27500</v>
          </cell>
          <cell r="AG12">
            <v>28000</v>
          </cell>
          <cell r="AH12">
            <v>28500</v>
          </cell>
          <cell r="AI12">
            <v>29000</v>
          </cell>
          <cell r="AJ12">
            <v>29500</v>
          </cell>
          <cell r="AK12">
            <v>30000</v>
          </cell>
          <cell r="AL12">
            <v>30500</v>
          </cell>
          <cell r="AM12">
            <v>31000</v>
          </cell>
          <cell r="AN12">
            <v>31500</v>
          </cell>
          <cell r="AO12">
            <v>32000</v>
          </cell>
          <cell r="AP12">
            <v>32500</v>
          </cell>
          <cell r="AQ12">
            <v>33000</v>
          </cell>
          <cell r="AR12">
            <v>33500</v>
          </cell>
          <cell r="AS12">
            <v>34000</v>
          </cell>
          <cell r="AT12">
            <v>34500</v>
          </cell>
          <cell r="AU12">
            <v>35000</v>
          </cell>
          <cell r="AV12">
            <v>35500</v>
          </cell>
          <cell r="AW12">
            <v>36000</v>
          </cell>
          <cell r="AX12">
            <v>36500</v>
          </cell>
          <cell r="AY12">
            <v>37000</v>
          </cell>
          <cell r="AZ12">
            <v>37500</v>
          </cell>
          <cell r="BA12">
            <v>38000</v>
          </cell>
          <cell r="BB12">
            <v>38500</v>
          </cell>
          <cell r="BC12">
            <v>39000</v>
          </cell>
          <cell r="BD12">
            <v>39500</v>
          </cell>
          <cell r="BE12">
            <v>40000</v>
          </cell>
          <cell r="BF12">
            <v>40500</v>
          </cell>
          <cell r="BG12">
            <v>41000</v>
          </cell>
          <cell r="BH12">
            <v>41500</v>
          </cell>
          <cell r="BI12">
            <v>42000</v>
          </cell>
          <cell r="BJ12">
            <v>42500</v>
          </cell>
          <cell r="BK12">
            <v>43000</v>
          </cell>
          <cell r="BL12">
            <v>43500</v>
          </cell>
          <cell r="BM12">
            <v>44000</v>
          </cell>
          <cell r="BN12">
            <v>44500</v>
          </cell>
          <cell r="BO12">
            <v>45000</v>
          </cell>
          <cell r="BP12">
            <v>45500</v>
          </cell>
          <cell r="BQ12">
            <v>46000</v>
          </cell>
          <cell r="BR12">
            <v>46500</v>
          </cell>
          <cell r="BS12">
            <v>47000</v>
          </cell>
          <cell r="BT12">
            <v>47500</v>
          </cell>
          <cell r="BU12">
            <v>48000</v>
          </cell>
          <cell r="BV12">
            <v>48500</v>
          </cell>
          <cell r="BW12">
            <v>49000</v>
          </cell>
          <cell r="BX12">
            <v>49500</v>
          </cell>
          <cell r="BY12">
            <v>50000</v>
          </cell>
          <cell r="BZ12">
            <v>50500</v>
          </cell>
          <cell r="CA12">
            <v>51000</v>
          </cell>
          <cell r="CB12">
            <v>51500</v>
          </cell>
          <cell r="CC12">
            <v>52000</v>
          </cell>
          <cell r="CD12">
            <v>52500</v>
          </cell>
          <cell r="CE12">
            <v>53000</v>
          </cell>
          <cell r="CF12">
            <v>53500</v>
          </cell>
          <cell r="CG12">
            <v>54000</v>
          </cell>
          <cell r="CH12">
            <v>54500</v>
          </cell>
          <cell r="CI12">
            <v>55000</v>
          </cell>
          <cell r="CJ12">
            <v>55500</v>
          </cell>
          <cell r="CK12">
            <v>56000</v>
          </cell>
          <cell r="CL12">
            <v>56500</v>
          </cell>
          <cell r="CM12">
            <v>57000</v>
          </cell>
          <cell r="CN12">
            <v>57500</v>
          </cell>
          <cell r="CO12">
            <v>58000</v>
          </cell>
          <cell r="CP12">
            <v>58500</v>
          </cell>
          <cell r="CQ12">
            <v>59000</v>
          </cell>
          <cell r="CR12">
            <v>59500</v>
          </cell>
          <cell r="CS12">
            <v>60000</v>
          </cell>
          <cell r="CT12">
            <v>60500</v>
          </cell>
          <cell r="CU12">
            <v>61000</v>
          </cell>
          <cell r="CV12">
            <v>61500</v>
          </cell>
          <cell r="CW12">
            <v>62000</v>
          </cell>
          <cell r="CX12">
            <v>62500</v>
          </cell>
          <cell r="CY12">
            <v>63000</v>
          </cell>
          <cell r="CZ12">
            <v>63500</v>
          </cell>
          <cell r="DA12">
            <v>64000</v>
          </cell>
          <cell r="DB12">
            <v>64500</v>
          </cell>
          <cell r="DC12">
            <v>65000</v>
          </cell>
          <cell r="DD12">
            <v>65500</v>
          </cell>
          <cell r="DE12">
            <v>66000</v>
          </cell>
          <cell r="DF12">
            <v>66500</v>
          </cell>
          <cell r="DG12">
            <v>67000</v>
          </cell>
          <cell r="DH12">
            <v>67500</v>
          </cell>
          <cell r="DI12">
            <v>68000</v>
          </cell>
          <cell r="DJ12">
            <v>68500</v>
          </cell>
          <cell r="DK12">
            <v>69000</v>
          </cell>
          <cell r="DL12">
            <v>69500</v>
          </cell>
          <cell r="DM12">
            <v>70000</v>
          </cell>
          <cell r="DN12">
            <v>70500</v>
          </cell>
          <cell r="DO12">
            <v>71000</v>
          </cell>
          <cell r="DP12">
            <v>71500</v>
          </cell>
          <cell r="DQ12">
            <v>72000</v>
          </cell>
          <cell r="DR12">
            <v>72500</v>
          </cell>
          <cell r="DS12">
            <v>73000</v>
          </cell>
          <cell r="DT12">
            <v>73500</v>
          </cell>
          <cell r="DU12">
            <v>74000</v>
          </cell>
          <cell r="DV12">
            <v>74500</v>
          </cell>
          <cell r="DW12">
            <v>75000</v>
          </cell>
          <cell r="DX12">
            <v>75500</v>
          </cell>
          <cell r="DY12">
            <v>76000</v>
          </cell>
          <cell r="DZ12">
            <v>76500</v>
          </cell>
          <cell r="EA12">
            <v>77000</v>
          </cell>
          <cell r="EB12">
            <v>77500</v>
          </cell>
          <cell r="EC12">
            <v>78000</v>
          </cell>
          <cell r="ED12">
            <v>78500</v>
          </cell>
          <cell r="EE12">
            <v>79000</v>
          </cell>
          <cell r="EF12">
            <v>79500</v>
          </cell>
          <cell r="EG12">
            <v>80000</v>
          </cell>
          <cell r="EH12">
            <v>80500</v>
          </cell>
          <cell r="EI12">
            <v>81000</v>
          </cell>
          <cell r="EJ12">
            <v>81500</v>
          </cell>
          <cell r="EK12">
            <v>82000</v>
          </cell>
          <cell r="EL12">
            <v>82500</v>
          </cell>
          <cell r="EM12">
            <v>83000</v>
          </cell>
          <cell r="EN12">
            <v>83500</v>
          </cell>
          <cell r="EO12">
            <v>84000</v>
          </cell>
          <cell r="EP12">
            <v>84500</v>
          </cell>
          <cell r="EQ12">
            <v>85000</v>
          </cell>
          <cell r="ER12">
            <v>85500</v>
          </cell>
          <cell r="ES12">
            <v>86000</v>
          </cell>
          <cell r="ET12">
            <v>86500</v>
          </cell>
          <cell r="EU12">
            <v>87000</v>
          </cell>
          <cell r="EV12">
            <v>87500</v>
          </cell>
          <cell r="EW12">
            <v>88000</v>
          </cell>
          <cell r="EX12">
            <v>88500</v>
          </cell>
          <cell r="EY12">
            <v>89000</v>
          </cell>
          <cell r="EZ12">
            <v>89500</v>
          </cell>
          <cell r="FA12">
            <v>90000</v>
          </cell>
        </row>
        <row r="13">
          <cell r="B13" t="str">
            <v>US</v>
          </cell>
          <cell r="C13" t="str">
            <v>Small</v>
          </cell>
          <cell r="D13" t="str">
            <v>volumeCap</v>
          </cell>
          <cell r="E13" t="str">
            <v>US_Small_volumeCap</v>
          </cell>
          <cell r="G13">
            <v>0.95785458008154889</v>
          </cell>
          <cell r="H13">
            <v>0.95371358817008378</v>
          </cell>
          <cell r="I13">
            <v>0.94084567985067347</v>
          </cell>
          <cell r="J13">
            <v>0.88780355693400037</v>
          </cell>
          <cell r="K13">
            <v>0.86553639840692853</v>
          </cell>
          <cell r="L13">
            <v>0.78750619826227619</v>
          </cell>
          <cell r="M13">
            <v>0.5510093297665033</v>
          </cell>
          <cell r="N13">
            <v>0.42523790272913042</v>
          </cell>
          <cell r="O13">
            <v>0.33209262809478846</v>
          </cell>
          <cell r="P13">
            <v>0.33209262809478846</v>
          </cell>
          <cell r="Q13">
            <v>0.32626231361785862</v>
          </cell>
          <cell r="R13">
            <v>0.32626231361785862</v>
          </cell>
          <cell r="S13">
            <v>0.32626231361785862</v>
          </cell>
          <cell r="T13">
            <v>0.31948646804855019</v>
          </cell>
          <cell r="U13">
            <v>0.21678047255235755</v>
          </cell>
          <cell r="V13">
            <v>0.1973345103451761</v>
          </cell>
          <cell r="W13">
            <v>0.14912979555999129</v>
          </cell>
          <cell r="X13">
            <v>0.14057500923817434</v>
          </cell>
          <cell r="Y13">
            <v>0.12089651349720959</v>
          </cell>
          <cell r="Z13">
            <v>0.12044368503668423</v>
          </cell>
          <cell r="AA13">
            <v>6.41528041412288E-2</v>
          </cell>
          <cell r="AB13">
            <v>6.41528041412288E-2</v>
          </cell>
          <cell r="AC13">
            <v>6.41528041412288E-2</v>
          </cell>
          <cell r="AD13">
            <v>6.41528041412288E-2</v>
          </cell>
          <cell r="AE13">
            <v>5.1604678779992495E-2</v>
          </cell>
          <cell r="AF13">
            <v>5.1604678779992495E-2</v>
          </cell>
          <cell r="AG13">
            <v>5.1604678779992495E-2</v>
          </cell>
          <cell r="AH13">
            <v>5.1604678779992495E-2</v>
          </cell>
          <cell r="AI13">
            <v>5.0353182511583258E-2</v>
          </cell>
          <cell r="AJ13">
            <v>5.0353182511583258E-2</v>
          </cell>
          <cell r="AK13">
            <v>4.517190900161392E-2</v>
          </cell>
          <cell r="AL13">
            <v>4.517190900161392E-2</v>
          </cell>
          <cell r="AM13">
            <v>4.517190900161392E-2</v>
          </cell>
          <cell r="AN13">
            <v>4.517190900161392E-2</v>
          </cell>
          <cell r="AO13">
            <v>4.517190900161392E-2</v>
          </cell>
          <cell r="AP13">
            <v>4.517190900161392E-2</v>
          </cell>
          <cell r="AQ13">
            <v>3.9860353545721858E-2</v>
          </cell>
          <cell r="AR13">
            <v>3.9860353545721858E-2</v>
          </cell>
          <cell r="AS13">
            <v>1.7518184201300611E-2</v>
          </cell>
          <cell r="AT13">
            <v>1.5898345340328027E-2</v>
          </cell>
          <cell r="AU13">
            <v>1.445576888456546E-2</v>
          </cell>
          <cell r="AV13">
            <v>1.445576888456546E-2</v>
          </cell>
          <cell r="AW13">
            <v>1.445576888456546E-2</v>
          </cell>
          <cell r="AX13">
            <v>1.445576888456546E-2</v>
          </cell>
          <cell r="AY13">
            <v>1.445576888456546E-2</v>
          </cell>
          <cell r="AZ13">
            <v>1.445576888456546E-2</v>
          </cell>
          <cell r="BA13">
            <v>9.1442134286733989E-3</v>
          </cell>
          <cell r="BB13">
            <v>9.1442134286733989E-3</v>
          </cell>
          <cell r="BC13">
            <v>9.1442134286733989E-3</v>
          </cell>
          <cell r="BD13">
            <v>9.1442134286733989E-3</v>
          </cell>
          <cell r="BE13">
            <v>9.1442134286733989E-3</v>
          </cell>
          <cell r="BF13">
            <v>9.1442134286733989E-3</v>
          </cell>
          <cell r="BG13">
            <v>9.1442134286733989E-3</v>
          </cell>
          <cell r="BH13">
            <v>9.1442134286733989E-3</v>
          </cell>
          <cell r="BI13">
            <v>9.1442134286733989E-3</v>
          </cell>
          <cell r="BJ13">
            <v>9.1442134286733989E-3</v>
          </cell>
          <cell r="BK13">
            <v>9.1442134286733989E-3</v>
          </cell>
          <cell r="BL13">
            <v>9.1442134286733989E-3</v>
          </cell>
          <cell r="BM13">
            <v>9.1442134286733989E-3</v>
          </cell>
          <cell r="BN13">
            <v>9.1442134286733989E-3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</row>
        <row r="14">
          <cell r="B14" t="str">
            <v>US</v>
          </cell>
          <cell r="C14" t="str">
            <v>Medium</v>
          </cell>
          <cell r="D14" t="str">
            <v>volumeCap</v>
          </cell>
          <cell r="E14" t="str">
            <v>US_Medium_volumeCap</v>
          </cell>
          <cell r="G14">
            <v>0.99999999999999978</v>
          </cell>
          <cell r="H14">
            <v>0.99999999999999978</v>
          </cell>
          <cell r="I14">
            <v>0.99999999999999978</v>
          </cell>
          <cell r="J14">
            <v>0.99999999999999978</v>
          </cell>
          <cell r="K14">
            <v>0.99999999999999978</v>
          </cell>
          <cell r="L14">
            <v>0.99999999999999978</v>
          </cell>
          <cell r="M14">
            <v>0.99999999999999978</v>
          </cell>
          <cell r="N14">
            <v>0.99999999999999978</v>
          </cell>
          <cell r="O14">
            <v>0.99999999999999978</v>
          </cell>
          <cell r="P14">
            <v>0.99999999999999978</v>
          </cell>
          <cell r="Q14">
            <v>0.9819075983058092</v>
          </cell>
          <cell r="R14">
            <v>0.9513238340989949</v>
          </cell>
          <cell r="S14">
            <v>0.9513238340989949</v>
          </cell>
          <cell r="T14">
            <v>0.9513238340989949</v>
          </cell>
          <cell r="U14">
            <v>0.9513238340989949</v>
          </cell>
          <cell r="V14">
            <v>0.9513238340989949</v>
          </cell>
          <cell r="W14">
            <v>0.86690803167273023</v>
          </cell>
          <cell r="X14">
            <v>0.73160820989399844</v>
          </cell>
          <cell r="Y14">
            <v>0.71592173210788101</v>
          </cell>
          <cell r="Z14">
            <v>0.65485759366309382</v>
          </cell>
          <cell r="AA14">
            <v>0.58190473260558595</v>
          </cell>
          <cell r="AB14">
            <v>0.47963533683707321</v>
          </cell>
          <cell r="AC14">
            <v>0.4129214142118221</v>
          </cell>
          <cell r="AD14">
            <v>0.37704383074444003</v>
          </cell>
          <cell r="AE14">
            <v>0.33745713214488249</v>
          </cell>
          <cell r="AF14">
            <v>0.31727459546918746</v>
          </cell>
          <cell r="AG14">
            <v>0.29792690469678434</v>
          </cell>
          <cell r="AH14">
            <v>0.2838580023063268</v>
          </cell>
          <cell r="AI14">
            <v>0.26145342415355438</v>
          </cell>
          <cell r="AJ14">
            <v>0.24633685547557346</v>
          </cell>
          <cell r="AK14">
            <v>0.22778144652961596</v>
          </cell>
          <cell r="AL14">
            <v>0.20942607469728583</v>
          </cell>
          <cell r="AM14">
            <v>0.20849682925722596</v>
          </cell>
          <cell r="AN14">
            <v>0.20849682925722596</v>
          </cell>
          <cell r="AO14">
            <v>0.16549643550439624</v>
          </cell>
          <cell r="AP14">
            <v>0.13395027363925247</v>
          </cell>
          <cell r="AQ14">
            <v>0.13395027363925247</v>
          </cell>
          <cell r="AR14">
            <v>0.11592431685710228</v>
          </cell>
          <cell r="AS14">
            <v>8.862880318103962E-2</v>
          </cell>
          <cell r="AT14">
            <v>7.652613638007838E-2</v>
          </cell>
          <cell r="AU14">
            <v>7.652613638007838E-2</v>
          </cell>
          <cell r="AV14">
            <v>7.652613638007838E-2</v>
          </cell>
          <cell r="AW14">
            <v>7.4197473997633545E-2</v>
          </cell>
          <cell r="AX14">
            <v>6.8424352327166316E-2</v>
          </cell>
          <cell r="AY14">
            <v>6.8424352327166316E-2</v>
          </cell>
          <cell r="AZ14">
            <v>6.8424352327166316E-2</v>
          </cell>
          <cell r="BA14">
            <v>6.8424352327166316E-2</v>
          </cell>
          <cell r="BB14">
            <v>6.8424352327166316E-2</v>
          </cell>
          <cell r="BC14">
            <v>6.0418793992537086E-2</v>
          </cell>
          <cell r="BD14">
            <v>5.1433278561935435E-2</v>
          </cell>
          <cell r="BE14">
            <v>4.2078453038829254E-2</v>
          </cell>
          <cell r="BF14">
            <v>4.2078453038829254E-2</v>
          </cell>
          <cell r="BG14">
            <v>4.1309490145573356E-2</v>
          </cell>
          <cell r="BH14">
            <v>4.1309490145573356E-2</v>
          </cell>
          <cell r="BI14">
            <v>3.9874532901399265E-2</v>
          </cell>
          <cell r="BJ14">
            <v>3.9448892132936467E-2</v>
          </cell>
          <cell r="BK14">
            <v>3.6636291649054555E-2</v>
          </cell>
          <cell r="BL14">
            <v>2.1646150922102259E-2</v>
          </cell>
          <cell r="BM14">
            <v>2.1646150922102259E-2</v>
          </cell>
          <cell r="BN14">
            <v>1.8462414164200972E-2</v>
          </cell>
          <cell r="BO14">
            <v>1.1705823510232728E-2</v>
          </cell>
          <cell r="BP14">
            <v>1.1705823510232728E-2</v>
          </cell>
          <cell r="BQ14">
            <v>1.1705823510232728E-2</v>
          </cell>
          <cell r="BR14">
            <v>1.1705823510232728E-2</v>
          </cell>
          <cell r="BS14">
            <v>1.1705823510232728E-2</v>
          </cell>
          <cell r="BT14">
            <v>1.1390736961169341E-2</v>
          </cell>
          <cell r="BU14">
            <v>1.1390736961169341E-2</v>
          </cell>
          <cell r="BV14">
            <v>1.1390736961169341E-2</v>
          </cell>
          <cell r="BW14">
            <v>1.1390736961169341E-2</v>
          </cell>
          <cell r="BX14">
            <v>1.1390736961169341E-2</v>
          </cell>
          <cell r="BY14">
            <v>1.1390736961169341E-2</v>
          </cell>
          <cell r="BZ14">
            <v>1.1390736961169341E-2</v>
          </cell>
          <cell r="CA14">
            <v>5.5291157249821215E-3</v>
          </cell>
          <cell r="CB14">
            <v>5.5291157249821215E-3</v>
          </cell>
          <cell r="CC14">
            <v>5.3373666659221469E-3</v>
          </cell>
          <cell r="CD14">
            <v>5.3373666659221469E-3</v>
          </cell>
          <cell r="CE14">
            <v>4.1776009284868725E-3</v>
          </cell>
          <cell r="CF14">
            <v>4.1776009284868725E-3</v>
          </cell>
          <cell r="CG14">
            <v>4.1776009284868725E-3</v>
          </cell>
          <cell r="CH14">
            <v>4.1776009284868725E-3</v>
          </cell>
          <cell r="CI14">
            <v>4.1776009284868725E-3</v>
          </cell>
          <cell r="CJ14">
            <v>4.1776009284868725E-3</v>
          </cell>
          <cell r="CK14">
            <v>4.1776009284868725E-3</v>
          </cell>
          <cell r="CL14">
            <v>4.1776009284868725E-3</v>
          </cell>
          <cell r="CM14">
            <v>4.1776009284868725E-3</v>
          </cell>
          <cell r="CN14">
            <v>4.1776009284868725E-3</v>
          </cell>
          <cell r="CO14">
            <v>4.1776009284868725E-3</v>
          </cell>
          <cell r="CP14">
            <v>4.1776009284868725E-3</v>
          </cell>
          <cell r="CQ14">
            <v>4.1776009284868725E-3</v>
          </cell>
          <cell r="CR14">
            <v>4.1776009284868725E-3</v>
          </cell>
          <cell r="CS14">
            <v>4.1776009284868725E-3</v>
          </cell>
          <cell r="CT14">
            <v>4.1776009284868725E-3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</row>
        <row r="15">
          <cell r="B15" t="str">
            <v>US</v>
          </cell>
          <cell r="C15" t="str">
            <v>Large</v>
          </cell>
          <cell r="D15" t="str">
            <v>volumeCap</v>
          </cell>
          <cell r="E15" t="str">
            <v>US_Large_volumeCap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0.9579973377989609</v>
          </cell>
          <cell r="V15">
            <v>0.82180046850921518</v>
          </cell>
          <cell r="W15">
            <v>0.80389406539090946</v>
          </cell>
          <cell r="X15">
            <v>0.80389406539090946</v>
          </cell>
          <cell r="Y15">
            <v>0.80389406539090946</v>
          </cell>
          <cell r="Z15">
            <v>0.80389406539090946</v>
          </cell>
          <cell r="AA15">
            <v>0.80389406539090946</v>
          </cell>
          <cell r="AB15">
            <v>0.80389406539090946</v>
          </cell>
          <cell r="AC15">
            <v>0.67047485460470146</v>
          </cell>
          <cell r="AD15">
            <v>0.67047485460470146</v>
          </cell>
          <cell r="AE15">
            <v>0.65398542945882909</v>
          </cell>
          <cell r="AF15">
            <v>0.65398542945882909</v>
          </cell>
          <cell r="AG15">
            <v>0.65398542945882909</v>
          </cell>
          <cell r="AH15">
            <v>0.55995916050018868</v>
          </cell>
          <cell r="AI15">
            <v>0.55526834318538576</v>
          </cell>
          <cell r="AJ15">
            <v>0.55526834318538576</v>
          </cell>
          <cell r="AK15">
            <v>0.55526834318538576</v>
          </cell>
          <cell r="AL15">
            <v>0.43863244927266565</v>
          </cell>
          <cell r="AM15">
            <v>0.42159054584663236</v>
          </cell>
          <cell r="AN15">
            <v>0.42159054584663236</v>
          </cell>
          <cell r="AO15">
            <v>0.38872715301930805</v>
          </cell>
          <cell r="AP15">
            <v>0.26560846560846557</v>
          </cell>
          <cell r="AQ15">
            <v>0.2389730965024022</v>
          </cell>
          <cell r="AR15">
            <v>0.18713174078367947</v>
          </cell>
          <cell r="AS15">
            <v>0.18713174078367947</v>
          </cell>
          <cell r="AT15">
            <v>0.14052509291463308</v>
          </cell>
          <cell r="AU15">
            <v>0.14052509291463308</v>
          </cell>
          <cell r="AV15">
            <v>0.14052509291463308</v>
          </cell>
          <cell r="AW15">
            <v>0.14052509291463308</v>
          </cell>
          <cell r="AX15">
            <v>0.14052509291463308</v>
          </cell>
          <cell r="AY15">
            <v>0.14052509291463308</v>
          </cell>
          <cell r="AZ15">
            <v>0.12904900262880428</v>
          </cell>
          <cell r="BA15">
            <v>0.12904900262880428</v>
          </cell>
          <cell r="BB15">
            <v>0.124365818865368</v>
          </cell>
          <cell r="BC15">
            <v>0.124365818865368</v>
          </cell>
          <cell r="BD15">
            <v>0.124365818865368</v>
          </cell>
          <cell r="BE15">
            <v>0.124365818865368</v>
          </cell>
          <cell r="BF15">
            <v>0.11639066607506644</v>
          </cell>
          <cell r="BG15">
            <v>0.11639066607506644</v>
          </cell>
          <cell r="BH15">
            <v>0.11639066607506644</v>
          </cell>
          <cell r="BI15">
            <v>0.11639066607506644</v>
          </cell>
          <cell r="BJ15">
            <v>0.11639066607506644</v>
          </cell>
          <cell r="BK15">
            <v>0.11639066607506644</v>
          </cell>
          <cell r="BL15">
            <v>0.11639066607506644</v>
          </cell>
          <cell r="BM15">
            <v>0.11639066607506644</v>
          </cell>
          <cell r="BN15">
            <v>0.11639066607506644</v>
          </cell>
          <cell r="BO15">
            <v>0.11639066607506644</v>
          </cell>
          <cell r="BP15">
            <v>0.11639066607506644</v>
          </cell>
          <cell r="BQ15">
            <v>0.11639066607506644</v>
          </cell>
          <cell r="BR15">
            <v>0.11639066607506644</v>
          </cell>
          <cell r="BS15">
            <v>0.11639066607506644</v>
          </cell>
          <cell r="BT15">
            <v>0.11639066607506644</v>
          </cell>
          <cell r="BU15">
            <v>0.11639066607506644</v>
          </cell>
          <cell r="BV15">
            <v>0.11347751203477081</v>
          </cell>
          <cell r="BW15">
            <v>0.11347751203477081</v>
          </cell>
          <cell r="BX15">
            <v>0.11347751203477081</v>
          </cell>
          <cell r="BY15">
            <v>0.11347751203477081</v>
          </cell>
          <cell r="BZ15">
            <v>8.1723846737372416E-2</v>
          </cell>
          <cell r="CA15">
            <v>8.1723846737372416E-2</v>
          </cell>
          <cell r="CB15">
            <v>8.1723846737372416E-2</v>
          </cell>
          <cell r="CC15">
            <v>8.1723846737372416E-2</v>
          </cell>
          <cell r="CD15">
            <v>6.3473933807567717E-2</v>
          </cell>
          <cell r="CE15">
            <v>6.3473933807567717E-2</v>
          </cell>
          <cell r="CF15">
            <v>6.3473933807567717E-2</v>
          </cell>
          <cell r="CG15">
            <v>6.2095123591967595E-2</v>
          </cell>
          <cell r="CH15">
            <v>6.2095123591967595E-2</v>
          </cell>
          <cell r="CI15">
            <v>6.2095123591967595E-2</v>
          </cell>
          <cell r="CJ15">
            <v>5.6295532941159632E-2</v>
          </cell>
          <cell r="CK15">
            <v>5.6295532941159632E-2</v>
          </cell>
          <cell r="CL15">
            <v>5.6295532941159632E-2</v>
          </cell>
          <cell r="CM15">
            <v>3.5196396963754942E-2</v>
          </cell>
          <cell r="CN15">
            <v>3.5196396963754942E-2</v>
          </cell>
          <cell r="CO15">
            <v>3.5196396963754942E-2</v>
          </cell>
          <cell r="CP15">
            <v>3.5196396963754942E-2</v>
          </cell>
          <cell r="CQ15">
            <v>3.5196396963754942E-2</v>
          </cell>
          <cell r="CR15">
            <v>3.5196396963754942E-2</v>
          </cell>
          <cell r="CS15">
            <v>3.5196396963754942E-2</v>
          </cell>
          <cell r="CT15">
            <v>3.5196396963754942E-2</v>
          </cell>
          <cell r="CU15">
            <v>3.5196396963754942E-2</v>
          </cell>
          <cell r="CV15">
            <v>3.5196396963754942E-2</v>
          </cell>
          <cell r="CW15">
            <v>3.5196396963754942E-2</v>
          </cell>
          <cell r="CX15">
            <v>3.5196396963754942E-2</v>
          </cell>
          <cell r="CY15">
            <v>3.5196396963754942E-2</v>
          </cell>
          <cell r="CZ15">
            <v>3.5196396963754942E-2</v>
          </cell>
          <cell r="DA15">
            <v>3.5196396963754942E-2</v>
          </cell>
          <cell r="DB15">
            <v>3.5196396963754942E-2</v>
          </cell>
          <cell r="DC15">
            <v>3.5196396963754942E-2</v>
          </cell>
          <cell r="DD15">
            <v>3.3713579610784299E-2</v>
          </cell>
          <cell r="DE15">
            <v>3.3713579610784299E-2</v>
          </cell>
          <cell r="DF15">
            <v>3.3713579610784299E-2</v>
          </cell>
          <cell r="DG15">
            <v>3.3713579610784299E-2</v>
          </cell>
          <cell r="DH15">
            <v>3.3713579610784299E-2</v>
          </cell>
          <cell r="DI15">
            <v>3.3713579610784299E-2</v>
          </cell>
          <cell r="DJ15">
            <v>3.3713579610784299E-2</v>
          </cell>
          <cell r="DK15">
            <v>3.3713579610784299E-2</v>
          </cell>
          <cell r="DL15">
            <v>3.3713579610784299E-2</v>
          </cell>
          <cell r="DM15">
            <v>3.3713579610784299E-2</v>
          </cell>
          <cell r="DN15">
            <v>3.3713579610784299E-2</v>
          </cell>
          <cell r="DO15">
            <v>3.3713579610784299E-2</v>
          </cell>
          <cell r="DP15">
            <v>3.3713579610784299E-2</v>
          </cell>
          <cell r="DQ15">
            <v>3.3713579610784299E-2</v>
          </cell>
          <cell r="DR15">
            <v>2.7427350060352768E-2</v>
          </cell>
          <cell r="DS15">
            <v>2.7427350060352768E-2</v>
          </cell>
          <cell r="DT15">
            <v>2.7427350060352768E-2</v>
          </cell>
          <cell r="DU15">
            <v>2.7427350060352768E-2</v>
          </cell>
          <cell r="DV15">
            <v>2.7427350060352768E-2</v>
          </cell>
          <cell r="DW15">
            <v>2.7427350060352768E-2</v>
          </cell>
          <cell r="DX15">
            <v>2.7427350060352768E-2</v>
          </cell>
          <cell r="DY15">
            <v>2.7427350060352768E-2</v>
          </cell>
          <cell r="DZ15">
            <v>2.2599128820950283E-2</v>
          </cell>
          <cell r="EA15">
            <v>2.2599128820950283E-2</v>
          </cell>
          <cell r="EB15">
            <v>2.2599128820950283E-2</v>
          </cell>
          <cell r="EC15">
            <v>2.2599128820950283E-2</v>
          </cell>
          <cell r="ED15">
            <v>2.2599128820950283E-2</v>
          </cell>
          <cell r="EE15">
            <v>2.2599128820950283E-2</v>
          </cell>
          <cell r="EF15">
            <v>2.2599128820950283E-2</v>
          </cell>
          <cell r="EG15">
            <v>2.2599128820950283E-2</v>
          </cell>
          <cell r="EH15">
            <v>2.2599128820950283E-2</v>
          </cell>
          <cell r="EI15">
            <v>2.2599128820950283E-2</v>
          </cell>
          <cell r="EJ15">
            <v>2.2599128820950283E-2</v>
          </cell>
          <cell r="EK15">
            <v>2.2599128820950283E-2</v>
          </cell>
          <cell r="EL15">
            <v>2.2599128820950283E-2</v>
          </cell>
          <cell r="EM15">
            <v>2.2599128820950283E-2</v>
          </cell>
          <cell r="EN15">
            <v>1.8713651175328361E-2</v>
          </cell>
          <cell r="EO15">
            <v>1.8713651175328361E-2</v>
          </cell>
          <cell r="EP15">
            <v>1.8713651175328361E-2</v>
          </cell>
          <cell r="EQ15">
            <v>1.8713651175328361E-2</v>
          </cell>
          <cell r="ER15">
            <v>1.8713651175328361E-2</v>
          </cell>
          <cell r="ES15">
            <v>1.8713651175328361E-2</v>
          </cell>
          <cell r="ET15">
            <v>1.8713651175328361E-2</v>
          </cell>
          <cell r="EU15">
            <v>1.8713651175328361E-2</v>
          </cell>
          <cell r="EV15">
            <v>1.8713651175328361E-2</v>
          </cell>
          <cell r="EW15">
            <v>1.8713651175328361E-2</v>
          </cell>
          <cell r="EX15">
            <v>1.8713651175328361E-2</v>
          </cell>
          <cell r="EY15">
            <v>1.8713651175328361E-2</v>
          </cell>
          <cell r="EZ15">
            <v>1.8713651175328361E-2</v>
          </cell>
          <cell r="FA15">
            <v>1.8713651175328361E-2</v>
          </cell>
        </row>
        <row r="16">
          <cell r="B16" t="str">
            <v>US</v>
          </cell>
          <cell r="C16" t="str">
            <v>SUV</v>
          </cell>
          <cell r="D16" t="str">
            <v>volumeCap</v>
          </cell>
          <cell r="E16" t="str">
            <v>US_SUV_volumeCap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0.92989275525367332</v>
          </cell>
          <cell r="Z16">
            <v>0.92989275525367332</v>
          </cell>
          <cell r="AA16">
            <v>0.92989275525367332</v>
          </cell>
          <cell r="AB16">
            <v>0.89817557502276624</v>
          </cell>
          <cell r="AC16">
            <v>0.89817557502276624</v>
          </cell>
          <cell r="AD16">
            <v>0.85888988036887937</v>
          </cell>
          <cell r="AE16">
            <v>0.84555034163305898</v>
          </cell>
          <cell r="AF16">
            <v>0.84555034163305898</v>
          </cell>
          <cell r="AG16">
            <v>0.84555034163305898</v>
          </cell>
          <cell r="AH16">
            <v>0.84555034163305898</v>
          </cell>
          <cell r="AI16">
            <v>0.84555034163305898</v>
          </cell>
          <cell r="AJ16">
            <v>0.84555034163305898</v>
          </cell>
          <cell r="AK16">
            <v>0.76813843422303896</v>
          </cell>
          <cell r="AL16">
            <v>0.76813843422303896</v>
          </cell>
          <cell r="AM16">
            <v>0.76813843422303896</v>
          </cell>
          <cell r="AN16">
            <v>0.76813843422303896</v>
          </cell>
          <cell r="AO16">
            <v>0.76813843422303896</v>
          </cell>
          <cell r="AP16">
            <v>0.76813843422303896</v>
          </cell>
          <cell r="AQ16">
            <v>0.73178515870500083</v>
          </cell>
          <cell r="AR16">
            <v>0.60502710893596257</v>
          </cell>
          <cell r="AS16">
            <v>0.60502710893596257</v>
          </cell>
          <cell r="AT16">
            <v>0.52225131513611245</v>
          </cell>
          <cell r="AU16">
            <v>0.50343062256189053</v>
          </cell>
          <cell r="AV16">
            <v>0.49562024402623117</v>
          </cell>
          <cell r="AW16">
            <v>0.49562024402623117</v>
          </cell>
          <cell r="AX16">
            <v>0.49562024402623117</v>
          </cell>
          <cell r="AY16">
            <v>0.49562024402623117</v>
          </cell>
          <cell r="AZ16">
            <v>0.48961028728692579</v>
          </cell>
          <cell r="BA16">
            <v>0.48961028728692579</v>
          </cell>
          <cell r="BB16">
            <v>0.48961028728692579</v>
          </cell>
          <cell r="BC16">
            <v>0.41248421928279944</v>
          </cell>
          <cell r="BD16">
            <v>0.40533750121390111</v>
          </cell>
          <cell r="BE16">
            <v>0.40533750121390111</v>
          </cell>
          <cell r="BF16">
            <v>0.40533750121390111</v>
          </cell>
          <cell r="BG16">
            <v>0.40533750121390111</v>
          </cell>
          <cell r="BH16">
            <v>0.36541563065151217</v>
          </cell>
          <cell r="BI16">
            <v>0.32563887855673079</v>
          </cell>
          <cell r="BJ16">
            <v>0.30078734097892657</v>
          </cell>
          <cell r="BK16">
            <v>0.2631247011054289</v>
          </cell>
          <cell r="BL16">
            <v>0.25846441940702974</v>
          </cell>
          <cell r="BM16">
            <v>0.22929011050624717</v>
          </cell>
          <cell r="BN16">
            <v>0.20894933862991302</v>
          </cell>
          <cell r="BO16">
            <v>0.20894933862991302</v>
          </cell>
          <cell r="BP16">
            <v>0.20894933862991302</v>
          </cell>
          <cell r="BQ16">
            <v>0.2044774177707824</v>
          </cell>
          <cell r="BR16">
            <v>0.20232556008948968</v>
          </cell>
          <cell r="BS16">
            <v>0.14375999750806673</v>
          </cell>
          <cell r="BT16">
            <v>0.14375999750806673</v>
          </cell>
          <cell r="BU16">
            <v>0.14375999750806673</v>
          </cell>
          <cell r="BV16">
            <v>0.12454206145180767</v>
          </cell>
          <cell r="BW16">
            <v>0.12454206145180767</v>
          </cell>
          <cell r="BX16">
            <v>0.12454206145180767</v>
          </cell>
          <cell r="BY16">
            <v>0.10908511234771265</v>
          </cell>
          <cell r="BZ16">
            <v>0.10908511234771265</v>
          </cell>
          <cell r="CA16">
            <v>0.10908511234771265</v>
          </cell>
          <cell r="CB16">
            <v>0.10908511234771265</v>
          </cell>
          <cell r="CC16">
            <v>7.4420488089108588E-2</v>
          </cell>
          <cell r="CD16">
            <v>7.4420488089108588E-2</v>
          </cell>
          <cell r="CE16">
            <v>7.3033434048970142E-2</v>
          </cell>
          <cell r="CF16">
            <v>7.3033434048970142E-2</v>
          </cell>
          <cell r="CG16">
            <v>7.3033434048970142E-2</v>
          </cell>
          <cell r="CH16">
            <v>7.3033434048970142E-2</v>
          </cell>
          <cell r="CI16">
            <v>7.3033434048970142E-2</v>
          </cell>
          <cell r="CJ16">
            <v>6.259773050840936E-2</v>
          </cell>
          <cell r="CK16">
            <v>6.259773050840936E-2</v>
          </cell>
          <cell r="CL16">
            <v>6.0591724216277829E-2</v>
          </cell>
          <cell r="CM16">
            <v>6.0591724216277829E-2</v>
          </cell>
          <cell r="CN16">
            <v>6.0591724216277829E-2</v>
          </cell>
          <cell r="CO16">
            <v>6.0591724216277829E-2</v>
          </cell>
          <cell r="CP16">
            <v>6.0591724216277829E-2</v>
          </cell>
          <cell r="CQ16">
            <v>4.313133404548878E-2</v>
          </cell>
          <cell r="CR16">
            <v>4.313133404548878E-2</v>
          </cell>
          <cell r="CS16">
            <v>4.313133404548878E-2</v>
          </cell>
          <cell r="CT16">
            <v>4.313133404548878E-2</v>
          </cell>
          <cell r="CU16">
            <v>4.313133404548878E-2</v>
          </cell>
          <cell r="CV16">
            <v>3.9261141781842236E-2</v>
          </cell>
          <cell r="CW16">
            <v>3.9261141781842236E-2</v>
          </cell>
          <cell r="CX16">
            <v>3.9261141781842236E-2</v>
          </cell>
          <cell r="CY16">
            <v>3.9261141781842236E-2</v>
          </cell>
          <cell r="CZ16">
            <v>3.9261141781842236E-2</v>
          </cell>
          <cell r="DA16">
            <v>3.9261141781842236E-2</v>
          </cell>
          <cell r="DB16">
            <v>3.9261141781842236E-2</v>
          </cell>
          <cell r="DC16">
            <v>3.9261141781842236E-2</v>
          </cell>
          <cell r="DD16">
            <v>3.08475688075916E-2</v>
          </cell>
          <cell r="DE16">
            <v>3.08475688075916E-2</v>
          </cell>
          <cell r="DF16">
            <v>3.08475688075916E-2</v>
          </cell>
          <cell r="DG16">
            <v>3.08475688075916E-2</v>
          </cell>
          <cell r="DH16">
            <v>2.7963522494278633E-2</v>
          </cell>
          <cell r="DI16">
            <v>2.2278616463983318E-2</v>
          </cell>
          <cell r="DJ16">
            <v>2.0959724128327237E-2</v>
          </cell>
          <cell r="DK16">
            <v>1.4125230641251391E-2</v>
          </cell>
          <cell r="DL16">
            <v>1.4125230641251391E-2</v>
          </cell>
          <cell r="DM16">
            <v>1.4125230641251391E-2</v>
          </cell>
          <cell r="DN16">
            <v>1.4125230641251391E-2</v>
          </cell>
          <cell r="DO16">
            <v>7.925813680347258E-3</v>
          </cell>
          <cell r="DP16">
            <v>9.9310870509252227E-4</v>
          </cell>
          <cell r="DQ16">
            <v>9.9310870509252227E-4</v>
          </cell>
          <cell r="DR16">
            <v>9.9310870509252227E-4</v>
          </cell>
          <cell r="DS16">
            <v>9.9310870509252227E-4</v>
          </cell>
          <cell r="DT16">
            <v>9.9310870509252227E-4</v>
          </cell>
          <cell r="DU16">
            <v>9.9310870509252227E-4</v>
          </cell>
          <cell r="DV16">
            <v>9.9310870509252227E-4</v>
          </cell>
          <cell r="DW16">
            <v>9.9310870509252227E-4</v>
          </cell>
          <cell r="DX16">
            <v>9.9310870509252227E-4</v>
          </cell>
          <cell r="DY16">
            <v>9.9310870509252227E-4</v>
          </cell>
          <cell r="DZ16">
            <v>9.9310870509252227E-4</v>
          </cell>
          <cell r="EA16">
            <v>9.9310870509252227E-4</v>
          </cell>
          <cell r="EB16">
            <v>9.9310870509252227E-4</v>
          </cell>
          <cell r="EC16">
            <v>9.9310870509252227E-4</v>
          </cell>
          <cell r="ED16">
            <v>9.9310870509252227E-4</v>
          </cell>
          <cell r="EE16">
            <v>9.9310870509252227E-4</v>
          </cell>
          <cell r="EF16">
            <v>9.9310870509252227E-4</v>
          </cell>
          <cell r="EG16">
            <v>9.9310870509252227E-4</v>
          </cell>
          <cell r="EH16">
            <v>9.9310870509252227E-4</v>
          </cell>
          <cell r="EI16">
            <v>9.9310870509252227E-4</v>
          </cell>
          <cell r="EJ16">
            <v>9.9310870509252227E-4</v>
          </cell>
          <cell r="EK16">
            <v>9.9310870509252227E-4</v>
          </cell>
          <cell r="EL16">
            <v>9.9310870509252227E-4</v>
          </cell>
          <cell r="EM16">
            <v>9.9310870509252227E-4</v>
          </cell>
          <cell r="EN16">
            <v>9.9310870509252227E-4</v>
          </cell>
          <cell r="EO16">
            <v>9.9310870509252227E-4</v>
          </cell>
          <cell r="EP16">
            <v>9.9310870509252227E-4</v>
          </cell>
          <cell r="EQ16">
            <v>9.9310870509252227E-4</v>
          </cell>
          <cell r="ER16">
            <v>9.9310870509252227E-4</v>
          </cell>
          <cell r="ES16">
            <v>9.9310870509252227E-4</v>
          </cell>
          <cell r="ET16">
            <v>9.9310870509252227E-4</v>
          </cell>
          <cell r="EU16">
            <v>9.9310870509252227E-4</v>
          </cell>
          <cell r="EV16">
            <v>9.9310870509252227E-4</v>
          </cell>
          <cell r="EW16">
            <v>9.9310870509252227E-4</v>
          </cell>
          <cell r="EX16">
            <v>9.9310870509252227E-4</v>
          </cell>
          <cell r="EY16">
            <v>9.9310870509252227E-4</v>
          </cell>
          <cell r="EZ16">
            <v>9.9310870509252227E-4</v>
          </cell>
          <cell r="FA16">
            <v>9.9310870509252227E-4</v>
          </cell>
        </row>
        <row r="17">
          <cell r="B17" t="str">
            <v>US</v>
          </cell>
          <cell r="C17" t="str">
            <v>All</v>
          </cell>
          <cell r="D17" t="str">
            <v>volumeCap</v>
          </cell>
          <cell r="E17" t="str">
            <v>US_All_volumeCap</v>
          </cell>
          <cell r="G17">
            <v>0.99196929233963516</v>
          </cell>
          <cell r="H17">
            <v>0.99118023636322639</v>
          </cell>
          <cell r="I17">
            <v>0.98872828760785703</v>
          </cell>
          <cell r="J17">
            <v>0.97862123959046465</v>
          </cell>
          <cell r="K17">
            <v>0.97437828647945202</v>
          </cell>
          <cell r="L17">
            <v>0.9595098208845193</v>
          </cell>
          <cell r="M17">
            <v>0.91444591555017285</v>
          </cell>
          <cell r="N17">
            <v>0.89048047483280823</v>
          </cell>
          <cell r="O17">
            <v>0.87273186841293626</v>
          </cell>
          <cell r="P17">
            <v>0.87273186841293626</v>
          </cell>
          <cell r="Q17">
            <v>0.86193213020288739</v>
          </cell>
          <cell r="R17">
            <v>0.84555400922283008</v>
          </cell>
          <cell r="S17">
            <v>0.84555400922283008</v>
          </cell>
          <cell r="T17">
            <v>0.84426288826534102</v>
          </cell>
          <cell r="U17">
            <v>0.82138109244645763</v>
          </cell>
          <cell r="V17">
            <v>0.81767571145932905</v>
          </cell>
          <cell r="W17">
            <v>0.76187262564789304</v>
          </cell>
          <cell r="X17">
            <v>0.68778719786957143</v>
          </cell>
          <cell r="Y17">
            <v>0.66124553339702541</v>
          </cell>
          <cell r="Z17">
            <v>0.62790334835365702</v>
          </cell>
          <cell r="AA17">
            <v>0.57810977123470075</v>
          </cell>
          <cell r="AB17">
            <v>0.51683189022876541</v>
          </cell>
          <cell r="AC17">
            <v>0.47058692103422078</v>
          </cell>
          <cell r="AD17">
            <v>0.44330931084547626</v>
          </cell>
          <cell r="AE17">
            <v>0.41568061625956348</v>
          </cell>
          <cell r="AF17">
            <v>0.40487252785279609</v>
          </cell>
          <cell r="AG17">
            <v>0.39451151349196223</v>
          </cell>
          <cell r="AH17">
            <v>0.37956451091167609</v>
          </cell>
          <cell r="AI17">
            <v>0.36695819635750893</v>
          </cell>
          <cell r="AJ17">
            <v>0.35886301916031643</v>
          </cell>
          <cell r="AK17">
            <v>0.3320479045519858</v>
          </cell>
          <cell r="AL17">
            <v>0.31302292166612761</v>
          </cell>
          <cell r="AM17">
            <v>0.31118174090317541</v>
          </cell>
          <cell r="AN17">
            <v>0.31118174090317541</v>
          </cell>
          <cell r="AO17">
            <v>0.28556341259751306</v>
          </cell>
          <cell r="AP17">
            <v>0.25896344720193182</v>
          </cell>
          <cell r="AQ17">
            <v>0.24838886339529531</v>
          </cell>
          <cell r="AR17">
            <v>0.20862770911224621</v>
          </cell>
          <cell r="AS17">
            <v>0.18975325544831528</v>
          </cell>
          <cell r="AT17">
            <v>0.16229683068659678</v>
          </cell>
          <cell r="AU17">
            <v>0.15815844310206045</v>
          </cell>
          <cell r="AV17">
            <v>0.15655513010509212</v>
          </cell>
          <cell r="AW17">
            <v>0.15530809216811728</v>
          </cell>
          <cell r="AX17">
            <v>0.15221648825330431</v>
          </cell>
          <cell r="AY17">
            <v>0.15221648825330431</v>
          </cell>
          <cell r="AZ17">
            <v>0.15007801039637103</v>
          </cell>
          <cell r="BA17">
            <v>0.14906590637247893</v>
          </cell>
          <cell r="BB17">
            <v>0.14869669226892146</v>
          </cell>
          <cell r="BC17">
            <v>0.12857715656994984</v>
          </cell>
          <cell r="BD17">
            <v>0.12229818477255119</v>
          </cell>
          <cell r="BE17">
            <v>0.11728851810337697</v>
          </cell>
          <cell r="BF17">
            <v>0.11665977085856576</v>
          </cell>
          <cell r="BG17">
            <v>0.11624797827444316</v>
          </cell>
          <cell r="BH17">
            <v>0.10805282439761985</v>
          </cell>
          <cell r="BI17">
            <v>9.9119016632689169E-2</v>
          </cell>
          <cell r="BJ17">
            <v>9.3789559997291869E-2</v>
          </cell>
          <cell r="BK17">
            <v>8.4551985616598116E-2</v>
          </cell>
          <cell r="BL17">
            <v>7.556785099036345E-2</v>
          </cell>
          <cell r="BM17">
            <v>6.9578954495189249E-2</v>
          </cell>
          <cell r="BN17">
            <v>6.3698460103361901E-2</v>
          </cell>
          <cell r="BO17">
            <v>5.8337784264016673E-2</v>
          </cell>
          <cell r="BP17">
            <v>5.8337784264016673E-2</v>
          </cell>
          <cell r="BQ17">
            <v>5.7419789213953104E-2</v>
          </cell>
          <cell r="BR17">
            <v>5.6978056284839512E-2</v>
          </cell>
          <cell r="BS17">
            <v>4.4955728911991941E-2</v>
          </cell>
          <cell r="BT17">
            <v>4.4786994756678286E-2</v>
          </cell>
          <cell r="BU17">
            <v>4.4786994756678286E-2</v>
          </cell>
          <cell r="BV17">
            <v>4.0612272532366406E-2</v>
          </cell>
          <cell r="BW17">
            <v>4.0612272532366406E-2</v>
          </cell>
          <cell r="BX17">
            <v>4.0612272532366406E-2</v>
          </cell>
          <cell r="BY17">
            <v>3.74392730062965E-2</v>
          </cell>
          <cell r="BZ17">
            <v>3.4935868984661209E-2</v>
          </cell>
          <cell r="CA17">
            <v>3.1796872061445408E-2</v>
          </cell>
          <cell r="CB17">
            <v>3.1796872061445408E-2</v>
          </cell>
          <cell r="CC17">
            <v>2.4578239838713316E-2</v>
          </cell>
          <cell r="CD17">
            <v>2.3139448285200592E-2</v>
          </cell>
          <cell r="CE17">
            <v>2.2233640008726331E-2</v>
          </cell>
          <cell r="CF17">
            <v>2.2233640008726331E-2</v>
          </cell>
          <cell r="CG17">
            <v>2.212493699738962E-2</v>
          </cell>
          <cell r="CH17">
            <v>2.212493699738962E-2</v>
          </cell>
          <cell r="CI17">
            <v>2.212493699738962E-2</v>
          </cell>
          <cell r="CJ17">
            <v>1.9525468099991727E-2</v>
          </cell>
          <cell r="CK17">
            <v>1.9525468099991727E-2</v>
          </cell>
          <cell r="CL17">
            <v>1.9113675515869136E-2</v>
          </cell>
          <cell r="CM17">
            <v>1.745025614792637E-2</v>
          </cell>
          <cell r="CN17">
            <v>1.745025614792637E-2</v>
          </cell>
          <cell r="CO17">
            <v>1.745025614792637E-2</v>
          </cell>
          <cell r="CP17">
            <v>1.745025614792637E-2</v>
          </cell>
          <cell r="CQ17">
            <v>1.3865990626716116E-2</v>
          </cell>
          <cell r="CR17">
            <v>1.3865990626716116E-2</v>
          </cell>
          <cell r="CS17">
            <v>1.3865990626716116E-2</v>
          </cell>
          <cell r="CT17">
            <v>1.3865990626716116E-2</v>
          </cell>
          <cell r="CU17">
            <v>1.1628814949108935E-2</v>
          </cell>
          <cell r="CV17">
            <v>1.0834342628882653E-2</v>
          </cell>
          <cell r="CW17">
            <v>1.0834342628882653E-2</v>
          </cell>
          <cell r="CX17">
            <v>1.0834342628882653E-2</v>
          </cell>
          <cell r="CY17">
            <v>1.0834342628882653E-2</v>
          </cell>
          <cell r="CZ17">
            <v>1.0834342628882653E-2</v>
          </cell>
          <cell r="DA17">
            <v>1.0834342628882653E-2</v>
          </cell>
          <cell r="DB17">
            <v>1.0834342628882653E-2</v>
          </cell>
          <cell r="DC17">
            <v>1.0834342628882653E-2</v>
          </cell>
          <cell r="DD17">
            <v>8.9903032400267813E-3</v>
          </cell>
          <cell r="DE17">
            <v>8.9903032400267813E-3</v>
          </cell>
          <cell r="DF17">
            <v>8.9903032400267813E-3</v>
          </cell>
          <cell r="DG17">
            <v>8.9903032400267813E-3</v>
          </cell>
          <cell r="DH17">
            <v>8.3982667699784089E-3</v>
          </cell>
          <cell r="DI17">
            <v>7.2312703583061891E-3</v>
          </cell>
          <cell r="DJ17">
            <v>6.960528394430193E-3</v>
          </cell>
          <cell r="DK17">
            <v>5.5575448917107376E-3</v>
          </cell>
          <cell r="DL17">
            <v>5.5575448917107376E-3</v>
          </cell>
          <cell r="DM17">
            <v>5.5575448917107376E-3</v>
          </cell>
          <cell r="DN17">
            <v>5.5575448917107376E-3</v>
          </cell>
          <cell r="DO17">
            <v>4.284929775597867E-3</v>
          </cell>
          <cell r="DP17">
            <v>2.8617854375578306E-3</v>
          </cell>
          <cell r="DQ17">
            <v>2.8617854375578306E-3</v>
          </cell>
          <cell r="DR17">
            <v>2.3661899782593974E-3</v>
          </cell>
          <cell r="DS17">
            <v>2.3661899782593974E-3</v>
          </cell>
          <cell r="DT17">
            <v>2.3661899782593974E-3</v>
          </cell>
          <cell r="DU17">
            <v>2.3661899782593974E-3</v>
          </cell>
          <cell r="DV17">
            <v>2.3661899782593974E-3</v>
          </cell>
          <cell r="DW17">
            <v>2.3661899782593974E-3</v>
          </cell>
          <cell r="DX17">
            <v>2.3661899782593974E-3</v>
          </cell>
          <cell r="DY17">
            <v>2.3661899782593974E-3</v>
          </cell>
          <cell r="DZ17">
            <v>1.9855413710872559E-3</v>
          </cell>
          <cell r="EA17">
            <v>1.9855413710872559E-3</v>
          </cell>
          <cell r="EB17">
            <v>1.9855413710872559E-3</v>
          </cell>
          <cell r="EC17">
            <v>1.9855413710872559E-3</v>
          </cell>
          <cell r="ED17">
            <v>1.9855413710872559E-3</v>
          </cell>
          <cell r="EE17">
            <v>1.9855413710872559E-3</v>
          </cell>
          <cell r="EF17">
            <v>1.9855413710872559E-3</v>
          </cell>
          <cell r="EG17">
            <v>1.9855413710872559E-3</v>
          </cell>
          <cell r="EH17">
            <v>1.9855413710872559E-3</v>
          </cell>
          <cell r="EI17">
            <v>1.9855413710872559E-3</v>
          </cell>
          <cell r="EJ17">
            <v>1.9855413710872559E-3</v>
          </cell>
          <cell r="EK17">
            <v>1.9855413710872559E-3</v>
          </cell>
          <cell r="EL17">
            <v>1.9855413710872559E-3</v>
          </cell>
          <cell r="EM17">
            <v>1.9855413710872559E-3</v>
          </cell>
          <cell r="EN17">
            <v>1.6792170374103858E-3</v>
          </cell>
          <cell r="EO17">
            <v>1.6792170374103858E-3</v>
          </cell>
          <cell r="EP17">
            <v>1.6792170374103858E-3</v>
          </cell>
          <cell r="EQ17">
            <v>1.6792170374103858E-3</v>
          </cell>
          <cell r="ER17">
            <v>1.6792170374103858E-3</v>
          </cell>
          <cell r="ES17">
            <v>1.6792170374103858E-3</v>
          </cell>
          <cell r="ET17">
            <v>1.6792170374103858E-3</v>
          </cell>
          <cell r="EU17">
            <v>1.6792170374103858E-3</v>
          </cell>
          <cell r="EV17">
            <v>1.6792170374103858E-3</v>
          </cell>
          <cell r="EW17">
            <v>1.6792170374103858E-3</v>
          </cell>
          <cell r="EX17">
            <v>1.6792170374103858E-3</v>
          </cell>
          <cell r="EY17">
            <v>1.6792170374103858E-3</v>
          </cell>
          <cell r="EZ17">
            <v>1.6792170374103858E-3</v>
          </cell>
          <cell r="FA17">
            <v>1.6792170374103858E-3</v>
          </cell>
        </row>
        <row r="18">
          <cell r="B18" t="str">
            <v>Country</v>
          </cell>
          <cell r="C18" t="str">
            <v>Segment</v>
          </cell>
          <cell r="E18" t="str">
            <v>Tag</v>
          </cell>
          <cell r="F18" t="str">
            <v>Notes</v>
          </cell>
          <cell r="G18">
            <v>50000</v>
          </cell>
          <cell r="H18">
            <v>52000</v>
          </cell>
          <cell r="I18">
            <v>54000</v>
          </cell>
          <cell r="J18">
            <v>56000</v>
          </cell>
          <cell r="K18">
            <v>58000</v>
          </cell>
          <cell r="L18">
            <v>60000</v>
          </cell>
          <cell r="M18">
            <v>62000</v>
          </cell>
          <cell r="N18">
            <v>64000</v>
          </cell>
          <cell r="O18">
            <v>66000</v>
          </cell>
          <cell r="P18">
            <v>68000</v>
          </cell>
          <cell r="Q18">
            <v>70000</v>
          </cell>
          <cell r="R18">
            <v>72000</v>
          </cell>
          <cell r="S18">
            <v>74000</v>
          </cell>
          <cell r="T18">
            <v>76000</v>
          </cell>
          <cell r="U18">
            <v>78000</v>
          </cell>
          <cell r="V18">
            <v>80000</v>
          </cell>
          <cell r="W18">
            <v>82000</v>
          </cell>
          <cell r="X18">
            <v>84000</v>
          </cell>
          <cell r="Y18">
            <v>86000</v>
          </cell>
          <cell r="Z18">
            <v>88000</v>
          </cell>
          <cell r="AA18">
            <v>90000</v>
          </cell>
          <cell r="AB18">
            <v>92000</v>
          </cell>
          <cell r="AC18">
            <v>94000</v>
          </cell>
          <cell r="AD18">
            <v>96000</v>
          </cell>
          <cell r="AE18">
            <v>98000</v>
          </cell>
          <cell r="AF18">
            <v>100000</v>
          </cell>
          <cell r="AG18">
            <v>102000</v>
          </cell>
          <cell r="AH18">
            <v>104000</v>
          </cell>
          <cell r="AI18">
            <v>106000</v>
          </cell>
          <cell r="AJ18">
            <v>108000</v>
          </cell>
          <cell r="AK18">
            <v>110000</v>
          </cell>
          <cell r="AL18">
            <v>112000</v>
          </cell>
          <cell r="AM18">
            <v>114000</v>
          </cell>
          <cell r="AN18">
            <v>116000</v>
          </cell>
          <cell r="AO18">
            <v>118000</v>
          </cell>
          <cell r="AP18">
            <v>120000</v>
          </cell>
          <cell r="AQ18">
            <v>122000</v>
          </cell>
          <cell r="AR18">
            <v>124000</v>
          </cell>
          <cell r="AS18">
            <v>126000</v>
          </cell>
          <cell r="AT18">
            <v>128000</v>
          </cell>
          <cell r="AU18">
            <v>130000</v>
          </cell>
          <cell r="AV18">
            <v>132000</v>
          </cell>
          <cell r="AW18">
            <v>134000</v>
          </cell>
          <cell r="AX18">
            <v>136000</v>
          </cell>
          <cell r="AY18">
            <v>138000</v>
          </cell>
          <cell r="AZ18">
            <v>140000</v>
          </cell>
          <cell r="BA18">
            <v>142000</v>
          </cell>
          <cell r="BB18">
            <v>144000</v>
          </cell>
          <cell r="BC18">
            <v>146000</v>
          </cell>
          <cell r="BD18">
            <v>148000</v>
          </cell>
          <cell r="BE18">
            <v>150000</v>
          </cell>
          <cell r="BF18">
            <v>152000</v>
          </cell>
          <cell r="BG18">
            <v>154000</v>
          </cell>
          <cell r="BH18">
            <v>156000</v>
          </cell>
          <cell r="BI18">
            <v>158000</v>
          </cell>
          <cell r="BJ18">
            <v>160000</v>
          </cell>
          <cell r="BK18">
            <v>162000</v>
          </cell>
          <cell r="BL18">
            <v>164000</v>
          </cell>
          <cell r="BM18">
            <v>166000</v>
          </cell>
          <cell r="BN18">
            <v>168000</v>
          </cell>
          <cell r="BO18">
            <v>170000</v>
          </cell>
          <cell r="BP18">
            <v>172000</v>
          </cell>
          <cell r="BQ18">
            <v>174000</v>
          </cell>
          <cell r="BR18">
            <v>176000</v>
          </cell>
          <cell r="BS18">
            <v>178000</v>
          </cell>
          <cell r="BT18">
            <v>180000</v>
          </cell>
          <cell r="BU18">
            <v>182000</v>
          </cell>
          <cell r="BV18">
            <v>184000</v>
          </cell>
          <cell r="BW18">
            <v>186000</v>
          </cell>
          <cell r="BX18">
            <v>188000</v>
          </cell>
          <cell r="BY18">
            <v>190000</v>
          </cell>
          <cell r="BZ18">
            <v>192000</v>
          </cell>
          <cell r="CA18">
            <v>194000</v>
          </cell>
          <cell r="CB18">
            <v>196000</v>
          </cell>
          <cell r="CC18">
            <v>198000</v>
          </cell>
          <cell r="CD18">
            <v>200000</v>
          </cell>
          <cell r="CE18">
            <v>202000</v>
          </cell>
          <cell r="CF18">
            <v>204000</v>
          </cell>
          <cell r="CG18">
            <v>206000</v>
          </cell>
          <cell r="CH18">
            <v>208000</v>
          </cell>
          <cell r="CI18">
            <v>210000</v>
          </cell>
          <cell r="CJ18">
            <v>212000</v>
          </cell>
          <cell r="CK18">
            <v>214000</v>
          </cell>
          <cell r="CL18">
            <v>216000</v>
          </cell>
          <cell r="CM18">
            <v>218000</v>
          </cell>
          <cell r="CN18">
            <v>220000</v>
          </cell>
          <cell r="CO18">
            <v>222000</v>
          </cell>
          <cell r="CP18">
            <v>224000</v>
          </cell>
          <cell r="CQ18">
            <v>226000</v>
          </cell>
          <cell r="CR18">
            <v>228000</v>
          </cell>
          <cell r="CS18">
            <v>230000</v>
          </cell>
          <cell r="CT18">
            <v>232000</v>
          </cell>
          <cell r="CU18">
            <v>234000</v>
          </cell>
          <cell r="CV18">
            <v>236000</v>
          </cell>
          <cell r="CW18">
            <v>238000</v>
          </cell>
          <cell r="CX18">
            <v>240000</v>
          </cell>
          <cell r="CY18">
            <v>242000</v>
          </cell>
          <cell r="CZ18">
            <v>244000</v>
          </cell>
          <cell r="DA18">
            <v>246000</v>
          </cell>
          <cell r="DB18">
            <v>248000</v>
          </cell>
          <cell r="DC18">
            <v>250000</v>
          </cell>
          <cell r="DD18">
            <v>252000</v>
          </cell>
          <cell r="DE18">
            <v>254000</v>
          </cell>
          <cell r="DF18">
            <v>256000</v>
          </cell>
          <cell r="DG18">
            <v>258000</v>
          </cell>
          <cell r="DH18">
            <v>260000</v>
          </cell>
          <cell r="DI18">
            <v>262000</v>
          </cell>
          <cell r="DJ18">
            <v>264000</v>
          </cell>
          <cell r="DK18">
            <v>266000</v>
          </cell>
          <cell r="DL18">
            <v>268000</v>
          </cell>
          <cell r="DM18">
            <v>270000</v>
          </cell>
          <cell r="DN18">
            <v>272000</v>
          </cell>
          <cell r="DO18">
            <v>274000</v>
          </cell>
          <cell r="DP18">
            <v>276000</v>
          </cell>
          <cell r="DQ18">
            <v>278000</v>
          </cell>
          <cell r="DR18">
            <v>280000</v>
          </cell>
          <cell r="DS18">
            <v>282000</v>
          </cell>
          <cell r="DT18">
            <v>284000</v>
          </cell>
          <cell r="DU18">
            <v>286000</v>
          </cell>
          <cell r="DV18">
            <v>288000</v>
          </cell>
          <cell r="DW18">
            <v>290000</v>
          </cell>
          <cell r="DX18">
            <v>292000</v>
          </cell>
          <cell r="DY18">
            <v>294000</v>
          </cell>
          <cell r="DZ18">
            <v>296000</v>
          </cell>
          <cell r="EA18">
            <v>298000</v>
          </cell>
          <cell r="EB18">
            <v>300000</v>
          </cell>
          <cell r="EC18">
            <v>302000</v>
          </cell>
          <cell r="ED18">
            <v>304000</v>
          </cell>
          <cell r="EE18">
            <v>306000</v>
          </cell>
          <cell r="EF18">
            <v>308000</v>
          </cell>
          <cell r="EG18">
            <v>310000</v>
          </cell>
          <cell r="EH18">
            <v>312000</v>
          </cell>
          <cell r="EI18">
            <v>314000</v>
          </cell>
          <cell r="EJ18">
            <v>316000</v>
          </cell>
          <cell r="EK18">
            <v>318000</v>
          </cell>
          <cell r="EL18">
            <v>320000</v>
          </cell>
          <cell r="EM18">
            <v>322000</v>
          </cell>
          <cell r="EN18">
            <v>324000</v>
          </cell>
          <cell r="EO18">
            <v>326000</v>
          </cell>
          <cell r="EP18">
            <v>328000</v>
          </cell>
          <cell r="EQ18">
            <v>330000</v>
          </cell>
          <cell r="ER18">
            <v>332000</v>
          </cell>
          <cell r="ES18">
            <v>334000</v>
          </cell>
          <cell r="ET18">
            <v>336000</v>
          </cell>
          <cell r="EU18">
            <v>338000</v>
          </cell>
          <cell r="EV18">
            <v>340000</v>
          </cell>
          <cell r="EW18">
            <v>342000</v>
          </cell>
          <cell r="EX18">
            <v>344000</v>
          </cell>
          <cell r="EY18">
            <v>346000</v>
          </cell>
          <cell r="EZ18">
            <v>348000</v>
          </cell>
          <cell r="FA18">
            <v>350000</v>
          </cell>
        </row>
        <row r="19">
          <cell r="B19" t="str">
            <v>China</v>
          </cell>
          <cell r="C19" t="str">
            <v>Small</v>
          </cell>
          <cell r="D19" t="str">
            <v>volumeCap</v>
          </cell>
          <cell r="E19" t="str">
            <v>China_Small_volumeCap</v>
          </cell>
          <cell r="G19">
            <v>0.92850149906525226</v>
          </cell>
          <cell r="H19">
            <v>0.92836339661109268</v>
          </cell>
          <cell r="I19">
            <v>0.92026893608561489</v>
          </cell>
          <cell r="J19">
            <v>0.91589146363750762</v>
          </cell>
          <cell r="K19">
            <v>0.89787588847637956</v>
          </cell>
          <cell r="L19">
            <v>0.89256185617981987</v>
          </cell>
          <cell r="M19">
            <v>0.88719022726460883</v>
          </cell>
          <cell r="N19">
            <v>0.88719022726460883</v>
          </cell>
          <cell r="O19">
            <v>0.87211842175428211</v>
          </cell>
          <cell r="P19">
            <v>0.86783905770378755</v>
          </cell>
          <cell r="Q19">
            <v>0.83823853749630495</v>
          </cell>
          <cell r="R19">
            <v>0.83715054384151089</v>
          </cell>
          <cell r="S19">
            <v>0.78364561486526052</v>
          </cell>
          <cell r="T19">
            <v>0.70059802116138647</v>
          </cell>
          <cell r="U19">
            <v>0.67857669824600886</v>
          </cell>
          <cell r="V19">
            <v>0.63935754272374856</v>
          </cell>
          <cell r="W19">
            <v>0.63935754272374856</v>
          </cell>
          <cell r="X19">
            <v>0.62877529656434272</v>
          </cell>
          <cell r="Y19">
            <v>0.57908429918764226</v>
          </cell>
          <cell r="Z19">
            <v>0.56539222391287403</v>
          </cell>
          <cell r="AA19">
            <v>0.53986993259771909</v>
          </cell>
          <cell r="AB19">
            <v>0.53986993259771909</v>
          </cell>
          <cell r="AC19">
            <v>0.53986993259771909</v>
          </cell>
          <cell r="AD19">
            <v>0.53986993259771909</v>
          </cell>
          <cell r="AE19">
            <v>0.47838586576389691</v>
          </cell>
          <cell r="AF19">
            <v>0.38617937424962617</v>
          </cell>
          <cell r="AG19">
            <v>0.38460549810850125</v>
          </cell>
          <cell r="AH19">
            <v>0.38460549810850125</v>
          </cell>
          <cell r="AI19">
            <v>0.29914065844972176</v>
          </cell>
          <cell r="AJ19">
            <v>0.21904511795528639</v>
          </cell>
          <cell r="AK19">
            <v>0.16153198204331573</v>
          </cell>
          <cell r="AL19">
            <v>0.16153198204331573</v>
          </cell>
          <cell r="AM19">
            <v>0.15243314003304101</v>
          </cell>
          <cell r="AN19">
            <v>0.14039764705516899</v>
          </cell>
          <cell r="AO19">
            <v>0.14011367631062721</v>
          </cell>
          <cell r="AP19">
            <v>0.11284342469235641</v>
          </cell>
          <cell r="AQ19">
            <v>0.10026561748493558</v>
          </cell>
          <cell r="AR19">
            <v>0.10026561748493558</v>
          </cell>
          <cell r="AS19">
            <v>9.8797874438853628E-2</v>
          </cell>
          <cell r="AT19">
            <v>9.8797874438853628E-2</v>
          </cell>
          <cell r="AU19">
            <v>9.8797874438853628E-2</v>
          </cell>
          <cell r="AV19">
            <v>5.6119038879400188E-2</v>
          </cell>
          <cell r="AW19">
            <v>5.6119038879400188E-2</v>
          </cell>
          <cell r="AX19">
            <v>3.3621281911762502E-2</v>
          </cell>
          <cell r="AY19">
            <v>3.3621281911762502E-2</v>
          </cell>
          <cell r="AZ19">
            <v>3.3621281911762502E-2</v>
          </cell>
          <cell r="BA19">
            <v>3.3621281911762502E-2</v>
          </cell>
          <cell r="BB19">
            <v>3.3621281911762502E-2</v>
          </cell>
          <cell r="BC19">
            <v>1.6085505998590759E-2</v>
          </cell>
          <cell r="BD19">
            <v>1.6085505998590759E-2</v>
          </cell>
          <cell r="BE19">
            <v>1.5869745182204638E-2</v>
          </cell>
          <cell r="BF19">
            <v>1.5869745182204638E-2</v>
          </cell>
          <cell r="BG19">
            <v>1.5869745182204638E-2</v>
          </cell>
          <cell r="BH19">
            <v>1.5869745182204638E-2</v>
          </cell>
          <cell r="BI19">
            <v>1.5869745182204638E-2</v>
          </cell>
          <cell r="BJ19">
            <v>1.5869745182204638E-2</v>
          </cell>
          <cell r="BK19">
            <v>1.5869745182204638E-2</v>
          </cell>
          <cell r="BL19">
            <v>1.5869745182204638E-2</v>
          </cell>
          <cell r="BM19">
            <v>1.5869745182204638E-2</v>
          </cell>
          <cell r="BN19">
            <v>1.5869745182204638E-2</v>
          </cell>
          <cell r="BO19">
            <v>1.5467474865871066E-2</v>
          </cell>
          <cell r="BP19">
            <v>1.5467474865871066E-2</v>
          </cell>
          <cell r="BQ19">
            <v>1.5467474865871066E-2</v>
          </cell>
          <cell r="BR19">
            <v>1.5467474865871066E-2</v>
          </cell>
          <cell r="BS19">
            <v>1.5467474865871066E-2</v>
          </cell>
          <cell r="BT19">
            <v>1.5467474865871066E-2</v>
          </cell>
          <cell r="BU19">
            <v>1.5467474865871066E-2</v>
          </cell>
          <cell r="BV19">
            <v>1.5467474865871066E-2</v>
          </cell>
          <cell r="BW19">
            <v>4.7350892061606888E-3</v>
          </cell>
          <cell r="BX19">
            <v>4.7350892061606888E-3</v>
          </cell>
          <cell r="BY19">
            <v>4.5501328734577689E-3</v>
          </cell>
          <cell r="BZ19">
            <v>4.5501328734577689E-3</v>
          </cell>
          <cell r="CA19">
            <v>4.5501328734577689E-3</v>
          </cell>
          <cell r="CB19">
            <v>4.5501328734577689E-3</v>
          </cell>
          <cell r="CC19">
            <v>4.5501328734577689E-3</v>
          </cell>
          <cell r="CD19">
            <v>4.5501328734577689E-3</v>
          </cell>
          <cell r="CE19">
            <v>4.5501328734577689E-3</v>
          </cell>
          <cell r="CF19">
            <v>4.5501328734577689E-3</v>
          </cell>
          <cell r="CG19">
            <v>4.5501328734577689E-3</v>
          </cell>
          <cell r="CH19">
            <v>4.5501328734577689E-3</v>
          </cell>
          <cell r="CI19">
            <v>4.5501328734577689E-3</v>
          </cell>
          <cell r="CJ19">
            <v>4.5501328734577689E-3</v>
          </cell>
          <cell r="CK19">
            <v>4.5501328734577689E-3</v>
          </cell>
          <cell r="CL19">
            <v>4.5501328734577689E-3</v>
          </cell>
          <cell r="CM19">
            <v>4.5501328734577689E-3</v>
          </cell>
          <cell r="CN19">
            <v>4.5501328734577689E-3</v>
          </cell>
          <cell r="CO19">
            <v>4.5501328734577689E-3</v>
          </cell>
          <cell r="CP19">
            <v>4.5501328734577689E-3</v>
          </cell>
          <cell r="CQ19">
            <v>4.5501328734577689E-3</v>
          </cell>
          <cell r="CR19">
            <v>4.5501328734577689E-3</v>
          </cell>
          <cell r="CS19">
            <v>4.5501328734577689E-3</v>
          </cell>
          <cell r="CT19">
            <v>4.5501328734577689E-3</v>
          </cell>
          <cell r="CU19">
            <v>4.5501328734577689E-3</v>
          </cell>
          <cell r="CV19">
            <v>4.5501328734577689E-3</v>
          </cell>
          <cell r="CW19">
            <v>4.5501328734577689E-3</v>
          </cell>
          <cell r="CX19">
            <v>4.5501328734577689E-3</v>
          </cell>
          <cell r="CY19">
            <v>4.5501328734577689E-3</v>
          </cell>
          <cell r="CZ19">
            <v>4.5501328734577689E-3</v>
          </cell>
          <cell r="DA19">
            <v>4.5501328734577689E-3</v>
          </cell>
          <cell r="DB19">
            <v>4.5501328734577689E-3</v>
          </cell>
          <cell r="DC19">
            <v>4.5501328734577689E-3</v>
          </cell>
          <cell r="DD19">
            <v>4.5501328734577689E-3</v>
          </cell>
          <cell r="DE19">
            <v>4.5501328734577689E-3</v>
          </cell>
          <cell r="DF19">
            <v>4.5501328734577689E-3</v>
          </cell>
          <cell r="DG19">
            <v>4.5501328734577689E-3</v>
          </cell>
          <cell r="DH19">
            <v>4.5501328734577689E-3</v>
          </cell>
          <cell r="DI19">
            <v>4.5501328734577689E-3</v>
          </cell>
          <cell r="DJ19">
            <v>4.5501328734577689E-3</v>
          </cell>
          <cell r="DK19">
            <v>4.5501328734577689E-3</v>
          </cell>
          <cell r="DL19">
            <v>4.5501328734577689E-3</v>
          </cell>
          <cell r="DM19">
            <v>4.5501328734577689E-3</v>
          </cell>
          <cell r="DN19">
            <v>4.5501328734577689E-3</v>
          </cell>
          <cell r="DO19">
            <v>4.5501328734577689E-3</v>
          </cell>
          <cell r="DP19">
            <v>2.8288352747061021E-3</v>
          </cell>
          <cell r="DQ19">
            <v>2.8288352747061021E-3</v>
          </cell>
          <cell r="DR19">
            <v>2.8288352747061021E-3</v>
          </cell>
          <cell r="DS19">
            <v>2.8288352747061021E-3</v>
          </cell>
          <cell r="DT19">
            <v>2.8288352747061021E-3</v>
          </cell>
          <cell r="DU19">
            <v>2.8288352747061021E-3</v>
          </cell>
          <cell r="DV19">
            <v>2.8288352747061021E-3</v>
          </cell>
          <cell r="DW19">
            <v>2.8288352747061021E-3</v>
          </cell>
          <cell r="DX19">
            <v>2.8288352747061021E-3</v>
          </cell>
          <cell r="DY19">
            <v>2.8288352747061021E-3</v>
          </cell>
          <cell r="DZ19">
            <v>2.8288352747061021E-3</v>
          </cell>
          <cell r="EA19">
            <v>2.8288352747061021E-3</v>
          </cell>
          <cell r="EB19">
            <v>2.8288352747061021E-3</v>
          </cell>
          <cell r="EC19">
            <v>2.8288352747061021E-3</v>
          </cell>
          <cell r="ED19">
            <v>2.8288352747061021E-3</v>
          </cell>
          <cell r="EE19">
            <v>2.8288352747061021E-3</v>
          </cell>
          <cell r="EF19">
            <v>2.8288352747061021E-3</v>
          </cell>
          <cell r="EG19">
            <v>2.7982896522303223E-4</v>
          </cell>
          <cell r="EH19">
            <v>2.7982896522303223E-4</v>
          </cell>
          <cell r="EI19">
            <v>2.7982896522303223E-4</v>
          </cell>
          <cell r="EJ19">
            <v>2.7982896522303223E-4</v>
          </cell>
          <cell r="EK19">
            <v>2.7982896522303223E-4</v>
          </cell>
          <cell r="EL19">
            <v>2.7982896522303223E-4</v>
          </cell>
          <cell r="EM19">
            <v>2.7982896522303223E-4</v>
          </cell>
          <cell r="EN19">
            <v>2.7982896522303223E-4</v>
          </cell>
          <cell r="EO19">
            <v>2.7982896522303223E-4</v>
          </cell>
          <cell r="EP19">
            <v>2.7982896522303223E-4</v>
          </cell>
          <cell r="EQ19">
            <v>2.7982896522303223E-4</v>
          </cell>
          <cell r="ER19">
            <v>2.7982896522303223E-4</v>
          </cell>
          <cell r="ES19">
            <v>2.7982896522303223E-4</v>
          </cell>
          <cell r="ET19">
            <v>2.7982896522303223E-4</v>
          </cell>
          <cell r="EU19">
            <v>2.7982896522303223E-4</v>
          </cell>
          <cell r="EV19">
            <v>2.7982896522303223E-4</v>
          </cell>
          <cell r="EW19">
            <v>2.7982896522303223E-4</v>
          </cell>
          <cell r="EX19">
            <v>2.7982896522303223E-4</v>
          </cell>
          <cell r="EY19">
            <v>2.7982896522303223E-4</v>
          </cell>
          <cell r="EZ19">
            <v>2.7982896522303223E-4</v>
          </cell>
          <cell r="FA19">
            <v>2.7982896522303223E-4</v>
          </cell>
        </row>
        <row r="20">
          <cell r="B20" t="str">
            <v>China</v>
          </cell>
          <cell r="C20" t="str">
            <v>Medium</v>
          </cell>
          <cell r="D20" t="str">
            <v>volumeCap</v>
          </cell>
          <cell r="E20" t="str">
            <v>China_Medium_volumeCap</v>
          </cell>
          <cell r="G20">
            <v>0.99999999999999989</v>
          </cell>
          <cell r="H20">
            <v>0.99999999999999989</v>
          </cell>
          <cell r="I20">
            <v>0.99999999999999989</v>
          </cell>
          <cell r="J20">
            <v>0.99999999999999989</v>
          </cell>
          <cell r="K20">
            <v>0.99999999999999989</v>
          </cell>
          <cell r="L20">
            <v>0.99999999999999989</v>
          </cell>
          <cell r="M20">
            <v>0.99999999999999989</v>
          </cell>
          <cell r="N20">
            <v>0.99999999999999989</v>
          </cell>
          <cell r="O20">
            <v>0.99753989863429182</v>
          </cell>
          <cell r="P20">
            <v>0.99753989863429182</v>
          </cell>
          <cell r="Q20">
            <v>0.98856756399469159</v>
          </cell>
          <cell r="R20">
            <v>0.98856756399469159</v>
          </cell>
          <cell r="S20">
            <v>0.98856756399469159</v>
          </cell>
          <cell r="T20">
            <v>0.98856756399469159</v>
          </cell>
          <cell r="U20">
            <v>0.98427770550158311</v>
          </cell>
          <cell r="V20">
            <v>0.96723571640523354</v>
          </cell>
          <cell r="W20">
            <v>0.96723571640523354</v>
          </cell>
          <cell r="X20">
            <v>0.96723571640523354</v>
          </cell>
          <cell r="Y20">
            <v>0.96544907913571909</v>
          </cell>
          <cell r="Z20">
            <v>0.96544907913571909</v>
          </cell>
          <cell r="AA20">
            <v>0.96465533333068554</v>
          </cell>
          <cell r="AB20">
            <v>0.96465533333068554</v>
          </cell>
          <cell r="AC20">
            <v>0.96465533333068554</v>
          </cell>
          <cell r="AD20">
            <v>0.96465533333068554</v>
          </cell>
          <cell r="AE20">
            <v>0.96465533333068554</v>
          </cell>
          <cell r="AF20">
            <v>0.96238246292685103</v>
          </cell>
          <cell r="AG20">
            <v>0.96238246292685103</v>
          </cell>
          <cell r="AH20">
            <v>0.95506967544931165</v>
          </cell>
          <cell r="AI20">
            <v>0.9531281471113382</v>
          </cell>
          <cell r="AJ20">
            <v>0.9531281471113382</v>
          </cell>
          <cell r="AK20">
            <v>0.95073329289901032</v>
          </cell>
          <cell r="AL20">
            <v>0.95073329289901032</v>
          </cell>
          <cell r="AM20">
            <v>0.95073329289901032</v>
          </cell>
          <cell r="AN20">
            <v>0.95073329289901032</v>
          </cell>
          <cell r="AO20">
            <v>0.95073329289901032</v>
          </cell>
          <cell r="AP20">
            <v>0.92230595922109637</v>
          </cell>
          <cell r="AQ20">
            <v>0.92230595922109637</v>
          </cell>
          <cell r="AR20">
            <v>0.92230595922109637</v>
          </cell>
          <cell r="AS20">
            <v>0.92230595922109637</v>
          </cell>
          <cell r="AT20">
            <v>0.92230595922109637</v>
          </cell>
          <cell r="AU20">
            <v>0.797442765480738</v>
          </cell>
          <cell r="AV20">
            <v>0.797442765480738</v>
          </cell>
          <cell r="AW20">
            <v>0.797442765480738</v>
          </cell>
          <cell r="AX20">
            <v>0.797442765480738</v>
          </cell>
          <cell r="AY20">
            <v>0.797442765480738</v>
          </cell>
          <cell r="AZ20">
            <v>0.797442765480738</v>
          </cell>
          <cell r="BA20">
            <v>0.797442765480738</v>
          </cell>
          <cell r="BB20">
            <v>0.797442765480738</v>
          </cell>
          <cell r="BC20">
            <v>0.797442765480738</v>
          </cell>
          <cell r="BD20">
            <v>0.797442765480738</v>
          </cell>
          <cell r="BE20">
            <v>0.797442765480738</v>
          </cell>
          <cell r="BF20">
            <v>0.797442765480738</v>
          </cell>
          <cell r="BG20">
            <v>0.79381672585245389</v>
          </cell>
          <cell r="BH20">
            <v>0.79381672585245389</v>
          </cell>
          <cell r="BI20">
            <v>0.79381672585245389</v>
          </cell>
          <cell r="BJ20">
            <v>0.77372003524481003</v>
          </cell>
          <cell r="BK20">
            <v>0.77372003524481003</v>
          </cell>
          <cell r="BL20">
            <v>0.72682492032755208</v>
          </cell>
          <cell r="BM20">
            <v>0.72682492032755208</v>
          </cell>
          <cell r="BN20">
            <v>0.70391749582560059</v>
          </cell>
          <cell r="BO20">
            <v>0.59114828748917037</v>
          </cell>
          <cell r="BP20">
            <v>0.59114828748917037</v>
          </cell>
          <cell r="BQ20">
            <v>0.59114828748917037</v>
          </cell>
          <cell r="BR20">
            <v>0.54326765687259615</v>
          </cell>
          <cell r="BS20">
            <v>0.54144981444276952</v>
          </cell>
          <cell r="BT20">
            <v>0.37891064487449577</v>
          </cell>
          <cell r="BU20">
            <v>0.37609140048192125</v>
          </cell>
          <cell r="BV20">
            <v>0.37609140048192125</v>
          </cell>
          <cell r="BW20">
            <v>0.37609140048192125</v>
          </cell>
          <cell r="BX20">
            <v>0.37609140048192125</v>
          </cell>
          <cell r="BY20">
            <v>0.2638430346394301</v>
          </cell>
          <cell r="BZ20">
            <v>0.2638430346394301</v>
          </cell>
          <cell r="CA20">
            <v>0.2638430346394301</v>
          </cell>
          <cell r="CB20">
            <v>0.2638430346394301</v>
          </cell>
          <cell r="CC20">
            <v>0.2638430346394301</v>
          </cell>
          <cell r="CD20">
            <v>0.2638430346394301</v>
          </cell>
          <cell r="CE20">
            <v>0.2638430346394301</v>
          </cell>
          <cell r="CF20">
            <v>0.2638430346394301</v>
          </cell>
          <cell r="CG20">
            <v>0.2638430346394301</v>
          </cell>
          <cell r="CH20">
            <v>0.26315595374600931</v>
          </cell>
          <cell r="CI20">
            <v>0.26315595374600931</v>
          </cell>
          <cell r="CJ20">
            <v>0.26315595374600931</v>
          </cell>
          <cell r="CK20">
            <v>0.26315595374600931</v>
          </cell>
          <cell r="CL20">
            <v>0.26315595374600931</v>
          </cell>
          <cell r="CM20">
            <v>0.26315595374600931</v>
          </cell>
          <cell r="CN20">
            <v>0.26066975351894922</v>
          </cell>
          <cell r="CO20">
            <v>0.21514539618922576</v>
          </cell>
          <cell r="CP20">
            <v>0.21514539618922576</v>
          </cell>
          <cell r="CQ20">
            <v>0.21514539618922576</v>
          </cell>
          <cell r="CR20">
            <v>0.21514539618922576</v>
          </cell>
          <cell r="CS20">
            <v>0.20654468664061693</v>
          </cell>
          <cell r="CT20">
            <v>0.20654468664061693</v>
          </cell>
          <cell r="CU20">
            <v>0.18763776369069668</v>
          </cell>
          <cell r="CV20">
            <v>0.18763776369069668</v>
          </cell>
          <cell r="CW20">
            <v>0.18763776369069668</v>
          </cell>
          <cell r="CX20">
            <v>0.18763776369069668</v>
          </cell>
          <cell r="CY20">
            <v>0.18763776369069668</v>
          </cell>
          <cell r="CZ20">
            <v>0.18763776369069668</v>
          </cell>
          <cell r="DA20">
            <v>0.18763776369069668</v>
          </cell>
          <cell r="DB20">
            <v>0.18763776369069668</v>
          </cell>
          <cell r="DC20">
            <v>0.18763776369069668</v>
          </cell>
          <cell r="DD20">
            <v>0.17147235591584589</v>
          </cell>
          <cell r="DE20">
            <v>0.17147235591584589</v>
          </cell>
          <cell r="DF20">
            <v>0.17147235591584589</v>
          </cell>
          <cell r="DG20">
            <v>0.17147235591584589</v>
          </cell>
          <cell r="DH20">
            <v>0.17147235591584589</v>
          </cell>
          <cell r="DI20">
            <v>0.17147235591584589</v>
          </cell>
          <cell r="DJ20">
            <v>0.17147235591584589</v>
          </cell>
          <cell r="DK20">
            <v>0.17147235591584589</v>
          </cell>
          <cell r="DL20">
            <v>0.17147235591584589</v>
          </cell>
          <cell r="DM20">
            <v>0.17147235591584589</v>
          </cell>
          <cell r="DN20">
            <v>0.17147235591584589</v>
          </cell>
          <cell r="DO20">
            <v>0.11803607203058786</v>
          </cell>
          <cell r="DP20">
            <v>0.11803607203058786</v>
          </cell>
          <cell r="DQ20">
            <v>0.11803607203058786</v>
          </cell>
          <cell r="DR20">
            <v>0.11803607203058786</v>
          </cell>
          <cell r="DS20">
            <v>0.11803607203058786</v>
          </cell>
          <cell r="DT20">
            <v>5.9972346554297833E-2</v>
          </cell>
          <cell r="DU20">
            <v>5.9972346554297833E-2</v>
          </cell>
          <cell r="DV20">
            <v>5.9972346554297833E-2</v>
          </cell>
          <cell r="DW20">
            <v>5.9972346554297833E-2</v>
          </cell>
          <cell r="DX20">
            <v>5.9972346554297833E-2</v>
          </cell>
          <cell r="DY20">
            <v>5.9972346554297833E-2</v>
          </cell>
          <cell r="DZ20">
            <v>5.9972346554297833E-2</v>
          </cell>
          <cell r="EA20">
            <v>5.9972346554297833E-2</v>
          </cell>
          <cell r="EB20">
            <v>5.9972346554297833E-2</v>
          </cell>
          <cell r="EC20">
            <v>5.9972346554297833E-2</v>
          </cell>
          <cell r="ED20">
            <v>5.9972346554297833E-2</v>
          </cell>
          <cell r="EE20">
            <v>5.9972346554297833E-2</v>
          </cell>
          <cell r="EF20">
            <v>1.6737313258391776E-3</v>
          </cell>
          <cell r="EG20">
            <v>1.6737313258391776E-3</v>
          </cell>
          <cell r="EH20">
            <v>1.6737313258391776E-3</v>
          </cell>
          <cell r="EI20">
            <v>1.6737313258391776E-3</v>
          </cell>
          <cell r="EJ20">
            <v>1.6737313258391776E-3</v>
          </cell>
          <cell r="EK20">
            <v>1.6737313258391776E-3</v>
          </cell>
          <cell r="EL20">
            <v>1.6737313258391776E-3</v>
          </cell>
          <cell r="EM20">
            <v>1.6737313258391776E-3</v>
          </cell>
          <cell r="EN20">
            <v>1.6737313258391776E-3</v>
          </cell>
          <cell r="EO20">
            <v>1.6737313258391776E-3</v>
          </cell>
          <cell r="EP20">
            <v>1.6737313258391776E-3</v>
          </cell>
          <cell r="EQ20">
            <v>1.6737313258391776E-3</v>
          </cell>
          <cell r="ER20">
            <v>1.6737313258391776E-3</v>
          </cell>
          <cell r="ES20">
            <v>1.6737313258391776E-3</v>
          </cell>
          <cell r="ET20">
            <v>1.6737313258391776E-3</v>
          </cell>
          <cell r="EU20">
            <v>1.6737313258391776E-3</v>
          </cell>
          <cell r="EV20">
            <v>1.6737313258391776E-3</v>
          </cell>
          <cell r="EW20">
            <v>1.6737313258391776E-3</v>
          </cell>
          <cell r="EX20">
            <v>1.6737313258391776E-3</v>
          </cell>
          <cell r="EY20">
            <v>1.6737313258391776E-3</v>
          </cell>
          <cell r="EZ20">
            <v>1.6737313258391776E-3</v>
          </cell>
          <cell r="FA20">
            <v>0</v>
          </cell>
        </row>
        <row r="21">
          <cell r="B21" t="str">
            <v>China</v>
          </cell>
          <cell r="C21" t="str">
            <v>Large</v>
          </cell>
          <cell r="D21" t="str">
            <v>volumeCap</v>
          </cell>
          <cell r="E21" t="str">
            <v>China_Large_volumeCap</v>
          </cell>
          <cell r="G21">
            <v>0.56509105719728114</v>
          </cell>
          <cell r="H21">
            <v>0.56509105719728114</v>
          </cell>
          <cell r="I21">
            <v>0.56509105719728114</v>
          </cell>
          <cell r="J21">
            <v>0.56509105719728114</v>
          </cell>
          <cell r="K21">
            <v>0.51790431440333717</v>
          </cell>
          <cell r="L21">
            <v>0.48907802052522531</v>
          </cell>
          <cell r="M21">
            <v>0.33042309580397639</v>
          </cell>
          <cell r="N21">
            <v>0.32794291613168131</v>
          </cell>
          <cell r="O21">
            <v>0.32794291613168131</v>
          </cell>
          <cell r="P21">
            <v>0.3210462616423988</v>
          </cell>
          <cell r="Q21">
            <v>0.3210462616423988</v>
          </cell>
          <cell r="R21">
            <v>0.3210462616423988</v>
          </cell>
          <cell r="S21">
            <v>0.3210462616423988</v>
          </cell>
          <cell r="T21">
            <v>0.31536651773999008</v>
          </cell>
          <cell r="U21">
            <v>0.31536651773999008</v>
          </cell>
          <cell r="V21">
            <v>0.31058041668011893</v>
          </cell>
          <cell r="W21">
            <v>0.31058041668011893</v>
          </cell>
          <cell r="X21">
            <v>0.31058041668011893</v>
          </cell>
          <cell r="Y21">
            <v>0.28096271700537351</v>
          </cell>
          <cell r="Z21">
            <v>0.28096271700537351</v>
          </cell>
          <cell r="AA21">
            <v>0.28096271700537351</v>
          </cell>
          <cell r="AB21">
            <v>0.28096271700537351</v>
          </cell>
          <cell r="AC21">
            <v>0.28096271700537351</v>
          </cell>
          <cell r="AD21">
            <v>0.28096271700537351</v>
          </cell>
          <cell r="AE21">
            <v>0.28096271700537351</v>
          </cell>
          <cell r="AF21">
            <v>0.27564266538187404</v>
          </cell>
          <cell r="AG21">
            <v>0.27564266538187404</v>
          </cell>
          <cell r="AH21">
            <v>0.27515010633480608</v>
          </cell>
          <cell r="AI21">
            <v>0.27515010633480608</v>
          </cell>
          <cell r="AJ21">
            <v>0.27515010633480608</v>
          </cell>
          <cell r="AK21">
            <v>0.27515010633480608</v>
          </cell>
          <cell r="AL21">
            <v>0.27515010633480608</v>
          </cell>
          <cell r="AM21">
            <v>0.27515010633480608</v>
          </cell>
          <cell r="AN21">
            <v>0.27515010633480608</v>
          </cell>
          <cell r="AO21">
            <v>0.27515010633480608</v>
          </cell>
          <cell r="AP21">
            <v>0.27515010633480608</v>
          </cell>
          <cell r="AQ21">
            <v>0.27515010633480608</v>
          </cell>
          <cell r="AR21">
            <v>0.27515010633480608</v>
          </cell>
          <cell r="AS21">
            <v>0.27515010633480608</v>
          </cell>
          <cell r="AT21">
            <v>0.27515010633480608</v>
          </cell>
          <cell r="AU21">
            <v>0.26245739778158028</v>
          </cell>
          <cell r="AV21">
            <v>0.26245739778158028</v>
          </cell>
          <cell r="AW21">
            <v>0.25497919248462519</v>
          </cell>
          <cell r="AX21">
            <v>0.25497919248462519</v>
          </cell>
          <cell r="AY21">
            <v>0.25497919248462519</v>
          </cell>
          <cell r="AZ21">
            <v>0.23717380380586725</v>
          </cell>
          <cell r="BA21">
            <v>0.21937834909108372</v>
          </cell>
          <cell r="BB21">
            <v>0.21937834909108372</v>
          </cell>
          <cell r="BC21">
            <v>0.21937834909108372</v>
          </cell>
          <cell r="BD21">
            <v>0.21937834909108372</v>
          </cell>
          <cell r="BE21">
            <v>0.21657738516544606</v>
          </cell>
          <cell r="BF21">
            <v>0.21657738516544606</v>
          </cell>
          <cell r="BG21">
            <v>0.21657738516544606</v>
          </cell>
          <cell r="BH21">
            <v>0.21657738516544606</v>
          </cell>
          <cell r="BI21">
            <v>0.21657738516544606</v>
          </cell>
          <cell r="BJ21">
            <v>0.21657738516544606</v>
          </cell>
          <cell r="BK21">
            <v>0.21657738516544606</v>
          </cell>
          <cell r="BL21">
            <v>0.21657738516544606</v>
          </cell>
          <cell r="BM21">
            <v>0.21657738516544606</v>
          </cell>
          <cell r="BN21">
            <v>0.21657738516544606</v>
          </cell>
          <cell r="BO21">
            <v>0.21657738516544606</v>
          </cell>
          <cell r="BP21">
            <v>0.21657738516544606</v>
          </cell>
          <cell r="BQ21">
            <v>0.21657738516544606</v>
          </cell>
          <cell r="BR21">
            <v>0.21657738516544606</v>
          </cell>
          <cell r="BS21">
            <v>0.21657738516544606</v>
          </cell>
          <cell r="BT21">
            <v>0.21657738516544606</v>
          </cell>
          <cell r="BU21">
            <v>0.21657738516544606</v>
          </cell>
          <cell r="BV21">
            <v>0.21657738516544606</v>
          </cell>
          <cell r="BW21">
            <v>0.21657738516544606</v>
          </cell>
          <cell r="BX21">
            <v>0.21657738516544606</v>
          </cell>
          <cell r="BY21">
            <v>0.21488902520495012</v>
          </cell>
          <cell r="BZ21">
            <v>0.21488902520495012</v>
          </cell>
          <cell r="CA21">
            <v>0.21488902520495012</v>
          </cell>
          <cell r="CB21">
            <v>0.21488902520495012</v>
          </cell>
          <cell r="CC21">
            <v>0.21488902520495012</v>
          </cell>
          <cell r="CD21">
            <v>0.21488902520495012</v>
          </cell>
          <cell r="CE21">
            <v>0.21488902520495012</v>
          </cell>
          <cell r="CF21">
            <v>0.21488902520495012</v>
          </cell>
          <cell r="CG21">
            <v>0.21488902520495012</v>
          </cell>
          <cell r="CH21">
            <v>0.21488902520495012</v>
          </cell>
          <cell r="CI21">
            <v>0.1831317980392011</v>
          </cell>
          <cell r="CJ21">
            <v>0.1831317980392011</v>
          </cell>
          <cell r="CK21">
            <v>0.1831317980392011</v>
          </cell>
          <cell r="CL21">
            <v>0.1831317980392011</v>
          </cell>
          <cell r="CM21">
            <v>0.1831317980392011</v>
          </cell>
          <cell r="CN21">
            <v>0.1831317980392011</v>
          </cell>
          <cell r="CO21">
            <v>0.1831317980392011</v>
          </cell>
          <cell r="CP21">
            <v>0.1831317980392011</v>
          </cell>
          <cell r="CQ21">
            <v>0.1831317980392011</v>
          </cell>
          <cell r="CR21">
            <v>0.1831317980392011</v>
          </cell>
          <cell r="CS21">
            <v>0.16686286245516269</v>
          </cell>
          <cell r="CT21">
            <v>0.16686286245516269</v>
          </cell>
          <cell r="CU21">
            <v>0.16686286245516269</v>
          </cell>
          <cell r="CV21">
            <v>0.16591954979275272</v>
          </cell>
          <cell r="CW21">
            <v>0.16432432074451753</v>
          </cell>
          <cell r="CX21">
            <v>0.16432432074451753</v>
          </cell>
          <cell r="CY21">
            <v>0.16432432074451753</v>
          </cell>
          <cell r="CZ21">
            <v>0.16432432074451753</v>
          </cell>
          <cell r="DA21">
            <v>0.16432432074451753</v>
          </cell>
          <cell r="DB21">
            <v>0.16432432074451753</v>
          </cell>
          <cell r="DC21">
            <v>0.14981783593561798</v>
          </cell>
          <cell r="DD21">
            <v>0.14981783593561798</v>
          </cell>
          <cell r="DE21">
            <v>0.14981783593561798</v>
          </cell>
          <cell r="DF21">
            <v>0.13772571828768265</v>
          </cell>
          <cell r="DG21">
            <v>0.13772571828768265</v>
          </cell>
          <cell r="DH21">
            <v>0.13772571828768265</v>
          </cell>
          <cell r="DI21">
            <v>0.13772571828768265</v>
          </cell>
          <cell r="DJ21">
            <v>0.13772571828768265</v>
          </cell>
          <cell r="DK21">
            <v>0.13772571828768265</v>
          </cell>
          <cell r="DL21">
            <v>0.13772571828768265</v>
          </cell>
          <cell r="DM21">
            <v>0.13772571828768265</v>
          </cell>
          <cell r="DN21">
            <v>0.13772571828768265</v>
          </cell>
          <cell r="DO21">
            <v>0.13772571828768265</v>
          </cell>
          <cell r="DP21">
            <v>0.13772571828768265</v>
          </cell>
          <cell r="DQ21">
            <v>0.13772571828768265</v>
          </cell>
          <cell r="DR21">
            <v>0.13772571828768265</v>
          </cell>
          <cell r="DS21">
            <v>0.13772571828768265</v>
          </cell>
          <cell r="DT21">
            <v>0.13772571828768265</v>
          </cell>
          <cell r="DU21">
            <v>0.13772571828768265</v>
          </cell>
          <cell r="DV21">
            <v>0.13772571828768265</v>
          </cell>
          <cell r="DW21">
            <v>0.13772571828768265</v>
          </cell>
          <cell r="DX21">
            <v>0.13772571828768265</v>
          </cell>
          <cell r="DY21">
            <v>0.13772571828768265</v>
          </cell>
          <cell r="DZ21">
            <v>0.13772571828768265</v>
          </cell>
          <cell r="EA21">
            <v>0.13772571828768265</v>
          </cell>
          <cell r="EB21">
            <v>0.13772571828768265</v>
          </cell>
          <cell r="EC21">
            <v>0.13772571828768265</v>
          </cell>
          <cell r="ED21">
            <v>0.13772571828768265</v>
          </cell>
          <cell r="EE21">
            <v>0.13772571828768265</v>
          </cell>
          <cell r="EF21">
            <v>0.13772571828768265</v>
          </cell>
          <cell r="EG21">
            <v>0.13772571828768265</v>
          </cell>
          <cell r="EH21">
            <v>0.13772571828768265</v>
          </cell>
          <cell r="EI21">
            <v>0.13772571828768265</v>
          </cell>
          <cell r="EJ21">
            <v>0.13772571828768265</v>
          </cell>
          <cell r="EK21">
            <v>0.13772571828768265</v>
          </cell>
          <cell r="EL21">
            <v>0.13772571828768265</v>
          </cell>
          <cell r="EM21">
            <v>0.13772571828768265</v>
          </cell>
          <cell r="EN21">
            <v>0.13772571828768265</v>
          </cell>
          <cell r="EO21">
            <v>0.13772571828768265</v>
          </cell>
          <cell r="EP21">
            <v>0.13772571828768265</v>
          </cell>
          <cell r="EQ21">
            <v>0.13772571828768265</v>
          </cell>
          <cell r="ER21">
            <v>0.13772571828768265</v>
          </cell>
          <cell r="ES21">
            <v>0.13772571828768265</v>
          </cell>
          <cell r="ET21">
            <v>0.13772571828768265</v>
          </cell>
          <cell r="EU21">
            <v>0.13772571828768265</v>
          </cell>
          <cell r="EV21">
            <v>0.13772571828768265</v>
          </cell>
          <cell r="EW21">
            <v>0.13772571828768265</v>
          </cell>
          <cell r="EX21">
            <v>0.13772571828768265</v>
          </cell>
          <cell r="EY21">
            <v>0.13772571828768265</v>
          </cell>
          <cell r="EZ21">
            <v>0.13772571828768265</v>
          </cell>
          <cell r="FA21">
            <v>0.13772571828768265</v>
          </cell>
        </row>
        <row r="22">
          <cell r="B22" t="str">
            <v>China</v>
          </cell>
          <cell r="C22" t="str">
            <v>SUV</v>
          </cell>
          <cell r="D22" t="str">
            <v>volumeCap</v>
          </cell>
          <cell r="E22" t="str">
            <v>China_SUV_volumeCap</v>
          </cell>
          <cell r="G22">
            <v>1</v>
          </cell>
          <cell r="H22">
            <v>1</v>
          </cell>
          <cell r="I22">
            <v>1</v>
          </cell>
          <cell r="J22">
            <v>0.98954943601167911</v>
          </cell>
          <cell r="K22">
            <v>0.98747542992792792</v>
          </cell>
          <cell r="L22">
            <v>0.9728921871504157</v>
          </cell>
          <cell r="M22">
            <v>0.9728921871504157</v>
          </cell>
          <cell r="N22">
            <v>0.9728921871504157</v>
          </cell>
          <cell r="O22">
            <v>0.92848979023671818</v>
          </cell>
          <cell r="P22">
            <v>0.92130190248558064</v>
          </cell>
          <cell r="Q22">
            <v>0.85540770919594677</v>
          </cell>
          <cell r="R22">
            <v>0.85540770919594677</v>
          </cell>
          <cell r="S22">
            <v>0.85016396048095066</v>
          </cell>
          <cell r="T22">
            <v>0.84254873814296516</v>
          </cell>
          <cell r="U22">
            <v>0.83447924780579352</v>
          </cell>
          <cell r="V22">
            <v>0.77641121080621833</v>
          </cell>
          <cell r="W22">
            <v>0.77641121080621833</v>
          </cell>
          <cell r="X22">
            <v>0.77641121080621833</v>
          </cell>
          <cell r="Y22">
            <v>0.77641121080621833</v>
          </cell>
          <cell r="Z22">
            <v>0.75012046702003643</v>
          </cell>
          <cell r="AA22">
            <v>0.63947334245513765</v>
          </cell>
          <cell r="AB22">
            <v>0.63947334245513765</v>
          </cell>
          <cell r="AC22">
            <v>0.5987986898094898</v>
          </cell>
          <cell r="AD22">
            <v>0.59365747472859243</v>
          </cell>
          <cell r="AE22">
            <v>0.5758312891051145</v>
          </cell>
          <cell r="AF22">
            <v>0.47502712674623832</v>
          </cell>
          <cell r="AG22">
            <v>0.47502712674623832</v>
          </cell>
          <cell r="AH22">
            <v>0.47502712674623832</v>
          </cell>
          <cell r="AI22">
            <v>0.47502712674623832</v>
          </cell>
          <cell r="AJ22">
            <v>0.46679883594325194</v>
          </cell>
          <cell r="AK22">
            <v>0.45425226580664624</v>
          </cell>
          <cell r="AL22">
            <v>0.45425226580664624</v>
          </cell>
          <cell r="AM22">
            <v>0.44534677301720066</v>
          </cell>
          <cell r="AN22">
            <v>0.44045942534764754</v>
          </cell>
          <cell r="AO22">
            <v>0.44045942534764754</v>
          </cell>
          <cell r="AP22">
            <v>0.41718642374684284</v>
          </cell>
          <cell r="AQ22">
            <v>0.41718642374684284</v>
          </cell>
          <cell r="AR22">
            <v>0.41622055424695897</v>
          </cell>
          <cell r="AS22">
            <v>0.41622055424695897</v>
          </cell>
          <cell r="AT22">
            <v>0.39473209121413405</v>
          </cell>
          <cell r="AU22">
            <v>0.37044881998320511</v>
          </cell>
          <cell r="AV22">
            <v>0.37044881998320511</v>
          </cell>
          <cell r="AW22">
            <v>0.37044881998320511</v>
          </cell>
          <cell r="AX22">
            <v>0.36694694304436615</v>
          </cell>
          <cell r="AY22">
            <v>0.36694694304436615</v>
          </cell>
          <cell r="AZ22">
            <v>0.33994873051627605</v>
          </cell>
          <cell r="BA22">
            <v>0.33491138240672164</v>
          </cell>
          <cell r="BB22">
            <v>0.33491138240672164</v>
          </cell>
          <cell r="BC22">
            <v>0.32487281962693754</v>
          </cell>
          <cell r="BD22">
            <v>0.32487281962693754</v>
          </cell>
          <cell r="BE22">
            <v>0.28663190745359535</v>
          </cell>
          <cell r="BF22">
            <v>0.28663190745359535</v>
          </cell>
          <cell r="BG22">
            <v>0.28663190745359535</v>
          </cell>
          <cell r="BH22">
            <v>0.28663190745359535</v>
          </cell>
          <cell r="BI22">
            <v>0.27904641853616108</v>
          </cell>
          <cell r="BJ22">
            <v>0.27668881162051412</v>
          </cell>
          <cell r="BK22">
            <v>0.27668881162051412</v>
          </cell>
          <cell r="BL22">
            <v>0.27265786646307499</v>
          </cell>
          <cell r="BM22">
            <v>0.27265786646307499</v>
          </cell>
          <cell r="BN22">
            <v>0.27265786646307499</v>
          </cell>
          <cell r="BO22">
            <v>0.26602944701971132</v>
          </cell>
          <cell r="BP22">
            <v>0.26602944701971132</v>
          </cell>
          <cell r="BQ22">
            <v>0.26602944701971132</v>
          </cell>
          <cell r="BR22">
            <v>0.26602944701971132</v>
          </cell>
          <cell r="BS22">
            <v>0.26602944701971132</v>
          </cell>
          <cell r="BT22">
            <v>0.23894190089624262</v>
          </cell>
          <cell r="BU22">
            <v>0.2160367670411833</v>
          </cell>
          <cell r="BV22">
            <v>0.2160367670411833</v>
          </cell>
          <cell r="BW22">
            <v>0.21483649685372408</v>
          </cell>
          <cell r="BX22">
            <v>0.21483649685372408</v>
          </cell>
          <cell r="BY22">
            <v>0.18241720175712511</v>
          </cell>
          <cell r="BZ22">
            <v>0.18241720175712511</v>
          </cell>
          <cell r="CA22">
            <v>0.16624275431207927</v>
          </cell>
          <cell r="CB22">
            <v>0.16624275431207927</v>
          </cell>
          <cell r="CC22">
            <v>0.16624275431207927</v>
          </cell>
          <cell r="CD22">
            <v>0.16624275431207927</v>
          </cell>
          <cell r="CE22">
            <v>0.16624275431207927</v>
          </cell>
          <cell r="CF22">
            <v>0.16624275431207927</v>
          </cell>
          <cell r="CG22">
            <v>0.16624275431207927</v>
          </cell>
          <cell r="CH22">
            <v>0.16624275431207927</v>
          </cell>
          <cell r="CI22">
            <v>0.11227366266941054</v>
          </cell>
          <cell r="CJ22">
            <v>0.11227366266941054</v>
          </cell>
          <cell r="CK22">
            <v>0.11227366266941054</v>
          </cell>
          <cell r="CL22">
            <v>0.11227366266941054</v>
          </cell>
          <cell r="CM22">
            <v>0.11227366266941054</v>
          </cell>
          <cell r="CN22">
            <v>0.11192712831957645</v>
          </cell>
          <cell r="CO22">
            <v>0.11192712831957645</v>
          </cell>
          <cell r="CP22">
            <v>0.11192712831957645</v>
          </cell>
          <cell r="CQ22">
            <v>0.11192712831957645</v>
          </cell>
          <cell r="CR22">
            <v>0.11192712831957645</v>
          </cell>
          <cell r="CS22">
            <v>0.11101485897691971</v>
          </cell>
          <cell r="CT22">
            <v>0.11101485897691971</v>
          </cell>
          <cell r="CU22">
            <v>0.11101485897691971</v>
          </cell>
          <cell r="CV22">
            <v>9.9359358120783864E-2</v>
          </cell>
          <cell r="CW22">
            <v>9.9359358120783864E-2</v>
          </cell>
          <cell r="CX22">
            <v>8.5035716104767248E-2</v>
          </cell>
          <cell r="CY22">
            <v>8.5035716104767248E-2</v>
          </cell>
          <cell r="CZ22">
            <v>8.5035716104767248E-2</v>
          </cell>
          <cell r="DA22">
            <v>8.5035716104767248E-2</v>
          </cell>
          <cell r="DB22">
            <v>8.5035716104767248E-2</v>
          </cell>
          <cell r="DC22">
            <v>6.4708989813036785E-2</v>
          </cell>
          <cell r="DD22">
            <v>6.4708989813036785E-2</v>
          </cell>
          <cell r="DE22">
            <v>6.4708989813036785E-2</v>
          </cell>
          <cell r="DF22">
            <v>6.4708989813036785E-2</v>
          </cell>
          <cell r="DG22">
            <v>6.4708989813036785E-2</v>
          </cell>
          <cell r="DH22">
            <v>5.7242834578981432E-2</v>
          </cell>
          <cell r="DI22">
            <v>5.7242834578981432E-2</v>
          </cell>
          <cell r="DJ22">
            <v>5.7242834578981432E-2</v>
          </cell>
          <cell r="DK22">
            <v>5.625843169139963E-2</v>
          </cell>
          <cell r="DL22">
            <v>5.625843169139963E-2</v>
          </cell>
          <cell r="DM22">
            <v>4.6420269499457205E-2</v>
          </cell>
          <cell r="DN22">
            <v>4.6420269499457205E-2</v>
          </cell>
          <cell r="DO22">
            <v>4.6420269499457205E-2</v>
          </cell>
          <cell r="DP22">
            <v>4.6420269499457205E-2</v>
          </cell>
          <cell r="DQ22">
            <v>4.6420269499457205E-2</v>
          </cell>
          <cell r="DR22">
            <v>4.6420269499457205E-2</v>
          </cell>
          <cell r="DS22">
            <v>4.6420269499457205E-2</v>
          </cell>
          <cell r="DT22">
            <v>4.5806667699558594E-2</v>
          </cell>
          <cell r="DU22">
            <v>4.5806667699558594E-2</v>
          </cell>
          <cell r="DV22">
            <v>4.5806667699558594E-2</v>
          </cell>
          <cell r="DW22">
            <v>4.5806667699558594E-2</v>
          </cell>
          <cell r="DX22">
            <v>4.5806667699558594E-2</v>
          </cell>
          <cell r="DY22">
            <v>4.5806667699558594E-2</v>
          </cell>
          <cell r="DZ22">
            <v>4.5806667699558594E-2</v>
          </cell>
          <cell r="EA22">
            <v>4.5806667699558594E-2</v>
          </cell>
          <cell r="EB22">
            <v>4.5806667699558594E-2</v>
          </cell>
          <cell r="EC22">
            <v>4.5806667699558594E-2</v>
          </cell>
          <cell r="ED22">
            <v>4.5806667699558594E-2</v>
          </cell>
          <cell r="EE22">
            <v>4.5806667699558594E-2</v>
          </cell>
          <cell r="EF22">
            <v>4.5806667699558594E-2</v>
          </cell>
          <cell r="EG22">
            <v>4.5806667699558594E-2</v>
          </cell>
          <cell r="EH22">
            <v>4.5806667699558594E-2</v>
          </cell>
          <cell r="EI22">
            <v>4.5806667699558594E-2</v>
          </cell>
          <cell r="EJ22">
            <v>4.5806667699558594E-2</v>
          </cell>
          <cell r="EK22">
            <v>4.5806667699558594E-2</v>
          </cell>
          <cell r="EL22">
            <v>4.5806667699558594E-2</v>
          </cell>
          <cell r="EM22">
            <v>4.5806667699558594E-2</v>
          </cell>
          <cell r="EN22">
            <v>4.5806667699558594E-2</v>
          </cell>
          <cell r="EO22">
            <v>4.5806667699558594E-2</v>
          </cell>
          <cell r="EP22">
            <v>4.5806667699558594E-2</v>
          </cell>
          <cell r="EQ22">
            <v>4.5806667699558594E-2</v>
          </cell>
          <cell r="ER22">
            <v>4.5806667699558594E-2</v>
          </cell>
          <cell r="ES22">
            <v>4.5806667699558594E-2</v>
          </cell>
          <cell r="ET22">
            <v>4.5806667699558594E-2</v>
          </cell>
          <cell r="EU22">
            <v>4.5806667699558594E-2</v>
          </cell>
          <cell r="EV22">
            <v>4.5806667699558594E-2</v>
          </cell>
          <cell r="EW22">
            <v>4.5806667699558594E-2</v>
          </cell>
          <cell r="EX22">
            <v>4.5806667699558594E-2</v>
          </cell>
          <cell r="EY22">
            <v>4.5806667699558594E-2</v>
          </cell>
          <cell r="EZ22">
            <v>4.5806667699558594E-2</v>
          </cell>
          <cell r="FA22">
            <v>4.5806667699558594E-2</v>
          </cell>
        </row>
        <row r="23">
          <cell r="B23" t="str">
            <v>China</v>
          </cell>
          <cell r="C23" t="str">
            <v>All</v>
          </cell>
          <cell r="D23" t="str">
            <v>volumeCap</v>
          </cell>
          <cell r="E23" t="str">
            <v>China_All_volumeCap</v>
          </cell>
          <cell r="G23">
            <v>0.91738416373141052</v>
          </cell>
          <cell r="H23">
            <v>0.91732917679505943</v>
          </cell>
          <cell r="I23">
            <v>0.91410628268778837</v>
          </cell>
          <cell r="J23">
            <v>0.90832415123644095</v>
          </cell>
          <cell r="K23">
            <v>0.89447450345430846</v>
          </cell>
          <cell r="L23">
            <v>0.8831331772776253</v>
          </cell>
          <cell r="M23">
            <v>0.86124121336327886</v>
          </cell>
          <cell r="N23">
            <v>0.86093242074601972</v>
          </cell>
          <cell r="O23">
            <v>0.83754622419859115</v>
          </cell>
          <cell r="P23">
            <v>0.83220553426250432</v>
          </cell>
          <cell r="Q23">
            <v>0.79413638275319021</v>
          </cell>
          <cell r="R23">
            <v>0.79370318670167483</v>
          </cell>
          <cell r="S23">
            <v>0.77037290470526865</v>
          </cell>
          <cell r="T23">
            <v>0.73365616385261867</v>
          </cell>
          <cell r="U23">
            <v>0.72137959595063206</v>
          </cell>
          <cell r="V23">
            <v>0.68117667302649587</v>
          </cell>
          <cell r="W23">
            <v>0.68117667302649587</v>
          </cell>
          <cell r="X23">
            <v>0.6769632410526798</v>
          </cell>
          <cell r="Y23">
            <v>0.65332844377333232</v>
          </cell>
          <cell r="Z23">
            <v>0.6377152974326874</v>
          </cell>
          <cell r="AA23">
            <v>0.58471556937838853</v>
          </cell>
          <cell r="AB23">
            <v>0.58471556937838853</v>
          </cell>
          <cell r="AC23">
            <v>0.56899461359927439</v>
          </cell>
          <cell r="AD23">
            <v>0.5670075083708207</v>
          </cell>
          <cell r="AE23">
            <v>0.53563707467643407</v>
          </cell>
          <cell r="AF23">
            <v>0.45909397092206289</v>
          </cell>
          <cell r="AG23">
            <v>0.45846731567742482</v>
          </cell>
          <cell r="AH23">
            <v>0.45774176640199238</v>
          </cell>
          <cell r="AI23">
            <v>0.4235366968744384</v>
          </cell>
          <cell r="AJ23">
            <v>0.38846554444874409</v>
          </cell>
          <cell r="AK23">
            <v>0.36049925046157844</v>
          </cell>
          <cell r="AL23">
            <v>0.36049925046157844</v>
          </cell>
          <cell r="AM23">
            <v>0.35343443405636255</v>
          </cell>
          <cell r="AN23">
            <v>0.346753392454339</v>
          </cell>
          <cell r="AO23">
            <v>0.34664032653273241</v>
          </cell>
          <cell r="AP23">
            <v>0.32420519269416859</v>
          </cell>
          <cell r="AQ23">
            <v>0.31919720722020212</v>
          </cell>
          <cell r="AR23">
            <v>0.31882389384913651</v>
          </cell>
          <cell r="AS23">
            <v>0.31823949660619277</v>
          </cell>
          <cell r="AT23">
            <v>0.30993409864635757</v>
          </cell>
          <cell r="AU23">
            <v>0.28762682102999332</v>
          </cell>
          <cell r="AV23">
            <v>0.2706337963315828</v>
          </cell>
          <cell r="AW23">
            <v>0.26970272887230029</v>
          </cell>
          <cell r="AX23">
            <v>0.25939151878813943</v>
          </cell>
          <cell r="AY23">
            <v>0.25939151878813943</v>
          </cell>
          <cell r="AZ23">
            <v>0.24673973075159625</v>
          </cell>
          <cell r="BA23">
            <v>0.24257716298225859</v>
          </cell>
          <cell r="BB23">
            <v>0.24257716298225859</v>
          </cell>
          <cell r="BC23">
            <v>0.23171515591991579</v>
          </cell>
          <cell r="BD23">
            <v>0.23171515591991579</v>
          </cell>
          <cell r="BE23">
            <v>0.21650021394401719</v>
          </cell>
          <cell r="BF23">
            <v>0.21650021394401719</v>
          </cell>
          <cell r="BG23">
            <v>0.21617085920154339</v>
          </cell>
          <cell r="BH23">
            <v>0.21617085920154339</v>
          </cell>
          <cell r="BI23">
            <v>0.21323902996447916</v>
          </cell>
          <cell r="BJ23">
            <v>0.21050241208158338</v>
          </cell>
          <cell r="BK23">
            <v>0.21050241208158338</v>
          </cell>
          <cell r="BL23">
            <v>0.20468492820442818</v>
          </cell>
          <cell r="BM23">
            <v>0.20468492820442818</v>
          </cell>
          <cell r="BN23">
            <v>0.20260423696246604</v>
          </cell>
          <cell r="BO23">
            <v>0.18963927590604898</v>
          </cell>
          <cell r="BP23">
            <v>0.18963927590604898</v>
          </cell>
          <cell r="BQ23">
            <v>0.18963927590604898</v>
          </cell>
          <cell r="BR23">
            <v>0.18529025758777209</v>
          </cell>
          <cell r="BS23">
            <v>0.18512514217627371</v>
          </cell>
          <cell r="BT23">
            <v>0.15989216788650581</v>
          </cell>
          <cell r="BU23">
            <v>0.15078314641640042</v>
          </cell>
          <cell r="BV23">
            <v>0.15078314641640042</v>
          </cell>
          <cell r="BW23">
            <v>0.14604602442646494</v>
          </cell>
          <cell r="BX23">
            <v>0.14604602442646494</v>
          </cell>
          <cell r="BY23">
            <v>0.12303638790145167</v>
          </cell>
          <cell r="BZ23">
            <v>0.12303638790145167</v>
          </cell>
          <cell r="CA23">
            <v>0.1167848834264066</v>
          </cell>
          <cell r="CB23">
            <v>0.1167848834264066</v>
          </cell>
          <cell r="CC23">
            <v>0.1167848834264066</v>
          </cell>
          <cell r="CD23">
            <v>0.1167848834264066</v>
          </cell>
          <cell r="CE23">
            <v>0.1167848834264066</v>
          </cell>
          <cell r="CF23">
            <v>0.1167848834264066</v>
          </cell>
          <cell r="CG23">
            <v>0.1167848834264066</v>
          </cell>
          <cell r="CH23">
            <v>0.11672247557268482</v>
          </cell>
          <cell r="CI23">
            <v>9.1909246921697857E-2</v>
          </cell>
          <cell r="CJ23">
            <v>9.1909246921697857E-2</v>
          </cell>
          <cell r="CK23">
            <v>9.1909246921697857E-2</v>
          </cell>
          <cell r="CL23">
            <v>9.1909246921697857E-2</v>
          </cell>
          <cell r="CM23">
            <v>9.1909246921697857E-2</v>
          </cell>
          <cell r="CN23">
            <v>9.1549487031663476E-2</v>
          </cell>
          <cell r="CO23">
            <v>8.7414490031723927E-2</v>
          </cell>
          <cell r="CP23">
            <v>8.7414490031723927E-2</v>
          </cell>
          <cell r="CQ23">
            <v>8.7414490031723927E-2</v>
          </cell>
          <cell r="CR23">
            <v>8.7414490031723927E-2</v>
          </cell>
          <cell r="CS23">
            <v>8.4255137529439542E-2</v>
          </cell>
          <cell r="CT23">
            <v>8.4255137529439542E-2</v>
          </cell>
          <cell r="CU23">
            <v>8.2537813567900284E-2</v>
          </cell>
          <cell r="CV23">
            <v>7.7915458126468815E-2</v>
          </cell>
          <cell r="CW23">
            <v>7.7716845518505426E-2</v>
          </cell>
          <cell r="CX23">
            <v>7.2180686557508048E-2</v>
          </cell>
          <cell r="CY23">
            <v>7.2180686557508048E-2</v>
          </cell>
          <cell r="CZ23">
            <v>7.2180686557508048E-2</v>
          </cell>
          <cell r="DA23">
            <v>7.2180686557508048E-2</v>
          </cell>
          <cell r="DB23">
            <v>7.2180686557508048E-2</v>
          </cell>
          <cell r="DC23">
            <v>6.251818833350363E-2</v>
          </cell>
          <cell r="DD23">
            <v>6.1049877377070558E-2</v>
          </cell>
          <cell r="DE23">
            <v>6.1049877377070558E-2</v>
          </cell>
          <cell r="DF23">
            <v>5.9544358765487096E-2</v>
          </cell>
          <cell r="DG23">
            <v>5.9544358765487096E-2</v>
          </cell>
          <cell r="DH23">
            <v>5.665865259124777E-2</v>
          </cell>
          <cell r="DI23">
            <v>5.665865259124777E-2</v>
          </cell>
          <cell r="DJ23">
            <v>5.665865259124777E-2</v>
          </cell>
          <cell r="DK23">
            <v>5.6278175973553488E-2</v>
          </cell>
          <cell r="DL23">
            <v>5.6278175973553488E-2</v>
          </cell>
          <cell r="DM23">
            <v>5.247567729914062E-2</v>
          </cell>
          <cell r="DN23">
            <v>5.247567729914062E-2</v>
          </cell>
          <cell r="DO23">
            <v>4.7622036599655262E-2</v>
          </cell>
          <cell r="DP23">
            <v>4.6936683959980845E-2</v>
          </cell>
          <cell r="DQ23">
            <v>4.6936683959980845E-2</v>
          </cell>
          <cell r="DR23">
            <v>4.6936683959980845E-2</v>
          </cell>
          <cell r="DS23">
            <v>4.6936683959980845E-2</v>
          </cell>
          <cell r="DT23">
            <v>4.1425570595109644E-2</v>
          </cell>
          <cell r="DU23">
            <v>4.1425570595109644E-2</v>
          </cell>
          <cell r="DV23">
            <v>4.1425570595109644E-2</v>
          </cell>
          <cell r="DW23">
            <v>4.1425570595109644E-2</v>
          </cell>
          <cell r="DX23">
            <v>4.1425570595109644E-2</v>
          </cell>
          <cell r="DY23">
            <v>4.1425570595109644E-2</v>
          </cell>
          <cell r="DZ23">
            <v>4.1425570595109644E-2</v>
          </cell>
          <cell r="EA23">
            <v>4.1425570595109644E-2</v>
          </cell>
          <cell r="EB23">
            <v>4.1425570595109644E-2</v>
          </cell>
          <cell r="EC23">
            <v>4.1425570595109644E-2</v>
          </cell>
          <cell r="ED23">
            <v>4.1425570595109644E-2</v>
          </cell>
          <cell r="EE23">
            <v>4.1425570595109644E-2</v>
          </cell>
          <cell r="EF23">
            <v>3.6130282243770018E-2</v>
          </cell>
          <cell r="EG23">
            <v>3.5115368725028157E-2</v>
          </cell>
          <cell r="EH23">
            <v>3.5115368725028157E-2</v>
          </cell>
          <cell r="EI23">
            <v>3.5115368725028157E-2</v>
          </cell>
          <cell r="EJ23">
            <v>3.5115368725028157E-2</v>
          </cell>
          <cell r="EK23">
            <v>3.5115368725028157E-2</v>
          </cell>
          <cell r="EL23">
            <v>3.5115368725028157E-2</v>
          </cell>
          <cell r="EM23">
            <v>3.5115368725028157E-2</v>
          </cell>
          <cell r="EN23">
            <v>3.5115368725028157E-2</v>
          </cell>
          <cell r="EO23">
            <v>3.5115368725028157E-2</v>
          </cell>
          <cell r="EP23">
            <v>3.5115368725028157E-2</v>
          </cell>
          <cell r="EQ23">
            <v>3.5115368725028157E-2</v>
          </cell>
          <cell r="ER23">
            <v>3.5115368725028157E-2</v>
          </cell>
          <cell r="ES23">
            <v>3.5115368725028157E-2</v>
          </cell>
          <cell r="ET23">
            <v>3.5115368725028157E-2</v>
          </cell>
          <cell r="EU23">
            <v>3.5115368725028157E-2</v>
          </cell>
          <cell r="EV23">
            <v>3.5115368725028157E-2</v>
          </cell>
          <cell r="EW23">
            <v>3.5115368725028157E-2</v>
          </cell>
          <cell r="EX23">
            <v>3.5115368725028157E-2</v>
          </cell>
          <cell r="EY23">
            <v>3.5115368725028157E-2</v>
          </cell>
          <cell r="EZ23">
            <v>3.5115368725028157E-2</v>
          </cell>
          <cell r="FA23">
            <v>3.4963342987225351E-2</v>
          </cell>
        </row>
        <row r="28">
          <cell r="B28" t="str">
            <v>Country</v>
          </cell>
          <cell r="E28" t="str">
            <v>Tag</v>
          </cell>
          <cell r="F28" t="str">
            <v>Notes</v>
          </cell>
          <cell r="G28">
            <v>2000</v>
          </cell>
          <cell r="H28">
            <v>2001</v>
          </cell>
          <cell r="I28">
            <v>2002</v>
          </cell>
          <cell r="J28">
            <v>2003</v>
          </cell>
          <cell r="K28">
            <v>2004</v>
          </cell>
          <cell r="L28">
            <v>2005</v>
          </cell>
          <cell r="M28">
            <v>2006</v>
          </cell>
          <cell r="N28">
            <v>2007</v>
          </cell>
          <cell r="O28">
            <v>2008</v>
          </cell>
          <cell r="P28">
            <v>2009</v>
          </cell>
          <cell r="Q28">
            <v>2010</v>
          </cell>
          <cell r="R28">
            <v>2011</v>
          </cell>
          <cell r="S28">
            <v>2012</v>
          </cell>
          <cell r="T28">
            <v>2013</v>
          </cell>
          <cell r="U28">
            <v>2014</v>
          </cell>
          <cell r="V28">
            <v>2015</v>
          </cell>
          <cell r="W28">
            <v>2016</v>
          </cell>
          <cell r="X28">
            <v>2017</v>
          </cell>
          <cell r="Y28">
            <v>2018</v>
          </cell>
          <cell r="Z28">
            <v>2019</v>
          </cell>
          <cell r="AA28">
            <v>2020</v>
          </cell>
          <cell r="AB28">
            <v>2021</v>
          </cell>
          <cell r="AC28">
            <v>2022</v>
          </cell>
          <cell r="AD28">
            <v>2023</v>
          </cell>
          <cell r="AE28">
            <v>2024</v>
          </cell>
          <cell r="AF28">
            <v>2025</v>
          </cell>
          <cell r="AG28">
            <v>2026</v>
          </cell>
          <cell r="AH28">
            <v>2027</v>
          </cell>
          <cell r="AI28">
            <v>2028</v>
          </cell>
          <cell r="AJ28">
            <v>2029</v>
          </cell>
          <cell r="AK28">
            <v>2030</v>
          </cell>
          <cell r="AL28">
            <v>2031</v>
          </cell>
          <cell r="AM28">
            <v>2032</v>
          </cell>
          <cell r="AN28">
            <v>2033</v>
          </cell>
          <cell r="AO28">
            <v>2034</v>
          </cell>
          <cell r="AP28">
            <v>2035</v>
          </cell>
          <cell r="AQ28">
            <v>2036</v>
          </cell>
          <cell r="AR28">
            <v>2037</v>
          </cell>
          <cell r="AS28">
            <v>2038</v>
          </cell>
          <cell r="AT28">
            <v>2039</v>
          </cell>
          <cell r="AU28">
            <v>2040</v>
          </cell>
          <cell r="AV28">
            <v>2041</v>
          </cell>
          <cell r="AW28">
            <v>2042</v>
          </cell>
          <cell r="AX28">
            <v>2043</v>
          </cell>
          <cell r="AY28">
            <v>2044</v>
          </cell>
          <cell r="AZ28">
            <v>2045</v>
          </cell>
        </row>
        <row r="29">
          <cell r="B29" t="str">
            <v>USD</v>
          </cell>
          <cell r="D29" t="str">
            <v>USD</v>
          </cell>
          <cell r="E29" t="str">
            <v>USD</v>
          </cell>
          <cell r="F29" t="str">
            <v xml:space="preserve"> 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1</v>
          </cell>
          <cell r="BY29">
            <v>1</v>
          </cell>
          <cell r="BZ29">
            <v>1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</row>
        <row r="30">
          <cell r="B30" t="str">
            <v>CNY</v>
          </cell>
          <cell r="D30" t="str">
            <v>CNY</v>
          </cell>
          <cell r="E30" t="str">
            <v>CNY</v>
          </cell>
          <cell r="F30" t="str">
            <v xml:space="preserve"> </v>
          </cell>
          <cell r="G30">
            <v>0.12079628913799768</v>
          </cell>
          <cell r="H30">
            <v>0.120815261383818</v>
          </cell>
          <cell r="I30">
            <v>0.12081672103419114</v>
          </cell>
          <cell r="J30">
            <v>0.120815261383818</v>
          </cell>
          <cell r="K30">
            <v>0.12081964044075005</v>
          </cell>
          <cell r="L30">
            <v>0.12206286237412266</v>
          </cell>
          <cell r="M30">
            <v>0.12541229291295133</v>
          </cell>
          <cell r="N30">
            <v>0.13144922773578704</v>
          </cell>
          <cell r="O30">
            <v>0.14388282182990172</v>
          </cell>
          <cell r="P30">
            <v>0.14638073629510356</v>
          </cell>
          <cell r="Q30">
            <v>0.14775850350187653</v>
          </cell>
          <cell r="R30">
            <v>0.1547173314354674</v>
          </cell>
          <cell r="S30">
            <v>0.15850121253427588</v>
          </cell>
          <cell r="T30">
            <v>0.16264658523494299</v>
          </cell>
          <cell r="U30">
            <v>0.16229023986497451</v>
          </cell>
          <cell r="V30">
            <v>0.14631749135866334</v>
          </cell>
          <cell r="W30">
            <v>0.14872321123157689</v>
          </cell>
          <cell r="X30">
            <v>0.1484765627826142</v>
          </cell>
          <cell r="Y30">
            <v>0.14854313122206841</v>
          </cell>
          <cell r="Z30">
            <v>0.14930186623546743</v>
          </cell>
          <cell r="AA30">
            <v>0.14986540759331696</v>
          </cell>
          <cell r="AB30">
            <v>0.15035908187715372</v>
          </cell>
          <cell r="AC30">
            <v>0.1509693628565375</v>
          </cell>
          <cell r="AD30">
            <v>0.15152933091811321</v>
          </cell>
          <cell r="AE30">
            <v>0.15208807469279492</v>
          </cell>
          <cell r="AF30">
            <v>0.15266881477756961</v>
          </cell>
          <cell r="AG30">
            <v>0.15323953966418546</v>
          </cell>
          <cell r="AH30">
            <v>0.15381388808649088</v>
          </cell>
          <cell r="AI30">
            <v>0.1543935003038141</v>
          </cell>
          <cell r="AJ30">
            <v>0.1549727143645574</v>
          </cell>
          <cell r="AK30">
            <v>0.15555478450832799</v>
          </cell>
          <cell r="AL30">
            <v>0.15613945098368137</v>
          </cell>
          <cell r="AM30">
            <v>0.15672581112347123</v>
          </cell>
          <cell r="AN30">
            <v>0.15731457269314289</v>
          </cell>
          <cell r="AO30">
            <v>0.15790558178455411</v>
          </cell>
          <cell r="AP30">
            <v>0.15849872030707596</v>
          </cell>
          <cell r="AQ30">
            <v>0.15909413565104594</v>
          </cell>
          <cell r="AR30">
            <v>0.15969178558829358</v>
          </cell>
          <cell r="AS30">
            <v>0.16029166568098333</v>
          </cell>
          <cell r="AT30">
            <v>0.16089380994814256</v>
          </cell>
          <cell r="AU30">
            <v>0.16149821404634851</v>
          </cell>
          <cell r="AV30">
            <v>0.16210488645137433</v>
          </cell>
          <cell r="AW30">
            <v>0.16271384000833561</v>
          </cell>
          <cell r="AX30">
            <v>0.16332508039736068</v>
          </cell>
          <cell r="AY30">
            <v>0.16393861669008969</v>
          </cell>
          <cell r="AZ30">
            <v>0.16455445815952968</v>
          </cell>
          <cell r="BA30">
            <v>0.18143560573935269</v>
          </cell>
          <cell r="BB30">
            <v>0.18143560573935269</v>
          </cell>
          <cell r="BC30">
            <v>0.18143560573935269</v>
          </cell>
          <cell r="BD30">
            <v>0.18143560573935269</v>
          </cell>
          <cell r="BE30">
            <v>0.18143560573935269</v>
          </cell>
          <cell r="BF30">
            <v>0.18143560573935269</v>
          </cell>
          <cell r="BG30">
            <v>0.18143560573935269</v>
          </cell>
          <cell r="BH30">
            <v>0.18143560573935269</v>
          </cell>
          <cell r="BI30">
            <v>0.18143560573935269</v>
          </cell>
          <cell r="BJ30">
            <v>0.18143560573935269</v>
          </cell>
          <cell r="BK30">
            <v>0.18143560573935269</v>
          </cell>
          <cell r="BL30">
            <v>0.18143560573935269</v>
          </cell>
          <cell r="BM30">
            <v>0.18143560573935269</v>
          </cell>
          <cell r="BN30">
            <v>0.18143560573935269</v>
          </cell>
          <cell r="BO30">
            <v>0.18143560573935269</v>
          </cell>
          <cell r="BP30">
            <v>0.18143560573935269</v>
          </cell>
          <cell r="BQ30">
            <v>0.18143560573935269</v>
          </cell>
          <cell r="BR30">
            <v>0.18143560573935269</v>
          </cell>
          <cell r="BS30">
            <v>0.18143560573935269</v>
          </cell>
          <cell r="BT30">
            <v>0.18143560573935269</v>
          </cell>
          <cell r="BU30">
            <v>0.18143560573935269</v>
          </cell>
          <cell r="BV30">
            <v>0.18143560573935269</v>
          </cell>
          <cell r="BW30">
            <v>0.18143560573935269</v>
          </cell>
          <cell r="BX30">
            <v>0.18143560573935269</v>
          </cell>
          <cell r="BY30">
            <v>0.18143560573935269</v>
          </cell>
          <cell r="BZ30">
            <v>0.18143560573935269</v>
          </cell>
          <cell r="CA30">
            <v>0.18143560573935269</v>
          </cell>
          <cell r="CB30">
            <v>0.18143560573935269</v>
          </cell>
          <cell r="CC30">
            <v>0.18143560573935269</v>
          </cell>
          <cell r="CD30">
            <v>0.18143560573935269</v>
          </cell>
        </row>
        <row r="31">
          <cell r="B31" t="str">
            <v>JPY</v>
          </cell>
          <cell r="D31" t="str">
            <v>JPY</v>
          </cell>
          <cell r="E31" t="str">
            <v>JPY</v>
          </cell>
          <cell r="G31">
            <v>9.2764378478664197E-3</v>
          </cell>
          <cell r="H31">
            <v>8.2290980908492437E-3</v>
          </cell>
          <cell r="I31">
            <v>7.9872204472843447E-3</v>
          </cell>
          <cell r="J31">
            <v>8.6288722064026234E-3</v>
          </cell>
          <cell r="K31">
            <v>9.2481272542310183E-3</v>
          </cell>
          <cell r="L31">
            <v>9.0760573606825188E-3</v>
          </cell>
          <cell r="M31">
            <v>8.5947571981091538E-3</v>
          </cell>
          <cell r="N31">
            <v>8.4896850326852871E-3</v>
          </cell>
          <cell r="O31">
            <v>9.6739866498984223E-3</v>
          </cell>
          <cell r="P31">
            <v>1.0683760683760684E-2</v>
          </cell>
          <cell r="Q31">
            <v>1.1398609369656901E-2</v>
          </cell>
          <cell r="R31">
            <v>1.2547051442910916E-2</v>
          </cell>
          <cell r="S31">
            <v>1.2525050100200399E-2</v>
          </cell>
          <cell r="T31">
            <v>1.0242753252074159E-2</v>
          </cell>
          <cell r="U31">
            <v>9.4410876132930508E-3</v>
          </cell>
          <cell r="V31">
            <v>9.6064870282333448E-3</v>
          </cell>
          <cell r="W31">
            <v>9.6777315397270879E-3</v>
          </cell>
          <cell r="X31">
            <v>9.6616816074133333E-3</v>
          </cell>
          <cell r="Y31">
            <v>9.6660133555024272E-3</v>
          </cell>
          <cell r="Z31">
            <v>9.7153858354849434E-3</v>
          </cell>
          <cell r="AA31">
            <v>9.7520566545698621E-3</v>
          </cell>
          <cell r="AB31">
            <v>9.7841810764907975E-3</v>
          </cell>
          <cell r="AC31">
            <v>9.8238933408600852E-3</v>
          </cell>
          <cell r="AD31">
            <v>9.8603316380557575E-3</v>
          </cell>
          <cell r="AE31">
            <v>9.8966902683333378E-3</v>
          </cell>
          <cell r="AF31">
            <v>9.9344802446811199E-3</v>
          </cell>
          <cell r="AG31">
            <v>9.9716185110618055E-3</v>
          </cell>
          <cell r="AH31">
            <v>1.0008992568515979E-2</v>
          </cell>
          <cell r="AI31">
            <v>1.0046709152161189E-2</v>
          </cell>
          <cell r="AJ31">
            <v>1.0084399826921973E-2</v>
          </cell>
          <cell r="AK31">
            <v>1.012227635300055E-2</v>
          </cell>
          <cell r="AL31">
            <v>1.0160321827825173E-2</v>
          </cell>
          <cell r="AM31">
            <v>1.019847751294985E-2</v>
          </cell>
          <cell r="AN31">
            <v>1.0236789464157783E-2</v>
          </cell>
          <cell r="AO31">
            <v>1.027524766632308E-2</v>
          </cell>
          <cell r="AP31">
            <v>1.0313844435040631E-2</v>
          </cell>
          <cell r="AQ31">
            <v>1.0352589361309087E-2</v>
          </cell>
          <cell r="AR31">
            <v>1.0391479697252758E-2</v>
          </cell>
          <cell r="AS31">
            <v>1.0430515154092367E-2</v>
          </cell>
          <cell r="AT31">
            <v>1.0469697945517433E-2</v>
          </cell>
          <cell r="AU31">
            <v>1.0509027788892315E-2</v>
          </cell>
          <cell r="AV31">
            <v>1.0548505235753373E-2</v>
          </cell>
          <cell r="AW31">
            <v>1.0588131121959237E-2</v>
          </cell>
          <cell r="AX31">
            <v>1.0627905817127784E-2</v>
          </cell>
          <cell r="AY31">
            <v>1.0667829911569679E-2</v>
          </cell>
          <cell r="AZ31">
            <v>1.070790400869895E-2</v>
          </cell>
          <cell r="BA31">
            <v>1.3129689756972387E-2</v>
          </cell>
          <cell r="BB31">
            <v>1.3129689756972387E-2</v>
          </cell>
          <cell r="BC31">
            <v>1.3129689756972387E-2</v>
          </cell>
          <cell r="BD31">
            <v>1.3129689756972387E-2</v>
          </cell>
          <cell r="BE31">
            <v>1.3129689756972387E-2</v>
          </cell>
          <cell r="BF31">
            <v>1.3129689756972387E-2</v>
          </cell>
          <cell r="BG31">
            <v>1.3129689756972387E-2</v>
          </cell>
          <cell r="BH31">
            <v>1.3129689756972387E-2</v>
          </cell>
          <cell r="BI31">
            <v>1.3129689756972387E-2</v>
          </cell>
          <cell r="BJ31">
            <v>1.3129689756972387E-2</v>
          </cell>
          <cell r="BK31">
            <v>1.3129689756972387E-2</v>
          </cell>
          <cell r="BL31">
            <v>1.3129689756972387E-2</v>
          </cell>
          <cell r="BM31">
            <v>1.3129689756972387E-2</v>
          </cell>
          <cell r="BN31">
            <v>1.3129689756972387E-2</v>
          </cell>
          <cell r="BO31">
            <v>1.3129689756972387E-2</v>
          </cell>
          <cell r="BP31">
            <v>1.3129689756972387E-2</v>
          </cell>
          <cell r="BQ31">
            <v>1.3129689756972387E-2</v>
          </cell>
          <cell r="BR31">
            <v>1.3129689756972387E-2</v>
          </cell>
          <cell r="BS31">
            <v>1.3129689756972387E-2</v>
          </cell>
          <cell r="BT31">
            <v>1.3129689756972387E-2</v>
          </cell>
          <cell r="BU31">
            <v>1.3129689756972387E-2</v>
          </cell>
          <cell r="BV31">
            <v>1.3129689756972387E-2</v>
          </cell>
          <cell r="BW31">
            <v>1.3129689756972387E-2</v>
          </cell>
          <cell r="BX31">
            <v>1.3129689756972387E-2</v>
          </cell>
          <cell r="BY31">
            <v>1.3129689756972387E-2</v>
          </cell>
          <cell r="BZ31">
            <v>1.3129689756972387E-2</v>
          </cell>
          <cell r="CA31">
            <v>1.3129689756972387E-2</v>
          </cell>
          <cell r="CB31">
            <v>1.3129689756972387E-2</v>
          </cell>
          <cell r="CC31">
            <v>1.3129689756972387E-2</v>
          </cell>
          <cell r="CD31">
            <v>1.3129689756972387E-2</v>
          </cell>
        </row>
        <row r="32">
          <cell r="B32" t="str">
            <v>EUR</v>
          </cell>
          <cell r="D32" t="str">
            <v>EUR</v>
          </cell>
          <cell r="E32" t="str">
            <v>EUR</v>
          </cell>
          <cell r="F32" t="str">
            <v xml:space="preserve"> </v>
          </cell>
          <cell r="G32">
            <v>0.92114959469417845</v>
          </cell>
          <cell r="H32">
            <v>0.89533530307100007</v>
          </cell>
          <cell r="I32">
            <v>0.94304036212749909</v>
          </cell>
          <cell r="J32">
            <v>1.1303266644060133</v>
          </cell>
          <cell r="K32">
            <v>1.2428535918468804</v>
          </cell>
          <cell r="L32">
            <v>1.2423903590508139</v>
          </cell>
          <cell r="M32">
            <v>1.2554927809165097</v>
          </cell>
          <cell r="N32">
            <v>1.3689253935660506</v>
          </cell>
          <cell r="O32">
            <v>1.4637002341920373</v>
          </cell>
          <cell r="P32">
            <v>1.3910140492418974</v>
          </cell>
          <cell r="Q32">
            <v>1.3239772275916855</v>
          </cell>
          <cell r="R32">
            <v>1.3910140492418974</v>
          </cell>
          <cell r="S32">
            <v>1.2851818532322323</v>
          </cell>
          <cell r="T32">
            <v>1.3278449077147789</v>
          </cell>
          <cell r="U32">
            <v>1.3262599469496021</v>
          </cell>
          <cell r="V32">
            <v>1.109204773115789</v>
          </cell>
          <cell r="W32">
            <v>1.1090163025396473</v>
          </cell>
          <cell r="X32">
            <v>1.1071770660907396</v>
          </cell>
          <cell r="Y32">
            <v>1.1076734612665697</v>
          </cell>
          <cell r="Z32">
            <v>1.1133312835540194</v>
          </cell>
          <cell r="AA32">
            <v>1.1175335633988066</v>
          </cell>
          <cell r="AB32">
            <v>1.1212148504311792</v>
          </cell>
          <cell r="AC32">
            <v>1.1257656636476352</v>
          </cell>
          <cell r="AD32">
            <v>1.129941297726851</v>
          </cell>
          <cell r="AE32">
            <v>1.1341078024031095</v>
          </cell>
          <cell r="AF32">
            <v>1.1384383316878124</v>
          </cell>
          <cell r="AG32">
            <v>1.1426941784939741</v>
          </cell>
          <cell r="AH32">
            <v>1.1469770456967465</v>
          </cell>
          <cell r="AI32">
            <v>1.1512991645700521</v>
          </cell>
          <cell r="AJ32">
            <v>1.1556183144236973</v>
          </cell>
          <cell r="AK32">
            <v>1.159958761844901</v>
          </cell>
          <cell r="AL32">
            <v>1.1643185698892931</v>
          </cell>
          <cell r="AM32">
            <v>1.1686910074449466</v>
          </cell>
          <cell r="AN32">
            <v>1.1730813522584276</v>
          </cell>
          <cell r="AO32">
            <v>1.1774884566498436</v>
          </cell>
          <cell r="AP32">
            <v>1.1819114400274466</v>
          </cell>
          <cell r="AQ32">
            <v>1.1863514014684136</v>
          </cell>
          <cell r="AR32">
            <v>1.190808026080878</v>
          </cell>
          <cell r="AS32">
            <v>1.1952812807722792</v>
          </cell>
          <cell r="AT32">
            <v>1.1997714192196032</v>
          </cell>
          <cell r="AU32">
            <v>1.2042784090343162</v>
          </cell>
          <cell r="AV32">
            <v>1.2088023134195365</v>
          </cell>
          <cell r="AW32">
            <v>1.213343228160195</v>
          </cell>
          <cell r="AX32">
            <v>1.2179011956125247</v>
          </cell>
          <cell r="AY32">
            <v>1.2224762834229725</v>
          </cell>
          <cell r="AZ32">
            <v>1.2270685607395611</v>
          </cell>
          <cell r="BA32">
            <v>1.5022696164754095</v>
          </cell>
          <cell r="BB32">
            <v>1.5022696164754095</v>
          </cell>
          <cell r="BC32">
            <v>1.5022696164754095</v>
          </cell>
          <cell r="BD32">
            <v>1.5022696164754095</v>
          </cell>
          <cell r="BE32">
            <v>1.5022696164754095</v>
          </cell>
          <cell r="BF32">
            <v>1.5022696164754095</v>
          </cell>
          <cell r="BG32">
            <v>1.5022696164754095</v>
          </cell>
          <cell r="BH32">
            <v>1.5022696164754095</v>
          </cell>
          <cell r="BI32">
            <v>1.5022696164754095</v>
          </cell>
          <cell r="BJ32">
            <v>1.5022696164754095</v>
          </cell>
          <cell r="BK32">
            <v>1.5022696164754095</v>
          </cell>
          <cell r="BL32">
            <v>1.5022696164754095</v>
          </cell>
          <cell r="BM32">
            <v>1.5022696164754095</v>
          </cell>
          <cell r="BN32">
            <v>1.5022696164754095</v>
          </cell>
          <cell r="BO32">
            <v>1.5022696164754095</v>
          </cell>
          <cell r="BP32">
            <v>1.5022696164754095</v>
          </cell>
          <cell r="BQ32">
            <v>1.5022696164754095</v>
          </cell>
          <cell r="BR32">
            <v>1.5022696164754095</v>
          </cell>
          <cell r="BS32">
            <v>1.5022696164754095</v>
          </cell>
          <cell r="BT32">
            <v>1.5022696164754095</v>
          </cell>
          <cell r="BU32">
            <v>1.5022696164754095</v>
          </cell>
          <cell r="BV32">
            <v>1.5022696164754095</v>
          </cell>
          <cell r="BW32">
            <v>1.5022696164754095</v>
          </cell>
          <cell r="BX32">
            <v>1.5022696164754095</v>
          </cell>
          <cell r="BY32">
            <v>1.5022696164754095</v>
          </cell>
          <cell r="BZ32">
            <v>1.5022696164754095</v>
          </cell>
          <cell r="CA32">
            <v>1.5022696164754095</v>
          </cell>
          <cell r="CB32">
            <v>1.5022696164754095</v>
          </cell>
          <cell r="CC32">
            <v>1.5022696164754095</v>
          </cell>
          <cell r="CD32">
            <v>1.5022696164754095</v>
          </cell>
        </row>
        <row r="33">
          <cell r="B33" t="str">
            <v>GBP</v>
          </cell>
          <cell r="D33" t="str">
            <v>GBP</v>
          </cell>
          <cell r="E33" t="str">
            <v>GBP</v>
          </cell>
          <cell r="F33" t="str">
            <v xml:space="preserve"> </v>
          </cell>
          <cell r="G33">
            <v>1.5130882130428203</v>
          </cell>
          <cell r="H33">
            <v>1.4402995823131211</v>
          </cell>
          <cell r="I33">
            <v>1.501276084671971</v>
          </cell>
          <cell r="J33">
            <v>1.6339869281045751</v>
          </cell>
          <cell r="K33">
            <v>1.8325087044163462</v>
          </cell>
          <cell r="L33">
            <v>1.817520901490367</v>
          </cell>
          <cell r="M33">
            <v>1.840942562592047</v>
          </cell>
          <cell r="N33">
            <v>2.0012007204322595</v>
          </cell>
          <cell r="O33">
            <v>1.8328445747800588</v>
          </cell>
          <cell r="P33">
            <v>1.5612802498048401</v>
          </cell>
          <cell r="Q33">
            <v>1.5444015444015444</v>
          </cell>
          <cell r="R33">
            <v>1.6035920461834507</v>
          </cell>
          <cell r="S33">
            <v>1.5847860538827259</v>
          </cell>
          <cell r="T33">
            <v>1.5637216575449571</v>
          </cell>
          <cell r="U33">
            <v>1.6463615409944021</v>
          </cell>
          <cell r="V33">
            <v>1.2729124236252547</v>
          </cell>
          <cell r="W33">
            <v>1.2729124236252547</v>
          </cell>
          <cell r="X33">
            <v>1.2708013753742615</v>
          </cell>
          <cell r="Y33">
            <v>1.271371130376866</v>
          </cell>
          <cell r="Z33">
            <v>1.2778650946800654</v>
          </cell>
          <cell r="AA33">
            <v>1.2826884090080244</v>
          </cell>
          <cell r="AB33">
            <v>1.2869137355318157</v>
          </cell>
          <cell r="AC33">
            <v>1.2921370912819152</v>
          </cell>
          <cell r="AD33">
            <v>1.2969298219963104</v>
          </cell>
          <cell r="AE33">
            <v>1.3017120741177237</v>
          </cell>
          <cell r="AF33">
            <v>1.306682591246054</v>
          </cell>
          <cell r="AG33">
            <v>1.3115673889358659</v>
          </cell>
          <cell r="AH33">
            <v>1.3164832002351781</v>
          </cell>
          <cell r="AI33">
            <v>1.3214440640183498</v>
          </cell>
          <cell r="AJ33">
            <v>1.3264015200048973</v>
          </cell>
          <cell r="AK33">
            <v>1.3313834210228446</v>
          </cell>
          <cell r="AL33">
            <v>1.3363875438762411</v>
          </cell>
          <cell r="AM33">
            <v>1.341406162694893</v>
          </cell>
          <cell r="AN33">
            <v>1.3464453351978409</v>
          </cell>
          <cell r="AO33">
            <v>1.3515037440951678</v>
          </cell>
          <cell r="AP33">
            <v>1.3565803786567574</v>
          </cell>
          <cell r="AQ33">
            <v>1.3616765003870519</v>
          </cell>
          <cell r="AR33">
            <v>1.3667917478578502</v>
          </cell>
          <cell r="AS33">
            <v>1.3719260830860032</v>
          </cell>
          <cell r="AT33">
            <v>1.3770797972381825</v>
          </cell>
          <cell r="AU33">
            <v>1.382252853139311</v>
          </cell>
          <cell r="AV33">
            <v>1.3874453233329886</v>
          </cell>
          <cell r="AW33">
            <v>1.3926573177597348</v>
          </cell>
          <cell r="AX33">
            <v>1.3978888850354039</v>
          </cell>
          <cell r="AY33">
            <v>1.4031401028035821</v>
          </cell>
          <cell r="AZ33">
            <v>1.4084110504313416</v>
          </cell>
          <cell r="BA33">
            <v>1.4084110504313416</v>
          </cell>
          <cell r="BB33">
            <v>1.4084110504313416</v>
          </cell>
          <cell r="BC33">
            <v>1.4084110504313416</v>
          </cell>
          <cell r="BD33">
            <v>1.4084110504313416</v>
          </cell>
          <cell r="BE33">
            <v>1.4084110504313416</v>
          </cell>
          <cell r="BF33">
            <v>1.4084110504313416</v>
          </cell>
          <cell r="BG33">
            <v>1.4084110504313416</v>
          </cell>
          <cell r="BH33">
            <v>1.4084110504313416</v>
          </cell>
          <cell r="BI33">
            <v>1.4084110504313416</v>
          </cell>
          <cell r="BJ33">
            <v>1.4084110504313416</v>
          </cell>
          <cell r="BK33">
            <v>1.4084110504313416</v>
          </cell>
          <cell r="BL33">
            <v>1.4084110504313416</v>
          </cell>
          <cell r="BM33">
            <v>1.4084110504313416</v>
          </cell>
          <cell r="BN33">
            <v>1.4084110504313416</v>
          </cell>
          <cell r="BO33">
            <v>1.4084110504313416</v>
          </cell>
          <cell r="BP33">
            <v>1.4084110504313416</v>
          </cell>
          <cell r="BQ33">
            <v>1.4084110504313416</v>
          </cell>
          <cell r="BR33">
            <v>1.4084110504313416</v>
          </cell>
          <cell r="BS33">
            <v>1.4084110504313416</v>
          </cell>
          <cell r="BT33">
            <v>1.4084110504313416</v>
          </cell>
          <cell r="BU33">
            <v>1.4084110504313416</v>
          </cell>
          <cell r="BV33">
            <v>1.4084110504313416</v>
          </cell>
          <cell r="BW33">
            <v>1.4084110504313416</v>
          </cell>
          <cell r="BX33">
            <v>1.4084110504313416</v>
          </cell>
          <cell r="BY33">
            <v>1.4084110504313416</v>
          </cell>
          <cell r="BZ33">
            <v>1.4084110504313416</v>
          </cell>
          <cell r="CA33">
            <v>1.4084110504313416</v>
          </cell>
          <cell r="CB33">
            <v>1.4084110504313416</v>
          </cell>
          <cell r="CC33">
            <v>1.4084110504313416</v>
          </cell>
          <cell r="CD33">
            <v>1.4084110504313416</v>
          </cell>
        </row>
        <row r="37">
          <cell r="B37" t="str">
            <v>Region</v>
          </cell>
          <cell r="D37" t="str">
            <v>Tag</v>
          </cell>
          <cell r="E37" t="str">
            <v>Currency</v>
          </cell>
        </row>
        <row r="38">
          <cell r="B38" t="str">
            <v>US</v>
          </cell>
          <cell r="D38" t="str">
            <v>US</v>
          </cell>
          <cell r="E38" t="str">
            <v>USD</v>
          </cell>
        </row>
        <row r="39">
          <cell r="B39" t="str">
            <v>China</v>
          </cell>
          <cell r="D39" t="str">
            <v>China</v>
          </cell>
          <cell r="E39" t="str">
            <v>CNY</v>
          </cell>
        </row>
        <row r="40">
          <cell r="B40" t="str">
            <v>Japan</v>
          </cell>
          <cell r="D40" t="str">
            <v>Japan</v>
          </cell>
          <cell r="E40" t="str">
            <v>JPY</v>
          </cell>
        </row>
        <row r="41">
          <cell r="B41" t="str">
            <v>France</v>
          </cell>
          <cell r="D41" t="str">
            <v>France</v>
          </cell>
          <cell r="E41" t="str">
            <v>EUR</v>
          </cell>
        </row>
        <row r="42">
          <cell r="B42" t="str">
            <v>Germany</v>
          </cell>
          <cell r="D42" t="str">
            <v>Germany</v>
          </cell>
          <cell r="E42" t="str">
            <v>EUR</v>
          </cell>
        </row>
        <row r="43">
          <cell r="B43" t="str">
            <v>UK</v>
          </cell>
          <cell r="D43" t="str">
            <v>UK</v>
          </cell>
          <cell r="E43" t="str">
            <v>GBP</v>
          </cell>
        </row>
        <row r="44">
          <cell r="B44" t="str">
            <v>RestOfEurope</v>
          </cell>
          <cell r="D44" t="str">
            <v>RestOfEurope</v>
          </cell>
          <cell r="E44" t="str">
            <v>EUR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96">
          <cell r="J196">
            <v>3687.5060392976893</v>
          </cell>
        </row>
      </sheetData>
      <sheetData sheetId="26" refreshError="1"/>
      <sheetData sheetId="27">
        <row r="98">
          <cell r="F98">
            <v>26.409275334093866</v>
          </cell>
        </row>
      </sheetData>
      <sheetData sheetId="28">
        <row r="98">
          <cell r="F98">
            <v>8.8415246614638932</v>
          </cell>
        </row>
      </sheetData>
      <sheetData sheetId="29">
        <row r="98">
          <cell r="F98">
            <v>4.613134037022026</v>
          </cell>
        </row>
      </sheetData>
      <sheetData sheetId="30">
        <row r="98">
          <cell r="F98">
            <v>3.5348746698751499</v>
          </cell>
        </row>
      </sheetData>
      <sheetData sheetId="31">
        <row r="98">
          <cell r="F98">
            <v>3.2946506243766862</v>
          </cell>
        </row>
      </sheetData>
      <sheetData sheetId="32">
        <row r="98">
          <cell r="F98">
            <v>7.6872935042537662</v>
          </cell>
        </row>
      </sheetData>
      <sheetData sheetId="33">
        <row r="98">
          <cell r="F98">
            <v>4.6062062424792662</v>
          </cell>
        </row>
      </sheetData>
      <sheetData sheetId="34">
        <row r="98">
          <cell r="F98">
            <v>1.1745281559231384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5">
          <cell r="C15">
            <v>1.0923749060929586E-3</v>
          </cell>
        </row>
        <row r="16">
          <cell r="C16">
            <v>0.39157396801658922</v>
          </cell>
        </row>
        <row r="17">
          <cell r="C17">
            <v>-1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Plot"/>
      <sheetName val="Sensitivity"/>
      <sheetName val="O&amp;R NUGs 5 Year Forecast"/>
      <sheetName val="CPI"/>
      <sheetName val="Nymex"/>
      <sheetName val="Capacity"/>
      <sheetName val="Sithe"/>
      <sheetName val="BNY Capacity"/>
      <sheetName val="Linden O&amp;M"/>
      <sheetName val="Nymex (2)"/>
      <sheetName val="BNY Energy"/>
      <sheetName val="Linden Energy"/>
      <sheetName val="Linden Must Take"/>
      <sheetName val="BNY Summary"/>
      <sheetName val="BNY Forward Prices"/>
      <sheetName val="Selkirk"/>
      <sheetName val="Selkirk Demand Charges"/>
      <sheetName val="Selkirk Summary"/>
      <sheetName val="Indeck Calculations "/>
      <sheetName val="Indeck EAF"/>
      <sheetName val="Indeck Summary"/>
      <sheetName val="5 Year Forecast"/>
      <sheetName val="O&amp;R 5 Year Forecast"/>
      <sheetName val="CECONY NUGs 5 Year Forecast"/>
      <sheetName val="NUG Price Forecast"/>
    </sheetNames>
    <sheetDataSet>
      <sheetData sheetId="0" refreshError="1">
        <row r="18">
          <cell r="A18">
            <v>37257</v>
          </cell>
          <cell r="AB18">
            <v>37257</v>
          </cell>
          <cell r="AC18">
            <v>28.42097712117571</v>
          </cell>
          <cell r="AD18">
            <v>39.448912994060166</v>
          </cell>
          <cell r="AE18">
            <v>44.423936505</v>
          </cell>
          <cell r="AF18">
            <v>38.095119844642177</v>
          </cell>
          <cell r="AG18">
            <v>19.094553366563225</v>
          </cell>
          <cell r="AH18">
            <v>46.00210465</v>
          </cell>
          <cell r="AI18">
            <v>6</v>
          </cell>
          <cell r="AJ18">
            <v>14.607200000000001</v>
          </cell>
          <cell r="AK18">
            <v>14.607200000000001</v>
          </cell>
        </row>
        <row r="19">
          <cell r="AB19">
            <v>37288</v>
          </cell>
          <cell r="AC19">
            <v>25.084970064069243</v>
          </cell>
          <cell r="AD19">
            <v>30.784711021653731</v>
          </cell>
          <cell r="AE19">
            <v>34.410307975499997</v>
          </cell>
          <cell r="AF19">
            <v>29.799016696507795</v>
          </cell>
          <cell r="AG19">
            <v>19.116275631885181</v>
          </cell>
          <cell r="AH19">
            <v>40.721117244177719</v>
          </cell>
          <cell r="AI19">
            <v>6</v>
          </cell>
          <cell r="AJ19">
            <v>14.607200000000001</v>
          </cell>
          <cell r="AK19">
            <v>14.607200000000001</v>
          </cell>
        </row>
        <row r="20">
          <cell r="AB20">
            <v>37316</v>
          </cell>
          <cell r="AC20">
            <v>30.856203848317268</v>
          </cell>
          <cell r="AD20">
            <v>44.161518293566466</v>
          </cell>
          <cell r="AE20">
            <v>51.030712455000007</v>
          </cell>
          <cell r="AF20">
            <v>43.617902764333849</v>
          </cell>
          <cell r="AG20">
            <v>19.793443823922438</v>
          </cell>
          <cell r="AH20">
            <v>49.663972632758629</v>
          </cell>
          <cell r="AI20">
            <v>6</v>
          </cell>
          <cell r="AJ20">
            <v>14.607200000000001</v>
          </cell>
          <cell r="AK20">
            <v>14.607200000000001</v>
          </cell>
        </row>
        <row r="21">
          <cell r="AB21">
            <v>37347</v>
          </cell>
          <cell r="AC21">
            <v>34.287819201201536</v>
          </cell>
          <cell r="AD21">
            <v>49.755848975123065</v>
          </cell>
          <cell r="AE21">
            <v>60.915945150000006</v>
          </cell>
          <cell r="AF21">
            <v>51.836686543437878</v>
          </cell>
          <cell r="AG21">
            <v>21.244758397423805</v>
          </cell>
          <cell r="AH21">
            <v>54.982177497347479</v>
          </cell>
          <cell r="AI21">
            <v>6</v>
          </cell>
          <cell r="AJ21">
            <v>14.607200000000001</v>
          </cell>
          <cell r="AK21">
            <v>14.607200000000001</v>
          </cell>
        </row>
        <row r="22">
          <cell r="AB22">
            <v>37377</v>
          </cell>
          <cell r="AC22">
            <v>36.152273478660518</v>
          </cell>
          <cell r="AD22">
            <v>52.366142846854729</v>
          </cell>
          <cell r="AE22">
            <v>66.43821259500001</v>
          </cell>
          <cell r="AF22">
            <v>56.41699870923069</v>
          </cell>
          <cell r="AG22">
            <v>22.006774053013253</v>
          </cell>
          <cell r="AH22">
            <v>57.913262196153845</v>
          </cell>
          <cell r="AI22">
            <v>6</v>
          </cell>
          <cell r="AJ22">
            <v>14.607200000000001</v>
          </cell>
          <cell r="AK22">
            <v>14.607200000000001</v>
          </cell>
        </row>
        <row r="23">
          <cell r="AB23">
            <v>37408</v>
          </cell>
          <cell r="AC23">
            <v>30.613007053108273</v>
          </cell>
          <cell r="AD23">
            <v>43.69801049627447</v>
          </cell>
          <cell r="AE23">
            <v>50.242885587000004</v>
          </cell>
          <cell r="AF23">
            <v>42.969239491802298</v>
          </cell>
          <cell r="AG23">
            <v>19.693553599671478</v>
          </cell>
          <cell r="AH23">
            <v>51.519876420454537</v>
          </cell>
          <cell r="AI23">
            <v>6</v>
          </cell>
          <cell r="AJ23">
            <v>14.607200000000001</v>
          </cell>
          <cell r="AK23">
            <v>14.607200000000001</v>
          </cell>
        </row>
        <row r="24">
          <cell r="AB24">
            <v>37438</v>
          </cell>
          <cell r="AC24">
            <v>29.375016490597037</v>
          </cell>
          <cell r="AD24">
            <v>41.260727768249431</v>
          </cell>
          <cell r="AE24">
            <v>46.530625440000001</v>
          </cell>
          <cell r="AF24">
            <v>39.8934130994772</v>
          </cell>
          <cell r="AG24">
            <v>19.162857033761433</v>
          </cell>
          <cell r="AH24">
            <v>68.588089673913018</v>
          </cell>
          <cell r="AI24">
            <v>6</v>
          </cell>
          <cell r="AJ24">
            <v>14.607200000000001</v>
          </cell>
          <cell r="AK24">
            <v>14.607200000000001</v>
          </cell>
          <cell r="AL24">
            <v>7.8109485962041791</v>
          </cell>
          <cell r="AM24">
            <v>9.8308652232827054</v>
          </cell>
        </row>
        <row r="25">
          <cell r="AB25">
            <v>37469</v>
          </cell>
          <cell r="AC25">
            <v>29.533502028522307</v>
          </cell>
          <cell r="AD25">
            <v>41.526464180092617</v>
          </cell>
          <cell r="AE25">
            <v>46.779937739999994</v>
          </cell>
          <cell r="AF25">
            <v>40.115756303341925</v>
          </cell>
          <cell r="AG25">
            <v>19.243360300455766</v>
          </cell>
          <cell r="AH25">
            <v>70.29903515625</v>
          </cell>
          <cell r="AI25">
            <v>6</v>
          </cell>
          <cell r="AJ25">
            <v>14.607200000000001</v>
          </cell>
          <cell r="AK25">
            <v>14.607200000000001</v>
          </cell>
          <cell r="AL25">
            <v>7.8109485962041791</v>
          </cell>
          <cell r="AM25">
            <v>9.8308652232827054</v>
          </cell>
          <cell r="AN25">
            <v>5.0437500000000002</v>
          </cell>
        </row>
        <row r="26">
          <cell r="AB26">
            <v>37500</v>
          </cell>
          <cell r="AC26">
            <v>29.265059877917814</v>
          </cell>
          <cell r="AD26">
            <v>40.963924275768228</v>
          </cell>
          <cell r="AE26">
            <v>45.957207150000009</v>
          </cell>
          <cell r="AF26">
            <v>39.435312328917469</v>
          </cell>
          <cell r="AG26">
            <v>19.16902970480993</v>
          </cell>
          <cell r="AH26">
            <v>49.081911931818162</v>
          </cell>
          <cell r="AI26">
            <v>6</v>
          </cell>
          <cell r="AJ26">
            <v>14.607200000000001</v>
          </cell>
          <cell r="AK26">
            <v>14.607200000000001</v>
          </cell>
          <cell r="AL26">
            <v>7.8109485962041791</v>
          </cell>
          <cell r="AM26">
            <v>9.8308652232827054</v>
          </cell>
          <cell r="AN26">
            <v>3.6937500000000001</v>
          </cell>
        </row>
        <row r="27">
          <cell r="AB27">
            <v>37530</v>
          </cell>
          <cell r="AC27">
            <v>32.410794928833823</v>
          </cell>
          <cell r="AD27">
            <v>46.782767410687754</v>
          </cell>
          <cell r="AE27">
            <v>55.065832030500005</v>
          </cell>
          <cell r="AF27">
            <v>47.004982794505167</v>
          </cell>
          <cell r="AG27">
            <v>20.482518611972921</v>
          </cell>
          <cell r="AH27">
            <v>54.978899739583333</v>
          </cell>
          <cell r="AI27">
            <v>6</v>
          </cell>
          <cell r="AJ27">
            <v>14.607200000000001</v>
          </cell>
          <cell r="AK27">
            <v>14.607200000000001</v>
          </cell>
          <cell r="AL27">
            <v>6.315454514966877</v>
          </cell>
          <cell r="AM27">
            <v>6.2411034695006666</v>
          </cell>
          <cell r="AN27">
            <v>3.6937500000000001</v>
          </cell>
        </row>
        <row r="28">
          <cell r="AB28">
            <v>37561</v>
          </cell>
          <cell r="AC28">
            <v>34.394162856365568</v>
          </cell>
          <cell r="AD28">
            <v>49.889072388148627</v>
          </cell>
          <cell r="AE28">
            <v>60.915945150000006</v>
          </cell>
          <cell r="AF28">
            <v>51.858949503091274</v>
          </cell>
          <cell r="AG28">
            <v>21.307653543272167</v>
          </cell>
          <cell r="AH28">
            <v>57.807257102272743</v>
          </cell>
          <cell r="AI28">
            <v>6</v>
          </cell>
          <cell r="AJ28">
            <v>14.607200000000001</v>
          </cell>
          <cell r="AK28">
            <v>14.607200000000001</v>
          </cell>
          <cell r="AL28">
            <v>6.315454514966877</v>
          </cell>
          <cell r="AM28">
            <v>6.2411034695006666</v>
          </cell>
          <cell r="AN28">
            <v>3.6</v>
          </cell>
        </row>
        <row r="29">
          <cell r="AB29">
            <v>37591</v>
          </cell>
          <cell r="AC29">
            <v>34.845204838105644</v>
          </cell>
          <cell r="AD29">
            <v>50.548242560866512</v>
          </cell>
          <cell r="AE29">
            <v>62.291318005000001</v>
          </cell>
          <cell r="AF29">
            <v>52.996938026054828</v>
          </cell>
          <cell r="AG29">
            <v>21.490601084371203</v>
          </cell>
          <cell r="AH29">
            <v>61.369044836956526</v>
          </cell>
          <cell r="AI29">
            <v>6</v>
          </cell>
          <cell r="AJ29">
            <v>14.607200000000001</v>
          </cell>
          <cell r="AK29">
            <v>14.607200000000001</v>
          </cell>
          <cell r="AL29">
            <v>6.315454514966877</v>
          </cell>
          <cell r="AM29">
            <v>6.2411034695006666</v>
          </cell>
          <cell r="AN29">
            <v>3.6749999999999998</v>
          </cell>
        </row>
        <row r="30">
          <cell r="AB30">
            <v>37622</v>
          </cell>
          <cell r="AC30">
            <v>38.41632115368634</v>
          </cell>
          <cell r="AD30">
            <v>55.224286183733554</v>
          </cell>
          <cell r="AE30">
            <v>89.529766266794084</v>
          </cell>
          <cell r="AF30">
            <v>61.421443542091765</v>
          </cell>
          <cell r="AG30">
            <v>22.96657076180011</v>
          </cell>
          <cell r="AH30">
            <v>80.15549</v>
          </cell>
          <cell r="AI30">
            <v>6</v>
          </cell>
          <cell r="AJ30">
            <v>6</v>
          </cell>
          <cell r="AK30">
            <v>15.2446</v>
          </cell>
          <cell r="AL30">
            <v>7.0195813018408018</v>
          </cell>
          <cell r="AM30">
            <v>7.2223327296692208</v>
          </cell>
          <cell r="AN30">
            <v>3.9562499999999998</v>
          </cell>
        </row>
        <row r="31">
          <cell r="AB31">
            <v>37653</v>
          </cell>
          <cell r="AC31">
            <v>40.51377636540262</v>
          </cell>
          <cell r="AD31">
            <v>57.645873196713943</v>
          </cell>
          <cell r="AE31">
            <v>99.511684113838754</v>
          </cell>
          <cell r="AF31">
            <v>66.286930289703349</v>
          </cell>
          <cell r="AG31">
            <v>23.827454258057777</v>
          </cell>
          <cell r="AH31">
            <v>93.775004687500001</v>
          </cell>
          <cell r="AI31">
            <v>6</v>
          </cell>
          <cell r="AJ31">
            <v>6</v>
          </cell>
          <cell r="AK31">
            <v>15.2446</v>
          </cell>
          <cell r="AL31">
            <v>7.0195813018408018</v>
          </cell>
          <cell r="AM31">
            <v>7.2223327296692208</v>
          </cell>
          <cell r="AN31">
            <v>3.6937500000000001</v>
          </cell>
        </row>
        <row r="32">
          <cell r="AB32">
            <v>37681</v>
          </cell>
          <cell r="AC32">
            <v>56.282461271432382</v>
          </cell>
          <cell r="AD32">
            <v>70.950753662858702</v>
          </cell>
          <cell r="AE32">
            <v>139.56491548234703</v>
          </cell>
          <cell r="AF32">
            <v>104.39428433236684</v>
          </cell>
          <cell r="AG32">
            <v>29.980722160299187</v>
          </cell>
          <cell r="AH32">
            <v>89.025372750663124</v>
          </cell>
          <cell r="AI32">
            <v>6</v>
          </cell>
          <cell r="AJ32">
            <v>6</v>
          </cell>
          <cell r="AK32">
            <v>15.2446</v>
          </cell>
          <cell r="AL32">
            <v>7.0195813018408018</v>
          </cell>
          <cell r="AM32">
            <v>7.2223327296692208</v>
          </cell>
          <cell r="AN32">
            <v>3.5437500000000002</v>
          </cell>
        </row>
        <row r="33">
          <cell r="AB33">
            <v>37712</v>
          </cell>
          <cell r="AC33">
            <v>38.826717116391386</v>
          </cell>
          <cell r="AD33">
            <v>55.722277677373967</v>
          </cell>
          <cell r="AE33">
            <v>89.681008079397486</v>
          </cell>
          <cell r="AF33">
            <v>62.122057197399634</v>
          </cell>
          <cell r="AG33">
            <v>33.835059588637918</v>
          </cell>
          <cell r="AH33">
            <v>143.83712499999999</v>
          </cell>
          <cell r="AI33">
            <v>6</v>
          </cell>
          <cell r="AJ33">
            <v>6</v>
          </cell>
          <cell r="AK33">
            <v>15.2446</v>
          </cell>
          <cell r="AL33">
            <v>8.7615320596780961</v>
          </cell>
          <cell r="AM33">
            <v>9.2465634597102699</v>
          </cell>
          <cell r="AN33">
            <v>3.45</v>
          </cell>
        </row>
        <row r="34">
          <cell r="AB34">
            <v>37742</v>
          </cell>
          <cell r="AC34">
            <v>41.492772261089137</v>
          </cell>
          <cell r="AD34">
            <v>58.708732481976341</v>
          </cell>
          <cell r="AE34">
            <v>97.548753300353823</v>
          </cell>
          <cell r="AF34">
            <v>68.572657642772739</v>
          </cell>
          <cell r="AG34">
            <v>35.816124523424115</v>
          </cell>
          <cell r="AH34">
            <v>65.959906387267921</v>
          </cell>
          <cell r="AI34">
            <v>6</v>
          </cell>
          <cell r="AJ34">
            <v>6</v>
          </cell>
          <cell r="AK34">
            <v>15.2446</v>
          </cell>
          <cell r="AL34">
            <v>8.7615320596780961</v>
          </cell>
          <cell r="AM34">
            <v>9.2465634597102699</v>
          </cell>
          <cell r="AN34">
            <v>3.7875000000000001</v>
          </cell>
        </row>
        <row r="35">
          <cell r="AB35">
            <v>37773</v>
          </cell>
          <cell r="AC35">
            <v>43.202635525786889</v>
          </cell>
          <cell r="AD35">
            <v>60.458479565042509</v>
          </cell>
          <cell r="AE35">
            <v>101.51821606457355</v>
          </cell>
          <cell r="AF35">
            <v>72.70443870698756</v>
          </cell>
          <cell r="AG35">
            <v>37.045363907458309</v>
          </cell>
          <cell r="AH35">
            <v>69.395259943181827</v>
          </cell>
          <cell r="AI35">
            <v>6</v>
          </cell>
          <cell r="AJ35">
            <v>6</v>
          </cell>
          <cell r="AK35">
            <v>15.2446</v>
          </cell>
          <cell r="AL35">
            <v>9.5651034882495232</v>
          </cell>
          <cell r="AM35">
            <v>12.032277745424555</v>
          </cell>
          <cell r="AN35">
            <v>4.4249999999999998</v>
          </cell>
        </row>
        <row r="36">
          <cell r="AB36">
            <v>37803</v>
          </cell>
          <cell r="AC36">
            <v>42.402064603368906</v>
          </cell>
          <cell r="AD36">
            <v>59.666874657499378</v>
          </cell>
          <cell r="AE36">
            <v>97.700413023246384</v>
          </cell>
          <cell r="AF36">
            <v>70.645137636811441</v>
          </cell>
          <cell r="AG36">
            <v>36.465990041550896</v>
          </cell>
          <cell r="AH36">
            <v>67.90463932291668</v>
          </cell>
          <cell r="AI36">
            <v>6</v>
          </cell>
          <cell r="AJ36">
            <v>6</v>
          </cell>
          <cell r="AK36">
            <v>15.2446</v>
          </cell>
          <cell r="AL36">
            <v>8.9404198392965935</v>
          </cell>
          <cell r="AM36">
            <v>11.306365240105158</v>
          </cell>
          <cell r="AN36">
            <v>4.7437500000000004</v>
          </cell>
        </row>
        <row r="37">
          <cell r="AB37">
            <v>37834</v>
          </cell>
          <cell r="AC37">
            <v>37.931860302887429</v>
          </cell>
          <cell r="AD37">
            <v>54.639264152207836</v>
          </cell>
          <cell r="AE37">
            <v>84.886454193290319</v>
          </cell>
          <cell r="AF37">
            <v>59.598348804627626</v>
          </cell>
          <cell r="AG37">
            <v>33.119547619629209</v>
          </cell>
          <cell r="AH37">
            <v>81.408623641304345</v>
          </cell>
          <cell r="AI37">
            <v>6</v>
          </cell>
          <cell r="AJ37">
            <v>6</v>
          </cell>
          <cell r="AK37">
            <v>15.2446</v>
          </cell>
          <cell r="AL37">
            <v>8.9404198392965935</v>
          </cell>
          <cell r="AM37">
            <v>11.306365240105158</v>
          </cell>
          <cell r="AN37">
            <v>5.0250000000000004</v>
          </cell>
        </row>
        <row r="38">
          <cell r="AB38">
            <v>37865</v>
          </cell>
          <cell r="AC38">
            <v>38.652355608876192</v>
          </cell>
          <cell r="AD38">
            <v>55.524279402872402</v>
          </cell>
          <cell r="AE38">
            <v>88.814249898107235</v>
          </cell>
          <cell r="AF38">
            <v>61.271905001952646</v>
          </cell>
          <cell r="AG38">
            <v>33.668137106413191</v>
          </cell>
          <cell r="AH38">
            <v>61.377697895623349</v>
          </cell>
          <cell r="AI38">
            <v>6</v>
          </cell>
          <cell r="AJ38">
            <v>6</v>
          </cell>
          <cell r="AK38">
            <v>15.2446</v>
          </cell>
          <cell r="AL38">
            <v>8.9404198392965935</v>
          </cell>
          <cell r="AM38">
            <v>11.306365240105158</v>
          </cell>
          <cell r="AN38">
            <v>3.6749999999999998</v>
          </cell>
        </row>
        <row r="39">
          <cell r="AB39">
            <v>37895</v>
          </cell>
          <cell r="AC39">
            <v>36.796438758917205</v>
          </cell>
          <cell r="AD39">
            <v>53.178466987213518</v>
          </cell>
          <cell r="AE39">
            <v>85.430152243322581</v>
          </cell>
          <cell r="AF39">
            <v>56.71225066555558</v>
          </cell>
          <cell r="AG39">
            <v>32.21725259562605</v>
          </cell>
          <cell r="AH39">
            <v>58.459937096816986</v>
          </cell>
          <cell r="AI39">
            <v>6</v>
          </cell>
          <cell r="AJ39">
            <v>6</v>
          </cell>
          <cell r="AK39">
            <v>15.2446</v>
          </cell>
          <cell r="AL39">
            <v>7.8767135770833834</v>
          </cell>
          <cell r="AM39">
            <v>8.2183617410806313</v>
          </cell>
          <cell r="AN39">
            <v>3.6</v>
          </cell>
        </row>
        <row r="40">
          <cell r="AB40">
            <v>37926</v>
          </cell>
          <cell r="AC40">
            <v>36.508974490730694</v>
          </cell>
          <cell r="AD40">
            <v>52.798645136634839</v>
          </cell>
          <cell r="AE40">
            <v>86.748008949672922</v>
          </cell>
          <cell r="AF40">
            <v>56.103563992139662</v>
          </cell>
          <cell r="AG40">
            <v>31.996906591681284</v>
          </cell>
          <cell r="AH40">
            <v>58.043305270026522</v>
          </cell>
          <cell r="AI40">
            <v>6</v>
          </cell>
          <cell r="AJ40">
            <v>6</v>
          </cell>
          <cell r="AK40">
            <v>15.2446</v>
          </cell>
          <cell r="AL40">
            <v>7.8767135770833834</v>
          </cell>
          <cell r="AM40">
            <v>8.2183617410806313</v>
          </cell>
          <cell r="AN40">
            <v>3.5249999999999999</v>
          </cell>
        </row>
        <row r="41">
          <cell r="AB41">
            <v>37956</v>
          </cell>
          <cell r="AC41">
            <v>36.664539134782942</v>
          </cell>
          <cell r="AD41">
            <v>53.00691115710498</v>
          </cell>
          <cell r="AE41">
            <v>83.478074876568812</v>
          </cell>
          <cell r="AF41">
            <v>56.495554566927339</v>
          </cell>
          <cell r="AG41">
            <v>32.122238018194956</v>
          </cell>
          <cell r="AH41">
            <v>64.519559782608695</v>
          </cell>
          <cell r="AI41">
            <v>6</v>
          </cell>
          <cell r="AJ41">
            <v>6</v>
          </cell>
          <cell r="AK41">
            <v>15.2446</v>
          </cell>
          <cell r="AL41">
            <v>7.8767135770833834</v>
          </cell>
          <cell r="AM41">
            <v>8.2183617410806313</v>
          </cell>
          <cell r="AN41">
            <v>3.6937500000000001</v>
          </cell>
        </row>
        <row r="42">
          <cell r="AB42">
            <v>37987</v>
          </cell>
          <cell r="AC42">
            <v>48.037853011719449</v>
          </cell>
          <cell r="AD42">
            <v>64.927579327705274</v>
          </cell>
          <cell r="AE42">
            <v>119.45858625733094</v>
          </cell>
          <cell r="AF42">
            <v>83.988057757126583</v>
          </cell>
          <cell r="AG42">
            <v>40.368957906327886</v>
          </cell>
          <cell r="AH42">
            <v>98.202093750000003</v>
          </cell>
          <cell r="AI42">
            <v>6</v>
          </cell>
          <cell r="AJ42">
            <v>6</v>
          </cell>
          <cell r="AK42">
            <v>6</v>
          </cell>
          <cell r="AL42">
            <v>7.3933488515967509</v>
          </cell>
          <cell r="AM42">
            <v>7.8266686353795993</v>
          </cell>
          <cell r="AN42">
            <v>3.9375</v>
          </cell>
        </row>
        <row r="43">
          <cell r="AB43">
            <v>38018</v>
          </cell>
          <cell r="AC43">
            <v>44.216006385592479</v>
          </cell>
          <cell r="AD43">
            <v>61.524113131548049</v>
          </cell>
          <cell r="AE43">
            <v>108.23885328245822</v>
          </cell>
          <cell r="AF43">
            <v>74.543005099916741</v>
          </cell>
          <cell r="AG43">
            <v>37.728485136235349</v>
          </cell>
          <cell r="AH43">
            <v>69.980590712599479</v>
          </cell>
          <cell r="AI43">
            <v>6</v>
          </cell>
          <cell r="AJ43">
            <v>6</v>
          </cell>
          <cell r="AK43">
            <v>6</v>
          </cell>
          <cell r="AL43">
            <v>7.3933488515967509</v>
          </cell>
          <cell r="AM43">
            <v>7.8266686353795993</v>
          </cell>
          <cell r="AN43">
            <v>3.65625</v>
          </cell>
        </row>
        <row r="44">
          <cell r="AB44">
            <v>38047</v>
          </cell>
          <cell r="AC44">
            <v>40.783155839890775</v>
          </cell>
          <cell r="AD44">
            <v>58.014264426269015</v>
          </cell>
          <cell r="AE44">
            <v>96.708420619445846</v>
          </cell>
          <cell r="AF44">
            <v>65.879129912576815</v>
          </cell>
          <cell r="AG44">
            <v>35.229301864252172</v>
          </cell>
          <cell r="AH44">
            <v>64.500467831962865</v>
          </cell>
          <cell r="AI44">
            <v>6</v>
          </cell>
          <cell r="AJ44">
            <v>6</v>
          </cell>
          <cell r="AK44">
            <v>6</v>
          </cell>
          <cell r="AL44">
            <v>7.3933488515967509</v>
          </cell>
          <cell r="AM44">
            <v>7.8266686353795993</v>
          </cell>
          <cell r="AN44">
            <v>3.5062500000000001</v>
          </cell>
        </row>
        <row r="45">
          <cell r="AB45">
            <v>38078</v>
          </cell>
          <cell r="AC45">
            <v>40.455925328077285</v>
          </cell>
          <cell r="AD45">
            <v>57.653525551850485</v>
          </cell>
          <cell r="AE45">
            <v>95.715249523683426</v>
          </cell>
          <cell r="AF45">
            <v>64.997118419626617</v>
          </cell>
          <cell r="AG45">
            <v>34.979652270283886</v>
          </cell>
          <cell r="AH45">
            <v>63.957778858753322</v>
          </cell>
          <cell r="AI45">
            <v>6</v>
          </cell>
          <cell r="AJ45">
            <v>6</v>
          </cell>
          <cell r="AK45">
            <v>6</v>
          </cell>
          <cell r="AL45">
            <v>8.5893840080033854</v>
          </cell>
          <cell r="AM45">
            <v>9.2165191273726101</v>
          </cell>
          <cell r="AN45">
            <v>3.4312499999999999</v>
          </cell>
        </row>
        <row r="46">
          <cell r="AB46">
            <v>38108</v>
          </cell>
          <cell r="AC46">
            <v>41.361866274368296</v>
          </cell>
          <cell r="AD46">
            <v>58.659895371677791</v>
          </cell>
          <cell r="AE46">
            <v>97.076955889928698</v>
          </cell>
          <cell r="AF46">
            <v>67.135100279773397</v>
          </cell>
          <cell r="AG46">
            <v>35.645976004968446</v>
          </cell>
          <cell r="AH46">
            <v>65.350299709946952</v>
          </cell>
          <cell r="AI46">
            <v>6</v>
          </cell>
          <cell r="AJ46">
            <v>6</v>
          </cell>
          <cell r="AK46">
            <v>6</v>
          </cell>
          <cell r="AL46">
            <v>8.5893840080033854</v>
          </cell>
          <cell r="AM46">
            <v>9.2165191273726101</v>
          </cell>
          <cell r="AN46">
            <v>3.75</v>
          </cell>
        </row>
        <row r="47">
          <cell r="AB47">
            <v>38139</v>
          </cell>
          <cell r="AC47">
            <v>45.049660765782328</v>
          </cell>
          <cell r="AD47">
            <v>62.416062683351392</v>
          </cell>
          <cell r="AE47">
            <v>106.72704798489119</v>
          </cell>
          <cell r="AF47">
            <v>75.842296948464693</v>
          </cell>
          <cell r="AG47">
            <v>38.274704946028898</v>
          </cell>
          <cell r="AH47">
            <v>71.841504076086949</v>
          </cell>
          <cell r="AI47">
            <v>6</v>
          </cell>
          <cell r="AJ47">
            <v>6</v>
          </cell>
          <cell r="AK47">
            <v>6</v>
          </cell>
          <cell r="AL47">
            <v>9.3929554365748142</v>
          </cell>
          <cell r="AM47">
            <v>12.002233413086898</v>
          </cell>
          <cell r="AN47">
            <v>4.3875000000000002</v>
          </cell>
        </row>
        <row r="48">
          <cell r="AB48">
            <v>38169</v>
          </cell>
          <cell r="AC48">
            <v>44.845679823543577</v>
          </cell>
          <cell r="AD48">
            <v>62.212766912965378</v>
          </cell>
          <cell r="AE48">
            <v>106.47497862428807</v>
          </cell>
          <cell r="AF48">
            <v>75.421365417691689</v>
          </cell>
          <cell r="AG48">
            <v>51.825582966161782</v>
          </cell>
          <cell r="AH48">
            <v>70.728635425729451</v>
          </cell>
          <cell r="AI48">
            <v>6</v>
          </cell>
          <cell r="AJ48">
            <v>6</v>
          </cell>
          <cell r="AK48">
            <v>6</v>
          </cell>
          <cell r="AL48">
            <v>9.0326821937889221</v>
          </cell>
          <cell r="AM48">
            <v>11.583578542403771</v>
          </cell>
          <cell r="AN48">
            <v>4.7062499999999998</v>
          </cell>
        </row>
        <row r="49">
          <cell r="AB49">
            <v>38200</v>
          </cell>
          <cell r="AC49">
            <v>42.502642790439069</v>
          </cell>
          <cell r="AD49">
            <v>59.888507564647149</v>
          </cell>
          <cell r="AE49">
            <v>99.371207509190782</v>
          </cell>
          <cell r="AF49">
            <v>69.709876337949964</v>
          </cell>
          <cell r="AG49">
            <v>49.555202822334294</v>
          </cell>
          <cell r="AH49">
            <v>67.061318601326263</v>
          </cell>
          <cell r="AI49">
            <v>6</v>
          </cell>
          <cell r="AJ49">
            <v>6</v>
          </cell>
          <cell r="AK49">
            <v>6</v>
          </cell>
          <cell r="AL49">
            <v>9.0326821937889221</v>
          </cell>
          <cell r="AM49">
            <v>11.583578542403771</v>
          </cell>
          <cell r="AN49">
            <v>5.0437500000000002</v>
          </cell>
        </row>
        <row r="50">
          <cell r="AB50">
            <v>38231</v>
          </cell>
          <cell r="AC50">
            <v>39.28025072483458</v>
          </cell>
          <cell r="AD50">
            <v>56.300155687890921</v>
          </cell>
          <cell r="AE50">
            <v>91.741574471767535</v>
          </cell>
          <cell r="AF50">
            <v>61.865901164403788</v>
          </cell>
          <cell r="AG50">
            <v>46.302709411888863</v>
          </cell>
          <cell r="AH50">
            <v>62.021640076923077</v>
          </cell>
          <cell r="AI50">
            <v>6</v>
          </cell>
          <cell r="AJ50">
            <v>6</v>
          </cell>
          <cell r="AK50">
            <v>6</v>
          </cell>
          <cell r="AL50">
            <v>9.0326821937889221</v>
          </cell>
          <cell r="AM50">
            <v>11.583578542403771</v>
          </cell>
          <cell r="AN50">
            <v>3.6937500000000001</v>
          </cell>
        </row>
        <row r="51">
          <cell r="AB51">
            <v>38261</v>
          </cell>
          <cell r="AC51">
            <v>38.122568294353108</v>
          </cell>
          <cell r="AD51">
            <v>54.876243902910836</v>
          </cell>
          <cell r="AE51">
            <v>87.953842972562214</v>
          </cell>
          <cell r="AF51">
            <v>58.852003377767041</v>
          </cell>
          <cell r="AG51">
            <v>45.065387512505922</v>
          </cell>
          <cell r="AH51">
            <v>61.592532552083327</v>
          </cell>
          <cell r="AI51">
            <v>6</v>
          </cell>
          <cell r="AJ51">
            <v>6</v>
          </cell>
          <cell r="AK51">
            <v>6</v>
          </cell>
          <cell r="AL51">
            <v>8.2070578121924989</v>
          </cell>
          <cell r="AM51">
            <v>8.7722376624815244</v>
          </cell>
          <cell r="AN51">
            <v>3.6937500000000001</v>
          </cell>
        </row>
        <row r="52">
          <cell r="AB52">
            <v>38292</v>
          </cell>
          <cell r="AC52">
            <v>41.22354542590535</v>
          </cell>
          <cell r="AD52">
            <v>58.538295617203204</v>
          </cell>
          <cell r="AE52">
            <v>97.423794159911324</v>
          </cell>
          <cell r="AF52">
            <v>66.386796319993707</v>
          </cell>
          <cell r="AG52">
            <v>48.263740457269755</v>
          </cell>
          <cell r="AH52">
            <v>68.935265625</v>
          </cell>
          <cell r="AI52">
            <v>6</v>
          </cell>
          <cell r="AJ52">
            <v>6</v>
          </cell>
          <cell r="AK52">
            <v>6</v>
          </cell>
          <cell r="AL52">
            <v>8.2070578121924989</v>
          </cell>
          <cell r="AM52">
            <v>8.7722376624815244</v>
          </cell>
          <cell r="AN52">
            <v>3.6</v>
          </cell>
        </row>
        <row r="53">
          <cell r="AB53">
            <v>38322</v>
          </cell>
          <cell r="AC53">
            <v>51.78763832586435</v>
          </cell>
          <cell r="AD53">
            <v>68.127587689944278</v>
          </cell>
          <cell r="AE53">
            <v>127.2044867662793</v>
          </cell>
          <cell r="AF53">
            <v>92.064310894862132</v>
          </cell>
          <cell r="AG53">
            <v>58.192932951258378</v>
          </cell>
          <cell r="AH53">
            <v>81.493244367108758</v>
          </cell>
          <cell r="AI53">
            <v>6</v>
          </cell>
          <cell r="AJ53">
            <v>6</v>
          </cell>
          <cell r="AK53">
            <v>6</v>
          </cell>
          <cell r="AL53">
            <v>8.2070578121924989</v>
          </cell>
          <cell r="AM53">
            <v>8.7722376624815244</v>
          </cell>
          <cell r="AN53">
            <v>3.6749999999999998</v>
          </cell>
        </row>
        <row r="54">
          <cell r="AB54">
            <v>38353</v>
          </cell>
          <cell r="AC54">
            <v>44.921007571428575</v>
          </cell>
          <cell r="AD54">
            <v>64.568039938430402</v>
          </cell>
          <cell r="AE54">
            <v>96.839867244877738</v>
          </cell>
          <cell r="AF54">
            <v>52.448619120795705</v>
          </cell>
          <cell r="AG54">
            <v>41.526834384873368</v>
          </cell>
          <cell r="AH54">
            <v>85.974999999999994</v>
          </cell>
          <cell r="AI54">
            <v>6</v>
          </cell>
          <cell r="AJ54">
            <v>6</v>
          </cell>
          <cell r="AK54">
            <v>6</v>
          </cell>
          <cell r="AL54">
            <v>8.429837643771533</v>
          </cell>
          <cell r="AM54">
            <v>9.2061185631537867</v>
          </cell>
          <cell r="AN54">
            <v>3.9562499999999998</v>
          </cell>
        </row>
        <row r="55">
          <cell r="AB55">
            <v>38384</v>
          </cell>
          <cell r="AC55">
            <v>45.028726428571431</v>
          </cell>
          <cell r="AD55">
            <v>62.471529626857347</v>
          </cell>
          <cell r="AE55">
            <v>98.233823703841082</v>
          </cell>
          <cell r="AF55">
            <v>49.399580594518092</v>
          </cell>
          <cell r="AG55">
            <v>41.662822039621446</v>
          </cell>
          <cell r="AH55">
            <v>88.35</v>
          </cell>
          <cell r="AI55">
            <v>6</v>
          </cell>
          <cell r="AJ55">
            <v>6</v>
          </cell>
          <cell r="AK55">
            <v>6</v>
          </cell>
          <cell r="AL55">
            <v>8.429837643771533</v>
          </cell>
          <cell r="AM55">
            <v>9.2061185631537867</v>
          </cell>
          <cell r="AN55">
            <v>3.6937500000000001</v>
          </cell>
        </row>
        <row r="56">
          <cell r="AB56">
            <v>38412</v>
          </cell>
          <cell r="AC56">
            <v>44.745964428571426</v>
          </cell>
          <cell r="AD56">
            <v>62.5469767413908</v>
          </cell>
          <cell r="AE56">
            <v>97.749744434067907</v>
          </cell>
          <cell r="AF56">
            <v>49.155751103621888</v>
          </cell>
          <cell r="AG56">
            <v>36.192310684733457</v>
          </cell>
          <cell r="AH56">
            <v>79.325000000000003</v>
          </cell>
          <cell r="AI56">
            <v>6</v>
          </cell>
          <cell r="AJ56">
            <v>6</v>
          </cell>
          <cell r="AK56">
            <v>6</v>
          </cell>
          <cell r="AL56">
            <v>8.429837643771533</v>
          </cell>
          <cell r="AM56">
            <v>9.2061185631537867</v>
          </cell>
          <cell r="AN56">
            <v>3.5437500000000002</v>
          </cell>
        </row>
        <row r="57">
          <cell r="AB57">
            <v>38443</v>
          </cell>
          <cell r="AC57">
            <v>48.76971257142857</v>
          </cell>
          <cell r="AD57">
            <v>65.886947704529391</v>
          </cell>
          <cell r="AE57">
            <v>97.65325517901627</v>
          </cell>
          <cell r="AF57">
            <v>53.939718718957096</v>
          </cell>
          <cell r="AG57">
            <v>39.721836447175654</v>
          </cell>
          <cell r="AH57">
            <v>84.075000000000003</v>
          </cell>
          <cell r="AI57">
            <v>6</v>
          </cell>
          <cell r="AJ57">
            <v>6</v>
          </cell>
          <cell r="AK57">
            <v>6</v>
          </cell>
          <cell r="AL57">
            <v>8.7352035341278444</v>
          </cell>
          <cell r="AM57">
            <v>9.5609684441762735</v>
          </cell>
          <cell r="AN57">
            <v>3.45</v>
          </cell>
        </row>
        <row r="58">
          <cell r="AB58">
            <v>38473</v>
          </cell>
          <cell r="AC58">
            <v>48.96046471428572</v>
          </cell>
          <cell r="AD58">
            <v>66.017406297976393</v>
          </cell>
          <cell r="AE58">
            <v>101.92726588953262</v>
          </cell>
          <cell r="AF58">
            <v>54.265950599594007</v>
          </cell>
          <cell r="AG58">
            <v>39.960896285176439</v>
          </cell>
          <cell r="AH58">
            <v>84.55</v>
          </cell>
          <cell r="AI58">
            <v>6</v>
          </cell>
          <cell r="AJ58">
            <v>6</v>
          </cell>
          <cell r="AK58">
            <v>6</v>
          </cell>
          <cell r="AL58">
            <v>8.7352035341278444</v>
          </cell>
          <cell r="AM58">
            <v>9.5609684441762735</v>
          </cell>
          <cell r="AN58">
            <v>3.7875000000000001</v>
          </cell>
        </row>
        <row r="59">
          <cell r="AB59">
            <v>38504</v>
          </cell>
          <cell r="AC59">
            <v>45.57629728571429</v>
          </cell>
          <cell r="AD59">
            <v>63.036812596356164</v>
          </cell>
          <cell r="AE59">
            <v>89.828274669146836</v>
          </cell>
          <cell r="AF59">
            <v>49.860364229483409</v>
          </cell>
          <cell r="AG59">
            <v>36.613416067051503</v>
          </cell>
          <cell r="AH59">
            <v>85.5</v>
          </cell>
          <cell r="AI59">
            <v>6</v>
          </cell>
          <cell r="AJ59">
            <v>6</v>
          </cell>
          <cell r="AK59">
            <v>6</v>
          </cell>
          <cell r="AL59">
            <v>9.5387749626992733</v>
          </cell>
          <cell r="AM59">
            <v>12.34668272989056</v>
          </cell>
          <cell r="AN59">
            <v>4.4249999999999998</v>
          </cell>
        </row>
        <row r="60">
          <cell r="AB60">
            <v>38534</v>
          </cell>
          <cell r="AC60">
            <v>50.143128000000004</v>
          </cell>
          <cell r="AD60">
            <v>67.022662013788761</v>
          </cell>
          <cell r="AE60">
            <v>96.551171521081969</v>
          </cell>
          <cell r="AF60">
            <v>55.702449405009595</v>
          </cell>
          <cell r="AG60">
            <v>41.135695031197088</v>
          </cell>
          <cell r="AH60">
            <v>113.76249999999999</v>
          </cell>
          <cell r="AI60">
            <v>6</v>
          </cell>
          <cell r="AJ60">
            <v>6</v>
          </cell>
          <cell r="AK60">
            <v>6</v>
          </cell>
          <cell r="AL60">
            <v>9.8238881410938568</v>
          </cell>
          <cell r="AM60">
            <v>12.677997983579203</v>
          </cell>
          <cell r="AN60">
            <v>4.7437500000000004</v>
          </cell>
        </row>
        <row r="61">
          <cell r="AB61">
            <v>38565</v>
          </cell>
          <cell r="AC61">
            <v>49.757135428571431</v>
          </cell>
          <cell r="AD61">
            <v>66.726828299728837</v>
          </cell>
          <cell r="AE61">
            <v>94.196406064764602</v>
          </cell>
          <cell r="AF61">
            <v>55.160409075474305</v>
          </cell>
          <cell r="AG61">
            <v>40.693838456247676</v>
          </cell>
          <cell r="AH61">
            <v>133.06649999999999</v>
          </cell>
          <cell r="AI61">
            <v>6</v>
          </cell>
          <cell r="AJ61">
            <v>6</v>
          </cell>
          <cell r="AK61">
            <v>6</v>
          </cell>
          <cell r="AL61">
            <v>9.8238881410938568</v>
          </cell>
          <cell r="AM61">
            <v>12.677997983579203</v>
          </cell>
          <cell r="AN61">
            <v>5.0250000000000004</v>
          </cell>
        </row>
        <row r="62">
          <cell r="AB62">
            <v>38596</v>
          </cell>
          <cell r="AC62">
            <v>64.512374714285713</v>
          </cell>
          <cell r="AD62">
            <v>76.653748889314983</v>
          </cell>
          <cell r="AE62">
            <v>126.072055111406</v>
          </cell>
          <cell r="AF62">
            <v>74.139560608338172</v>
          </cell>
          <cell r="AG62">
            <v>55.401790217656021</v>
          </cell>
          <cell r="AH62">
            <v>162.0795</v>
          </cell>
          <cell r="AI62">
            <v>6</v>
          </cell>
          <cell r="AJ62">
            <v>6</v>
          </cell>
          <cell r="AK62">
            <v>6</v>
          </cell>
          <cell r="AL62">
            <v>9.8238881410938568</v>
          </cell>
          <cell r="AM62">
            <v>12.677997983579203</v>
          </cell>
          <cell r="AN62">
            <v>3.6749999999999998</v>
          </cell>
        </row>
        <row r="63">
          <cell r="AB63">
            <v>38626</v>
          </cell>
          <cell r="AC63">
            <v>70.326948857142852</v>
          </cell>
          <cell r="AD63">
            <v>79.740604168944103</v>
          </cell>
          <cell r="AE63">
            <v>137.50767915007211</v>
          </cell>
          <cell r="AF63">
            <v>81.594249706315324</v>
          </cell>
          <cell r="AG63">
            <v>61.1513436566145</v>
          </cell>
          <cell r="AH63">
            <v>140.31499999999997</v>
          </cell>
          <cell r="AI63">
            <v>6</v>
          </cell>
          <cell r="AJ63">
            <v>11.741249999999999</v>
          </cell>
          <cell r="AK63">
            <v>6</v>
          </cell>
          <cell r="AL63">
            <v>10.119588911778575</v>
          </cell>
          <cell r="AM63">
            <v>11.169690970374017</v>
          </cell>
          <cell r="AN63">
            <v>3.6</v>
          </cell>
        </row>
        <row r="64">
          <cell r="AB64">
            <v>38657</v>
          </cell>
          <cell r="AC64">
            <v>73.237602142857142</v>
          </cell>
          <cell r="AD64">
            <v>81.17659936467976</v>
          </cell>
          <cell r="AE64">
            <v>145.25439410140018</v>
          </cell>
          <cell r="AF64">
            <v>85.301024828722774</v>
          </cell>
          <cell r="AG64">
            <v>64.005920451020927</v>
          </cell>
          <cell r="AH64">
            <v>128.25949999999997</v>
          </cell>
          <cell r="AI64">
            <v>6</v>
          </cell>
          <cell r="AJ64">
            <v>10.834250000000001</v>
          </cell>
          <cell r="AK64">
            <v>6</v>
          </cell>
          <cell r="AL64">
            <v>10.119588911778575</v>
          </cell>
          <cell r="AM64">
            <v>11.169690970374017</v>
          </cell>
          <cell r="AN64">
            <v>3.5249999999999999</v>
          </cell>
        </row>
        <row r="65">
          <cell r="AB65">
            <v>38687</v>
          </cell>
          <cell r="AC65">
            <v>66.700413999999995</v>
          </cell>
          <cell r="AD65">
            <v>77.934927487864854</v>
          </cell>
          <cell r="AE65">
            <v>132.28691618130728</v>
          </cell>
          <cell r="AF65">
            <v>76.828412444953514</v>
          </cell>
          <cell r="AG65">
            <v>57.402888181474346</v>
          </cell>
          <cell r="AH65">
            <v>123.26249999999999</v>
          </cell>
          <cell r="AI65">
            <v>6</v>
          </cell>
          <cell r="AJ65">
            <v>9.6334</v>
          </cell>
          <cell r="AK65">
            <v>6</v>
          </cell>
          <cell r="AL65">
            <v>10.119588911778575</v>
          </cell>
          <cell r="AM65">
            <v>11.169690970374017</v>
          </cell>
          <cell r="AN65">
            <v>3.6937500000000001</v>
          </cell>
        </row>
        <row r="66">
          <cell r="AB66">
            <v>38718</v>
          </cell>
          <cell r="AC66">
            <v>76.563421857142856</v>
          </cell>
          <cell r="AD66">
            <v>51.161297676551989</v>
          </cell>
          <cell r="AE66">
            <v>153.97289898871159</v>
          </cell>
          <cell r="AF66">
            <v>89.328800000000015</v>
          </cell>
          <cell r="AG66">
            <v>67.116327366857675</v>
          </cell>
          <cell r="AH66">
            <v>119.65537654005328</v>
          </cell>
          <cell r="AI66">
            <v>10.79613</v>
          </cell>
          <cell r="AJ66">
            <v>10.1615</v>
          </cell>
          <cell r="AK66">
            <v>6</v>
          </cell>
          <cell r="AL66">
            <v>12.517510008047454</v>
          </cell>
          <cell r="AM66">
            <v>9.3333337038437829</v>
          </cell>
          <cell r="AN66">
            <v>3.9375</v>
          </cell>
        </row>
        <row r="67">
          <cell r="AB67">
            <v>38749</v>
          </cell>
          <cell r="AC67">
            <v>58.017825285714288</v>
          </cell>
          <cell r="AD67">
            <v>50.940158895056804</v>
          </cell>
          <cell r="AE67">
            <v>119.73400833980757</v>
          </cell>
          <cell r="AF67">
            <v>65.429819999999992</v>
          </cell>
          <cell r="AG67">
            <v>48.602676093704318</v>
          </cell>
          <cell r="AH67">
            <v>116.81199999999998</v>
          </cell>
          <cell r="AI67">
            <v>8.1407999999999987</v>
          </cell>
          <cell r="AJ67">
            <v>9.7409999999999997</v>
          </cell>
          <cell r="AK67">
            <v>6</v>
          </cell>
          <cell r="AL67">
            <v>12.517510008047454</v>
          </cell>
          <cell r="AM67">
            <v>9.7409999999999997</v>
          </cell>
          <cell r="AN67">
            <v>3.65625</v>
          </cell>
        </row>
        <row r="68">
          <cell r="AB68">
            <v>38777</v>
          </cell>
          <cell r="AC68">
            <v>48.801130571428573</v>
          </cell>
          <cell r="AD68">
            <v>50.458649338145534</v>
          </cell>
          <cell r="AE68">
            <v>97.936507130758542</v>
          </cell>
          <cell r="AF68">
            <v>53.532260000000001</v>
          </cell>
          <cell r="AG68">
            <v>39.366390023937683</v>
          </cell>
          <cell r="AH68">
            <v>81.348499999999987</v>
          </cell>
          <cell r="AI68">
            <v>6.8183199999999999</v>
          </cell>
          <cell r="AJ68">
            <v>6.8529499999999999</v>
          </cell>
          <cell r="AK68">
            <v>6</v>
          </cell>
          <cell r="AL68">
            <v>12.517510008047454</v>
          </cell>
          <cell r="AM68">
            <v>6.8529499999999999</v>
          </cell>
          <cell r="AN68">
            <v>3.5062500000000001</v>
          </cell>
        </row>
        <row r="69">
          <cell r="AB69">
            <v>38808</v>
          </cell>
          <cell r="AC69">
            <v>49.597801285714283</v>
          </cell>
          <cell r="AD69">
            <v>49.307654515813027</v>
          </cell>
          <cell r="AE69">
            <v>98.154743380166039</v>
          </cell>
          <cell r="AF69">
            <v>54.516620000000017</v>
          </cell>
          <cell r="AG69">
            <v>39.913392127046677</v>
          </cell>
          <cell r="AH69">
            <v>82.611999999999995</v>
          </cell>
          <cell r="AI69">
            <v>6.9268999999999998</v>
          </cell>
          <cell r="AJ69">
            <v>6.4127999999999998</v>
          </cell>
          <cell r="AK69">
            <v>6</v>
          </cell>
          <cell r="AL69">
            <v>11.082267820359492</v>
          </cell>
          <cell r="AM69">
            <v>6.4127999999999998</v>
          </cell>
          <cell r="AN69">
            <v>3.4312499999999999</v>
          </cell>
        </row>
        <row r="70">
          <cell r="AB70">
            <v>38838</v>
          </cell>
          <cell r="AC70">
            <v>49.240982571428574</v>
          </cell>
          <cell r="AD70">
            <v>49.197914854791549</v>
          </cell>
          <cell r="AE70">
            <v>97.998478572411287</v>
          </cell>
          <cell r="AF70">
            <v>54.019500000000001</v>
          </cell>
          <cell r="AG70">
            <v>39.454279853655898</v>
          </cell>
          <cell r="AH70">
            <v>82.29849999999999</v>
          </cell>
          <cell r="AI70">
            <v>6.8707799999999999</v>
          </cell>
          <cell r="AJ70">
            <v>6.5162499999999994</v>
          </cell>
          <cell r="AK70">
            <v>6</v>
          </cell>
          <cell r="AL70">
            <v>11.082267820359492</v>
          </cell>
          <cell r="AM70">
            <v>6.5162499999999994</v>
          </cell>
          <cell r="AN70">
            <v>3.75</v>
          </cell>
        </row>
        <row r="71">
          <cell r="AB71">
            <v>38869</v>
          </cell>
          <cell r="AC71">
            <v>49.588824714285721</v>
          </cell>
          <cell r="AD71">
            <v>49.389631848220048</v>
          </cell>
          <cell r="AE71">
            <v>96.529623929377692</v>
          </cell>
          <cell r="AF71">
            <v>54.428140000000006</v>
          </cell>
          <cell r="AG71">
            <v>39.965036533204398</v>
          </cell>
          <cell r="AH71">
            <v>93.156999999999996</v>
          </cell>
          <cell r="AI71">
            <v>6.9153099999999998</v>
          </cell>
          <cell r="AJ71">
            <v>7.2332999999999998</v>
          </cell>
          <cell r="AK71">
            <v>6</v>
          </cell>
          <cell r="AL71">
            <v>11.885839248930921</v>
          </cell>
          <cell r="AM71">
            <v>7.2332999999999998</v>
          </cell>
          <cell r="AN71">
            <v>4.3875000000000002</v>
          </cell>
        </row>
        <row r="72">
          <cell r="AB72">
            <v>38899</v>
          </cell>
          <cell r="AC72">
            <v>50.692943</v>
          </cell>
          <cell r="AD72">
            <v>49.627348114207201</v>
          </cell>
          <cell r="AE72">
            <v>97.420265446993596</v>
          </cell>
          <cell r="AF72">
            <v>55.807659999999998</v>
          </cell>
          <cell r="AG72">
            <v>41.047567680395296</v>
          </cell>
          <cell r="AH72">
            <v>112.1</v>
          </cell>
          <cell r="AI72">
            <v>7.0678100000000006</v>
          </cell>
          <cell r="AJ72">
            <v>8.8287499999999994</v>
          </cell>
          <cell r="AK72">
            <v>6</v>
          </cell>
          <cell r="AL72">
            <v>10.025740170312435</v>
          </cell>
          <cell r="AM72">
            <v>8.8287499999999994</v>
          </cell>
          <cell r="AN72">
            <v>4.7062499999999998</v>
          </cell>
        </row>
        <row r="73">
          <cell r="AB73">
            <v>38930</v>
          </cell>
          <cell r="AC73">
            <v>51.799305428571422</v>
          </cell>
          <cell r="AD73">
            <v>49.860269554531165</v>
          </cell>
          <cell r="AE73">
            <v>99.141879951514852</v>
          </cell>
          <cell r="AF73">
            <v>57.188660000000006</v>
          </cell>
          <cell r="AG73">
            <v>42.091900357327773</v>
          </cell>
          <cell r="AH73">
            <v>112.1</v>
          </cell>
          <cell r="AI73">
            <v>7.2203100000000004</v>
          </cell>
          <cell r="AJ73">
            <v>8.8287499999999994</v>
          </cell>
          <cell r="AK73">
            <v>6</v>
          </cell>
          <cell r="AL73">
            <v>10.025740170312435</v>
          </cell>
          <cell r="AM73">
            <v>8.8287499999999994</v>
          </cell>
          <cell r="AN73">
            <v>5.0437500000000002</v>
          </cell>
        </row>
        <row r="74">
          <cell r="AB74">
            <v>38961</v>
          </cell>
          <cell r="AC74">
            <v>52.786728285714275</v>
          </cell>
          <cell r="AD74">
            <v>49.925214411721825</v>
          </cell>
          <cell r="AE74">
            <v>103.10156112664893</v>
          </cell>
          <cell r="AF74">
            <v>58.420180000000002</v>
          </cell>
          <cell r="AG74">
            <v>43.029820253095181</v>
          </cell>
          <cell r="AH74">
            <v>94.667500000000004</v>
          </cell>
          <cell r="AI74">
            <v>7.3563400000000003</v>
          </cell>
          <cell r="AJ74">
            <v>7.4678500000000012</v>
          </cell>
          <cell r="AK74">
            <v>6</v>
          </cell>
          <cell r="AL74">
            <v>10.025740170312435</v>
          </cell>
          <cell r="AM74">
            <v>7.4678500000000012</v>
          </cell>
          <cell r="AN74">
            <v>3.6937500000000001</v>
          </cell>
        </row>
        <row r="75">
          <cell r="AB75">
            <v>38991</v>
          </cell>
          <cell r="AC75">
            <v>53.850451999999997</v>
          </cell>
          <cell r="AD75">
            <v>50.018334835029037</v>
          </cell>
          <cell r="AE75">
            <v>105.71765587256846</v>
          </cell>
          <cell r="AF75">
            <v>59.746519999999997</v>
          </cell>
          <cell r="AG75">
            <v>43.61434328777262</v>
          </cell>
          <cell r="AH75">
            <v>102.6</v>
          </cell>
          <cell r="AI75">
            <v>7.5027400000000011</v>
          </cell>
          <cell r="AJ75">
            <v>8.1833500000000008</v>
          </cell>
          <cell r="AK75">
            <v>6</v>
          </cell>
          <cell r="AL75">
            <v>9.5657897546916999</v>
          </cell>
          <cell r="AM75">
            <v>8.1833500000000008</v>
          </cell>
          <cell r="AN75">
            <v>3.6937500000000001</v>
          </cell>
        </row>
        <row r="76">
          <cell r="AB76">
            <v>39022</v>
          </cell>
          <cell r="AC76">
            <v>60.075704285714281</v>
          </cell>
          <cell r="AD76">
            <v>50.888105557711377</v>
          </cell>
          <cell r="AE76">
            <v>119.80243394227166</v>
          </cell>
          <cell r="AF76">
            <v>67.716480000000004</v>
          </cell>
          <cell r="AG76">
            <v>50.180953869234777</v>
          </cell>
          <cell r="AH76">
            <v>102.6</v>
          </cell>
          <cell r="AI76">
            <v>8.3872400000000003</v>
          </cell>
          <cell r="AJ76">
            <v>8.1833500000000008</v>
          </cell>
          <cell r="AK76">
            <v>6</v>
          </cell>
          <cell r="AL76">
            <v>9.5657897546916999</v>
          </cell>
          <cell r="AM76">
            <v>8.1833500000000008</v>
          </cell>
          <cell r="AN76">
            <v>3.6</v>
          </cell>
        </row>
        <row r="77">
          <cell r="AB77">
            <v>39052</v>
          </cell>
          <cell r="AC77">
            <v>66.004729714285702</v>
          </cell>
          <cell r="AD77">
            <v>51.46204982497725</v>
          </cell>
          <cell r="AE77">
            <v>130.26992083035725</v>
          </cell>
          <cell r="AF77">
            <v>75.30322000000001</v>
          </cell>
          <cell r="AG77">
            <v>56.007302355869236</v>
          </cell>
          <cell r="AH77">
            <v>109.52097097644337</v>
          </cell>
          <cell r="AI77">
            <v>9.2290400000000012</v>
          </cell>
          <cell r="AJ77">
            <v>8.1833500000000008</v>
          </cell>
          <cell r="AK77">
            <v>6</v>
          </cell>
          <cell r="AL77">
            <v>9.5657897546916999</v>
          </cell>
          <cell r="AM77">
            <v>8.1833500000000008</v>
          </cell>
          <cell r="AN77">
            <v>3.6749999999999998</v>
          </cell>
        </row>
        <row r="78">
          <cell r="AB78">
            <v>39083</v>
          </cell>
          <cell r="AC78">
            <v>69.456221428571439</v>
          </cell>
          <cell r="AD78">
            <v>51.735009696907433</v>
          </cell>
          <cell r="AE78">
            <v>139.01017777997947</v>
          </cell>
          <cell r="AF78">
            <v>79.704520000000002</v>
          </cell>
          <cell r="AG78">
            <v>59.172643211617832</v>
          </cell>
          <cell r="AH78">
            <v>133.47499999999999</v>
          </cell>
          <cell r="AI78">
            <v>9.7170400000000026</v>
          </cell>
          <cell r="AJ78">
            <v>10.59085</v>
          </cell>
          <cell r="AK78">
            <v>6</v>
          </cell>
          <cell r="AL78">
            <v>10.847561391736328</v>
          </cell>
          <cell r="AM78">
            <v>10.59085</v>
          </cell>
          <cell r="AN78">
            <v>3.9562499999999998</v>
          </cell>
        </row>
        <row r="79">
          <cell r="AB79">
            <v>39114</v>
          </cell>
          <cell r="AC79">
            <v>69.469686285714289</v>
          </cell>
          <cell r="AD79">
            <v>51.40471546502269</v>
          </cell>
          <cell r="AE79">
            <v>142.42312612117118</v>
          </cell>
          <cell r="AF79">
            <v>79.683580000000006</v>
          </cell>
          <cell r="AG79">
            <v>59.397155349873628</v>
          </cell>
          <cell r="AH79">
            <v>133.47499999999999</v>
          </cell>
          <cell r="AI79">
            <v>9.7139900000000008</v>
          </cell>
          <cell r="AJ79">
            <v>10.59085</v>
          </cell>
          <cell r="AK79">
            <v>6</v>
          </cell>
          <cell r="AL79">
            <v>10.847561391736328</v>
          </cell>
          <cell r="AM79">
            <v>10.59085</v>
          </cell>
          <cell r="AN79">
            <v>3.6937500000000001</v>
          </cell>
        </row>
        <row r="80">
          <cell r="AB80">
            <v>39142</v>
          </cell>
          <cell r="AC80">
            <v>68.693212857142868</v>
          </cell>
          <cell r="AD80">
            <v>50.879044380757897</v>
          </cell>
          <cell r="AE80">
            <v>137.67688467324427</v>
          </cell>
          <cell r="AF80">
            <v>78.647360000000006</v>
          </cell>
          <cell r="AG80">
            <v>58.646411601710895</v>
          </cell>
          <cell r="AH80">
            <v>113.89502317853537</v>
          </cell>
          <cell r="AI80">
            <v>9.5980900000000009</v>
          </cell>
          <cell r="AJ80">
            <v>8.8621000000000016</v>
          </cell>
          <cell r="AK80">
            <v>6</v>
          </cell>
          <cell r="AL80">
            <v>10.847561391736328</v>
          </cell>
          <cell r="AM80">
            <v>8.8621000000000016</v>
          </cell>
          <cell r="AN80">
            <v>3.5437500000000002</v>
          </cell>
        </row>
        <row r="81">
          <cell r="AB81">
            <v>39173</v>
          </cell>
          <cell r="AC81">
            <v>60.362954571428567</v>
          </cell>
          <cell r="AD81">
            <v>50.131809691848908</v>
          </cell>
          <cell r="AE81">
            <v>119.38619180173234</v>
          </cell>
          <cell r="AF81">
            <v>67.890500000000003</v>
          </cell>
          <cell r="AG81">
            <v>49.91423340763798</v>
          </cell>
          <cell r="AH81">
            <v>110.675</v>
          </cell>
          <cell r="AI81">
            <v>8.4024900000000002</v>
          </cell>
          <cell r="AJ81">
            <v>8.8621000000000016</v>
          </cell>
          <cell r="AK81">
            <v>6</v>
          </cell>
          <cell r="AL81">
            <v>12.290004543677348</v>
          </cell>
          <cell r="AM81">
            <v>8.8621000000000016</v>
          </cell>
          <cell r="AN81">
            <v>3.45</v>
          </cell>
        </row>
        <row r="82">
          <cell r="AB82">
            <v>39203</v>
          </cell>
          <cell r="AC82">
            <v>59.543842428571438</v>
          </cell>
          <cell r="AD82">
            <v>50.173911765373795</v>
          </cell>
          <cell r="AE82">
            <v>118.30633460513866</v>
          </cell>
          <cell r="AF82">
            <v>66.799620000000004</v>
          </cell>
          <cell r="AG82">
            <v>49.138101421209534</v>
          </cell>
          <cell r="AH82">
            <v>98.619464582058825</v>
          </cell>
          <cell r="AI82">
            <v>8.2804900000000004</v>
          </cell>
          <cell r="AJ82">
            <v>7.6395999999999997</v>
          </cell>
          <cell r="AK82">
            <v>6</v>
          </cell>
          <cell r="AL82">
            <v>12.290004543677348</v>
          </cell>
          <cell r="AM82">
            <v>7.6395999999999997</v>
          </cell>
          <cell r="AN82">
            <v>3.7875000000000001</v>
          </cell>
        </row>
        <row r="83">
          <cell r="AB83">
            <v>39234</v>
          </cell>
          <cell r="AC83">
            <v>59.943299857142854</v>
          </cell>
          <cell r="AD83">
            <v>50.38124570921515</v>
          </cell>
          <cell r="AE83">
            <v>116.90576018606305</v>
          </cell>
          <cell r="AF83">
            <v>67.274480000000011</v>
          </cell>
          <cell r="AG83">
            <v>49.656265765308298</v>
          </cell>
          <cell r="AH83">
            <v>109.01249999999999</v>
          </cell>
          <cell r="AI83">
            <v>8.3323400000000003</v>
          </cell>
          <cell r="AJ83">
            <v>8.3883499999999991</v>
          </cell>
          <cell r="AK83">
            <v>6</v>
          </cell>
          <cell r="AL83">
            <v>13.093575972248775</v>
          </cell>
          <cell r="AM83">
            <v>8.3883499999999991</v>
          </cell>
          <cell r="AN83">
            <v>4.4249999999999998</v>
          </cell>
        </row>
        <row r="84">
          <cell r="AB84">
            <v>39264</v>
          </cell>
          <cell r="AC84">
            <v>60.383151857142863</v>
          </cell>
          <cell r="AD84">
            <v>50.571302873519109</v>
          </cell>
          <cell r="AE84">
            <v>116.43461150238313</v>
          </cell>
          <cell r="AF84">
            <v>67.802720000000008</v>
          </cell>
          <cell r="AG84">
            <v>50.101937208321004</v>
          </cell>
          <cell r="AH84">
            <v>130.625</v>
          </cell>
          <cell r="AI84">
            <v>8.3902900000000002</v>
          </cell>
          <cell r="AK84">
            <v>6</v>
          </cell>
          <cell r="AL84">
            <v>11.612877697713374</v>
          </cell>
          <cell r="AM84">
            <v>9.9175000000000004</v>
          </cell>
          <cell r="AN84">
            <v>4.7437500000000004</v>
          </cell>
        </row>
        <row r="85">
          <cell r="AB85">
            <v>39295</v>
          </cell>
          <cell r="AC85">
            <v>60.697331857142856</v>
          </cell>
          <cell r="AD85">
            <v>50.77182226420102</v>
          </cell>
          <cell r="AE85">
            <v>116.54891957413457</v>
          </cell>
          <cell r="AF85">
            <v>68.16658000000001</v>
          </cell>
          <cell r="AG85">
            <v>50.366454591462329</v>
          </cell>
          <cell r="AH85">
            <v>130.625</v>
          </cell>
          <cell r="AI85">
            <v>8.4299400000000002</v>
          </cell>
          <cell r="AK85">
            <v>6</v>
          </cell>
          <cell r="AL85">
            <v>11.612877697713374</v>
          </cell>
          <cell r="AM85">
            <v>9.9175000000000004</v>
          </cell>
          <cell r="AN85">
            <v>5.0250000000000004</v>
          </cell>
        </row>
        <row r="86">
          <cell r="AB86">
            <v>39326</v>
          </cell>
          <cell r="AC86">
            <v>60.989070428571424</v>
          </cell>
          <cell r="AD86">
            <v>50.814318667887207</v>
          </cell>
          <cell r="AE86">
            <v>119.13259061102035</v>
          </cell>
          <cell r="AF86">
            <v>68.503899999999987</v>
          </cell>
          <cell r="AG86">
            <v>50.607069100955236</v>
          </cell>
          <cell r="AH86">
            <v>104.7375</v>
          </cell>
          <cell r="AI86">
            <v>8.4665400000000002</v>
          </cell>
          <cell r="AK86">
            <v>6</v>
          </cell>
          <cell r="AL86">
            <v>11.612877697713374</v>
          </cell>
          <cell r="AM86">
            <v>8.1246000000000009</v>
          </cell>
          <cell r="AN86">
            <v>3.6749999999999998</v>
          </cell>
        </row>
        <row r="87">
          <cell r="AB87">
            <v>39356</v>
          </cell>
          <cell r="AC87">
            <v>61.388527857142861</v>
          </cell>
          <cell r="AD87">
            <v>50.967646462000232</v>
          </cell>
          <cell r="AE87">
            <v>120.41703215330557</v>
          </cell>
          <cell r="AF87">
            <v>68.977380000000011</v>
          </cell>
          <cell r="AG87">
            <v>49.939960319916402</v>
          </cell>
          <cell r="AH87">
            <v>108.0625</v>
          </cell>
          <cell r="AI87">
            <v>8.5183900000000001</v>
          </cell>
          <cell r="AK87">
            <v>6</v>
          </cell>
          <cell r="AL87">
            <v>10.909444678286057</v>
          </cell>
          <cell r="AM87">
            <v>8.5445999999999991</v>
          </cell>
          <cell r="AN87">
            <v>3.6</v>
          </cell>
        </row>
        <row r="88">
          <cell r="AB88">
            <v>39387</v>
          </cell>
          <cell r="AC88">
            <v>64.541548571428564</v>
          </cell>
          <cell r="AD88">
            <v>51.636810339830582</v>
          </cell>
          <cell r="AE88">
            <v>128.30148975268349</v>
          </cell>
          <cell r="AF88">
            <v>72.993980000000008</v>
          </cell>
          <cell r="AG88">
            <v>54.023961029462221</v>
          </cell>
          <cell r="AH88">
            <v>108.0625</v>
          </cell>
          <cell r="AI88">
            <v>8.9636899999999997</v>
          </cell>
          <cell r="AK88">
            <v>6</v>
          </cell>
          <cell r="AL88">
            <v>10.909444678286057</v>
          </cell>
          <cell r="AM88">
            <v>8.5445999999999991</v>
          </cell>
          <cell r="AN88">
            <v>3.5249999999999999</v>
          </cell>
        </row>
        <row r="89">
          <cell r="AB89">
            <v>39417</v>
          </cell>
          <cell r="AC89">
            <v>67.564408999999998</v>
          </cell>
          <cell r="AD89">
            <v>52.243144185133595</v>
          </cell>
          <cell r="AE89">
            <v>132.86462839640279</v>
          </cell>
          <cell r="AF89">
            <v>76.846299999999999</v>
          </cell>
          <cell r="AG89">
            <v>56.890920107927002</v>
          </cell>
          <cell r="AH89">
            <v>111.72667373569524</v>
          </cell>
          <cell r="AI89">
            <v>9.3906900000000011</v>
          </cell>
          <cell r="AK89">
            <v>6</v>
          </cell>
          <cell r="AL89">
            <v>10.909444678286057</v>
          </cell>
          <cell r="AM89">
            <v>8.5445999999999991</v>
          </cell>
          <cell r="AN89">
            <v>3.6937500000000001</v>
          </cell>
        </row>
        <row r="90">
          <cell r="AB90">
            <v>39448</v>
          </cell>
          <cell r="AC90">
            <v>69.819772571428572</v>
          </cell>
          <cell r="AD90">
            <v>52.460399336178604</v>
          </cell>
          <cell r="AE90">
            <v>139.2135403512473</v>
          </cell>
          <cell r="AF90">
            <v>79.708399999999997</v>
          </cell>
          <cell r="AG90">
            <v>58.696735632920799</v>
          </cell>
          <cell r="AH90">
            <v>131.8125</v>
          </cell>
          <cell r="AI90">
            <v>9.7078900000000008</v>
          </cell>
          <cell r="AK90">
            <v>6</v>
          </cell>
          <cell r="AL90">
            <v>11.494523023847158</v>
          </cell>
          <cell r="AM90">
            <v>9.8171508533839535</v>
          </cell>
          <cell r="AN90">
            <v>3.9375</v>
          </cell>
        </row>
        <row r="91">
          <cell r="AB91">
            <v>39479</v>
          </cell>
          <cell r="AC91">
            <v>69.813040142857147</v>
          </cell>
          <cell r="AD91">
            <v>52.148000790694482</v>
          </cell>
          <cell r="AE91">
            <v>142.63980847253481</v>
          </cell>
          <cell r="AF91">
            <v>79.660720000000012</v>
          </cell>
          <cell r="AG91">
            <v>59.063255180805847</v>
          </cell>
          <cell r="AH91">
            <v>131.8125</v>
          </cell>
          <cell r="AI91">
            <v>9.7017900000000008</v>
          </cell>
          <cell r="AK91">
            <v>6</v>
          </cell>
          <cell r="AL91">
            <v>11.494523023847158</v>
          </cell>
          <cell r="AM91">
            <v>10.091063934282181</v>
          </cell>
          <cell r="AN91">
            <v>3.65625</v>
          </cell>
        </row>
        <row r="92">
          <cell r="AB92">
            <v>39508</v>
          </cell>
          <cell r="AC92">
            <v>68.73809571428572</v>
          </cell>
          <cell r="AD92">
            <v>51.606900373788932</v>
          </cell>
          <cell r="AE92">
            <v>137.23665142572997</v>
          </cell>
          <cell r="AF92">
            <v>78.239700000000013</v>
          </cell>
          <cell r="AG92">
            <v>58.053602017260985</v>
          </cell>
          <cell r="AH92">
            <v>113.58080788981454</v>
          </cell>
          <cell r="AI92">
            <v>9.5431900000000009</v>
          </cell>
          <cell r="AK92">
            <v>6</v>
          </cell>
          <cell r="AL92">
            <v>11.494523023847158</v>
          </cell>
          <cell r="AM92">
            <v>8.5186380887686006</v>
          </cell>
          <cell r="AN92">
            <v>3.5062500000000001</v>
          </cell>
        </row>
        <row r="93">
          <cell r="AB93">
            <v>39539</v>
          </cell>
          <cell r="AC93">
            <v>57.972942428571429</v>
          </cell>
          <cell r="AD93">
            <v>51.002009141703127</v>
          </cell>
          <cell r="AE93">
            <v>113.99485119329863</v>
          </cell>
          <cell r="AF93">
            <v>64.352640000000008</v>
          </cell>
          <cell r="AG93">
            <v>46.629764744580768</v>
          </cell>
          <cell r="AH93">
            <v>109.25</v>
          </cell>
          <cell r="AI93">
            <v>7.9998899999999997</v>
          </cell>
          <cell r="AK93">
            <v>6</v>
          </cell>
          <cell r="AL93">
            <v>12.261875777063832</v>
          </cell>
          <cell r="AM93">
            <v>8.3663901367897999</v>
          </cell>
          <cell r="AN93">
            <v>3.4312499999999999</v>
          </cell>
        </row>
        <row r="94">
          <cell r="AB94">
            <v>39569</v>
          </cell>
          <cell r="AC94">
            <v>57.153830285714292</v>
          </cell>
          <cell r="AD94">
            <v>50.907767138650257</v>
          </cell>
          <cell r="AE94">
            <v>112.92523116786603</v>
          </cell>
          <cell r="AF94">
            <v>63.261660000000013</v>
          </cell>
          <cell r="AG94">
            <v>45.899916372829679</v>
          </cell>
          <cell r="AH94">
            <v>96.1875</v>
          </cell>
          <cell r="AI94">
            <v>7.8778899999999998</v>
          </cell>
          <cell r="AK94">
            <v>6</v>
          </cell>
          <cell r="AL94">
            <v>12.261875777063832</v>
          </cell>
          <cell r="AM94">
            <v>7.2686340205394249</v>
          </cell>
          <cell r="AN94">
            <v>3.75</v>
          </cell>
        </row>
        <row r="95">
          <cell r="AB95">
            <v>39600</v>
          </cell>
          <cell r="AC95">
            <v>57.53084628571429</v>
          </cell>
          <cell r="AD95">
            <v>51.088702523218885</v>
          </cell>
          <cell r="AE95">
            <v>111.44594528274841</v>
          </cell>
          <cell r="AF95">
            <v>63.708399999999997</v>
          </cell>
          <cell r="AG95">
            <v>46.612046096348799</v>
          </cell>
          <cell r="AH95">
            <v>109.25</v>
          </cell>
          <cell r="AI95">
            <v>7.9266899999999998</v>
          </cell>
          <cell r="AK95">
            <v>6</v>
          </cell>
          <cell r="AL95">
            <v>13.065447205635261</v>
          </cell>
          <cell r="AM95">
            <v>8.5062499999999996</v>
          </cell>
          <cell r="AN95">
            <v>4.3875000000000002</v>
          </cell>
        </row>
        <row r="96">
          <cell r="AB96">
            <v>39630</v>
          </cell>
          <cell r="AC96">
            <v>57.822584857142857</v>
          </cell>
          <cell r="AD96">
            <v>51.267068107250367</v>
          </cell>
          <cell r="AE96">
            <v>110.65059479777267</v>
          </cell>
          <cell r="AF96">
            <v>64.045720000000003</v>
          </cell>
          <cell r="AG96">
            <v>46.919883662042224</v>
          </cell>
          <cell r="AH96">
            <v>131.1</v>
          </cell>
          <cell r="AI96">
            <v>7.9632900000000006</v>
          </cell>
          <cell r="AK96">
            <v>6</v>
          </cell>
          <cell r="AL96">
            <v>11.166192883890764</v>
          </cell>
          <cell r="AM96">
            <v>10.25625</v>
          </cell>
          <cell r="AN96">
            <v>4.7062499999999998</v>
          </cell>
        </row>
        <row r="97">
          <cell r="AB97">
            <v>39661</v>
          </cell>
          <cell r="AC97">
            <v>58.136764857142857</v>
          </cell>
          <cell r="AD97">
            <v>51.442887208195465</v>
          </cell>
          <cell r="AE97">
            <v>110.75721188675431</v>
          </cell>
          <cell r="AF97">
            <v>64.409580000000005</v>
          </cell>
          <cell r="AG97">
            <v>47.170413721230396</v>
          </cell>
          <cell r="AH97">
            <v>131.1</v>
          </cell>
          <cell r="AI97">
            <v>8.0029400000000006</v>
          </cell>
          <cell r="AK97">
            <v>6</v>
          </cell>
          <cell r="AL97">
            <v>11.166192883890764</v>
          </cell>
          <cell r="AM97">
            <v>10.050000000000001</v>
          </cell>
          <cell r="AN97">
            <v>5.0437500000000002</v>
          </cell>
        </row>
        <row r="98">
          <cell r="AB98">
            <v>39692</v>
          </cell>
          <cell r="AC98">
            <v>58.385864714285717</v>
          </cell>
          <cell r="AD98">
            <v>51.486588900954708</v>
          </cell>
          <cell r="AE98">
            <v>113.28779799539174</v>
          </cell>
          <cell r="AF98">
            <v>64.690560000000005</v>
          </cell>
          <cell r="AG98">
            <v>47.362226201820697</v>
          </cell>
          <cell r="AH98">
            <v>107.82499999999999</v>
          </cell>
          <cell r="AI98">
            <v>8.0334400000000006</v>
          </cell>
          <cell r="AK98">
            <v>6</v>
          </cell>
          <cell r="AL98">
            <v>11.166192883890764</v>
          </cell>
          <cell r="AM98">
            <v>8.8000000000000007</v>
          </cell>
          <cell r="AN98">
            <v>3.6937500000000001</v>
          </cell>
        </row>
        <row r="99">
          <cell r="AB99">
            <v>39722</v>
          </cell>
          <cell r="AC99">
            <v>58.805519428571429</v>
          </cell>
          <cell r="AD99">
            <v>51.638569071995576</v>
          </cell>
          <cell r="AE99">
            <v>114.62403753404269</v>
          </cell>
          <cell r="AF99">
            <v>65.192160000000001</v>
          </cell>
          <cell r="AG99">
            <v>46.815203462862478</v>
          </cell>
          <cell r="AH99">
            <v>105.6875</v>
          </cell>
          <cell r="AI99">
            <v>8.0883400000000005</v>
          </cell>
          <cell r="AK99">
            <v>6</v>
          </cell>
          <cell r="AL99">
            <v>10.434631097849934</v>
          </cell>
          <cell r="AM99">
            <v>8.8625000000000007</v>
          </cell>
          <cell r="AN99">
            <v>3.6937500000000001</v>
          </cell>
        </row>
        <row r="100">
          <cell r="AB100">
            <v>39753</v>
          </cell>
          <cell r="AC100">
            <v>61.722905142857144</v>
          </cell>
          <cell r="AD100">
            <v>52.294002223808086</v>
          </cell>
          <cell r="AE100">
            <v>122.05814371309532</v>
          </cell>
          <cell r="AF100">
            <v>68.906840000000017</v>
          </cell>
          <cell r="AG100">
            <v>50.541103219523556</v>
          </cell>
          <cell r="AH100">
            <v>105.6875</v>
          </cell>
          <cell r="AI100">
            <v>8.5000900000000001</v>
          </cell>
          <cell r="AK100">
            <v>6</v>
          </cell>
          <cell r="AL100">
            <v>10.434631097849934</v>
          </cell>
          <cell r="AM100">
            <v>8.9</v>
          </cell>
          <cell r="AN100">
            <v>3.6</v>
          </cell>
        </row>
        <row r="101">
          <cell r="AB101">
            <v>39783</v>
          </cell>
          <cell r="AC101">
            <v>64.532571999999988</v>
          </cell>
          <cell r="AD101">
            <v>52.887281369573451</v>
          </cell>
          <cell r="AE101">
            <v>126.16427321244834</v>
          </cell>
          <cell r="AF101">
            <v>72.48378000000001</v>
          </cell>
          <cell r="AG101">
            <v>53.193852894275487</v>
          </cell>
          <cell r="AH101">
            <v>106.30102108542386</v>
          </cell>
          <cell r="AI101">
            <v>8.8965899999999998</v>
          </cell>
          <cell r="AK101">
            <v>6</v>
          </cell>
          <cell r="AL101">
            <v>10.434631097849934</v>
          </cell>
          <cell r="AM101">
            <v>8.8625000000000007</v>
          </cell>
          <cell r="AN101">
            <v>3.6749999999999998</v>
          </cell>
        </row>
        <row r="102">
          <cell r="AB102">
            <v>39814</v>
          </cell>
          <cell r="AC102">
            <v>66.615136571428565</v>
          </cell>
          <cell r="AD102">
            <v>53.101146550267025</v>
          </cell>
          <cell r="AE102">
            <v>132.19701697251512</v>
          </cell>
          <cell r="AF102">
            <v>75.126460000000023</v>
          </cell>
          <cell r="AG102">
            <v>54.840168188661579</v>
          </cell>
          <cell r="AH102">
            <v>109.73295386515476</v>
          </cell>
          <cell r="AI102">
            <v>9.1893900000000013</v>
          </cell>
          <cell r="AK102">
            <v>6</v>
          </cell>
          <cell r="AM102">
            <v>9.2249999999999996</v>
          </cell>
        </row>
        <row r="103">
          <cell r="AB103">
            <v>39845</v>
          </cell>
          <cell r="AC103">
            <v>66.606160000000003</v>
          </cell>
          <cell r="AD103">
            <v>52.671827301604601</v>
          </cell>
          <cell r="AE103">
            <v>135.67983772389843</v>
          </cell>
          <cell r="AF103">
            <v>75.078500000000005</v>
          </cell>
          <cell r="AG103">
            <v>55.207671175966823</v>
          </cell>
          <cell r="AH103">
            <v>109.68742308601149</v>
          </cell>
          <cell r="AI103">
            <v>9.1832900000000013</v>
          </cell>
          <cell r="AM103">
            <v>8.8375000000000004</v>
          </cell>
        </row>
        <row r="104">
          <cell r="AB104">
            <v>39873</v>
          </cell>
          <cell r="AC104">
            <v>65.616492999999991</v>
          </cell>
          <cell r="AD104">
            <v>52.131949146557837</v>
          </cell>
          <cell r="AE104">
            <v>130.3979563782157</v>
          </cell>
          <cell r="AF104">
            <v>73.766620000000003</v>
          </cell>
          <cell r="AG104">
            <v>54.303141504125819</v>
          </cell>
          <cell r="AH104">
            <v>108.00964245148327</v>
          </cell>
          <cell r="AI104">
            <v>9.0368900000000014</v>
          </cell>
          <cell r="AM104">
            <v>8.40625</v>
          </cell>
        </row>
        <row r="105">
          <cell r="AB105">
            <v>39904</v>
          </cell>
          <cell r="AC105">
            <v>55.360760142857139</v>
          </cell>
          <cell r="AD105">
            <v>51.528283028275162</v>
          </cell>
          <cell r="AE105">
            <v>108.17118208486495</v>
          </cell>
          <cell r="AF105">
            <v>60.539259999999999</v>
          </cell>
          <cell r="AG105">
            <v>43.349289630973516</v>
          </cell>
          <cell r="AH105">
            <v>100.9375</v>
          </cell>
          <cell r="AI105">
            <v>7.566790000000001</v>
          </cell>
          <cell r="AM105">
            <v>8.15</v>
          </cell>
        </row>
        <row r="106">
          <cell r="AB106">
            <v>39934</v>
          </cell>
          <cell r="AC106">
            <v>54.561845285714284</v>
          </cell>
          <cell r="AD106">
            <v>51.435268997624284</v>
          </cell>
          <cell r="AE106">
            <v>107.15503208059341</v>
          </cell>
          <cell r="AF106">
            <v>59.474540000000005</v>
          </cell>
          <cell r="AG106">
            <v>42.585785849681557</v>
          </cell>
          <cell r="AH106">
            <v>95.237499999999997</v>
          </cell>
          <cell r="AI106">
            <v>7.4478400000000002</v>
          </cell>
          <cell r="AM106">
            <v>7.8125</v>
          </cell>
        </row>
        <row r="107">
          <cell r="AB107">
            <v>39965</v>
          </cell>
          <cell r="AC107">
            <v>54.87378114285714</v>
          </cell>
          <cell r="AD107">
            <v>51.617435219863864</v>
          </cell>
          <cell r="AE107">
            <v>105.5105690294338</v>
          </cell>
          <cell r="AF107">
            <v>59.838020000000007</v>
          </cell>
          <cell r="AG107">
            <v>43.311460747652383</v>
          </cell>
          <cell r="AH107">
            <v>104.02499999999999</v>
          </cell>
          <cell r="AI107">
            <v>7.4874899999999993</v>
          </cell>
          <cell r="AM107">
            <v>8.0812500000000007</v>
          </cell>
        </row>
        <row r="108">
          <cell r="AB108">
            <v>39995</v>
          </cell>
          <cell r="AC108">
            <v>55.205914285714286</v>
          </cell>
          <cell r="AD108">
            <v>51.797034513520842</v>
          </cell>
          <cell r="AE108">
            <v>104.78011239316221</v>
          </cell>
          <cell r="AF108">
            <v>60.229620000000004</v>
          </cell>
          <cell r="AG108">
            <v>43.680693139865028</v>
          </cell>
          <cell r="AH108">
            <v>124.6875</v>
          </cell>
          <cell r="AI108">
            <v>7.5301900000000002</v>
          </cell>
          <cell r="AM108">
            <v>9.7562499999999996</v>
          </cell>
        </row>
        <row r="109">
          <cell r="AB109">
            <v>40026</v>
          </cell>
          <cell r="AC109">
            <v>55.517850142857135</v>
          </cell>
          <cell r="AD109">
            <v>51.974090202747256</v>
          </cell>
          <cell r="AE109">
            <v>104.87903849937405</v>
          </cell>
          <cell r="AF109">
            <v>60.593200000000003</v>
          </cell>
          <cell r="AG109">
            <v>43.922985857893387</v>
          </cell>
          <cell r="AH109">
            <v>124.6875</v>
          </cell>
          <cell r="AI109">
            <v>7.5698400000000001</v>
          </cell>
          <cell r="AM109">
            <v>9.5562500000000004</v>
          </cell>
        </row>
        <row r="110">
          <cell r="AB110">
            <v>40057</v>
          </cell>
          <cell r="AC110">
            <v>55.787147285714283</v>
          </cell>
          <cell r="AD110">
            <v>52.019031369160437</v>
          </cell>
          <cell r="AE110">
            <v>107.48623822976315</v>
          </cell>
          <cell r="AF110">
            <v>60.901920000000004</v>
          </cell>
          <cell r="AG110">
            <v>44.137225060704033</v>
          </cell>
          <cell r="AH110">
            <v>102.83749999999999</v>
          </cell>
          <cell r="AI110">
            <v>7.6033900000000001</v>
          </cell>
          <cell r="AM110">
            <v>8.3874999999999993</v>
          </cell>
        </row>
        <row r="111">
          <cell r="AB111">
            <v>40087</v>
          </cell>
          <cell r="AC111">
            <v>56.18436057142857</v>
          </cell>
          <cell r="AD111">
            <v>52.172253905960453</v>
          </cell>
          <cell r="AE111">
            <v>108.78781006477976</v>
          </cell>
          <cell r="AF111">
            <v>61.3765</v>
          </cell>
          <cell r="AG111">
            <v>43.120706364811916</v>
          </cell>
          <cell r="AH111">
            <v>100.46249999999999</v>
          </cell>
          <cell r="AI111">
            <v>7.6552400000000009</v>
          </cell>
          <cell r="AM111">
            <v>8.4437499999999996</v>
          </cell>
        </row>
        <row r="112">
          <cell r="AB112">
            <v>40118</v>
          </cell>
          <cell r="AC112">
            <v>59.014224714285717</v>
          </cell>
          <cell r="AD112">
            <v>52.82893232238554</v>
          </cell>
          <cell r="AE112">
            <v>116.07419477350713</v>
          </cell>
          <cell r="AF112">
            <v>64.979700000000008</v>
          </cell>
          <cell r="AG112">
            <v>47.192502037214389</v>
          </cell>
          <cell r="AH112">
            <v>100.46249999999999</v>
          </cell>
          <cell r="AI112">
            <v>8.0547900000000006</v>
          </cell>
          <cell r="AM112">
            <v>8.4749999999999996</v>
          </cell>
        </row>
        <row r="113">
          <cell r="AB113">
            <v>40148</v>
          </cell>
          <cell r="AC113">
            <v>61.75881142857142</v>
          </cell>
          <cell r="AD113">
            <v>53.423459638380926</v>
          </cell>
          <cell r="AE113">
            <v>120.02594507849389</v>
          </cell>
          <cell r="AF113">
            <v>68.473480000000009</v>
          </cell>
          <cell r="AG113">
            <v>49.735403030967362</v>
          </cell>
          <cell r="AH113">
            <v>101.32200306564133</v>
          </cell>
          <cell r="AI113">
            <v>8.4421400000000002</v>
          </cell>
          <cell r="AM113">
            <v>8.4437499999999996</v>
          </cell>
        </row>
        <row r="114">
          <cell r="AB114">
            <v>40179</v>
          </cell>
          <cell r="AC114">
            <v>63.881770571428568</v>
          </cell>
          <cell r="AD114">
            <v>53.638575901701721</v>
          </cell>
          <cell r="AE114">
            <v>126.17484914378298</v>
          </cell>
          <cell r="AF114">
            <v>71.172020000000003</v>
          </cell>
          <cell r="AG114">
            <v>51.278018544312729</v>
          </cell>
          <cell r="AH114">
            <v>104.82358377239345</v>
          </cell>
          <cell r="AI114">
            <v>8.7410399999999999</v>
          </cell>
          <cell r="AM114">
            <v>8.8312500000000007</v>
          </cell>
        </row>
        <row r="115">
          <cell r="AB115">
            <v>40210</v>
          </cell>
          <cell r="AC115">
            <v>63.892991285714288</v>
          </cell>
          <cell r="AD115">
            <v>53.210510654859306</v>
          </cell>
          <cell r="AE115">
            <v>129.75745537526203</v>
          </cell>
          <cell r="AF115">
            <v>71.150220000000004</v>
          </cell>
          <cell r="AG115">
            <v>51.83540958422509</v>
          </cell>
          <cell r="AH115">
            <v>104.8122092925021</v>
          </cell>
          <cell r="AI115">
            <v>8.7379900000000017</v>
          </cell>
          <cell r="AM115">
            <v>8.4625000000000004</v>
          </cell>
        </row>
        <row r="116">
          <cell r="AB116">
            <v>40238</v>
          </cell>
          <cell r="AC116">
            <v>62.90108014285714</v>
          </cell>
          <cell r="AD116">
            <v>52.671889427636806</v>
          </cell>
          <cell r="AE116">
            <v>124.42391833070141</v>
          </cell>
          <cell r="AF116">
            <v>69.83944000000001</v>
          </cell>
          <cell r="AG116">
            <v>50.958536821177255</v>
          </cell>
          <cell r="AH116">
            <v>103.13309330724414</v>
          </cell>
          <cell r="AI116">
            <v>8.5915900000000001</v>
          </cell>
          <cell r="AM116">
            <v>8.03125</v>
          </cell>
        </row>
        <row r="117">
          <cell r="AB117">
            <v>40269</v>
          </cell>
          <cell r="AC117">
            <v>52.73062471428571</v>
          </cell>
          <cell r="AD117">
            <v>52.069483170009981</v>
          </cell>
          <cell r="AE117">
            <v>102.34751297643125</v>
          </cell>
          <cell r="AF117">
            <v>56.719740000000009</v>
          </cell>
          <cell r="AG117">
            <v>39.922576169408011</v>
          </cell>
          <cell r="AH117">
            <v>96.662499999999994</v>
          </cell>
          <cell r="AI117">
            <v>7.1336899999999996</v>
          </cell>
          <cell r="AM117">
            <v>7.8</v>
          </cell>
        </row>
        <row r="118">
          <cell r="AB118">
            <v>40299</v>
          </cell>
          <cell r="AC118">
            <v>51.972104428571434</v>
          </cell>
          <cell r="AD118">
            <v>51.977731939689811</v>
          </cell>
          <cell r="AE118">
            <v>101.42806584332078</v>
          </cell>
          <cell r="AF118">
            <v>55.710880000000003</v>
          </cell>
          <cell r="AG118">
            <v>39.306523421452518</v>
          </cell>
          <cell r="AH118">
            <v>91.199999999999989</v>
          </cell>
          <cell r="AI118">
            <v>7.0208400000000006</v>
          </cell>
          <cell r="AM118">
            <v>7.4749999999999996</v>
          </cell>
        </row>
        <row r="119">
          <cell r="AB119">
            <v>40330</v>
          </cell>
          <cell r="AC119">
            <v>52.261598857142857</v>
          </cell>
          <cell r="AD119">
            <v>52.161163908794208</v>
          </cell>
          <cell r="AE119">
            <v>99.704891326119153</v>
          </cell>
          <cell r="AF119">
            <v>56.045860000000012</v>
          </cell>
          <cell r="AG119">
            <v>40.063634220955564</v>
          </cell>
          <cell r="AH119">
            <v>99.512499999999989</v>
          </cell>
          <cell r="AI119">
            <v>7.0574399999999997</v>
          </cell>
          <cell r="AM119">
            <v>7.75</v>
          </cell>
        </row>
        <row r="120">
          <cell r="AB120">
            <v>40360</v>
          </cell>
          <cell r="AC120">
            <v>52.591487857142859</v>
          </cell>
          <cell r="AD120">
            <v>52.342031902725367</v>
          </cell>
          <cell r="AE120">
            <v>98.952862838551752</v>
          </cell>
          <cell r="AF120">
            <v>56.437079999999995</v>
          </cell>
          <cell r="AG120">
            <v>40.451835913578648</v>
          </cell>
          <cell r="AH120">
            <v>119.46249999999999</v>
          </cell>
          <cell r="AI120">
            <v>7.1001400000000006</v>
          </cell>
          <cell r="AM120">
            <v>9.35</v>
          </cell>
        </row>
        <row r="121">
          <cell r="AB121">
            <v>40391</v>
          </cell>
          <cell r="AC121">
            <v>52.901179571428571</v>
          </cell>
          <cell r="AD121">
            <v>52.520359252526575</v>
          </cell>
          <cell r="AE121">
            <v>99.044097961993771</v>
          </cell>
          <cell r="AF121">
            <v>56.800180000000005</v>
          </cell>
          <cell r="AG121">
            <v>40.687355986511541</v>
          </cell>
          <cell r="AH121">
            <v>119.46249999999999</v>
          </cell>
          <cell r="AI121">
            <v>7.1397899999999996</v>
          </cell>
          <cell r="AM121">
            <v>9.15625</v>
          </cell>
        </row>
        <row r="122">
          <cell r="AB122">
            <v>40422</v>
          </cell>
          <cell r="AC122">
            <v>53.017874999999989</v>
          </cell>
          <cell r="AD122">
            <v>52.566575046722583</v>
          </cell>
          <cell r="AE122">
            <v>101.38204851413455</v>
          </cell>
          <cell r="AF122">
            <v>56.916219999999996</v>
          </cell>
          <cell r="AG122">
            <v>40.748300740841806</v>
          </cell>
          <cell r="AH122">
            <v>98.324999999999989</v>
          </cell>
          <cell r="AI122">
            <v>7.1519899999999996</v>
          </cell>
          <cell r="AM122">
            <v>8.0374999999999996</v>
          </cell>
        </row>
        <row r="123">
          <cell r="AB123">
            <v>40452</v>
          </cell>
          <cell r="AC123">
            <v>53.350008142857149</v>
          </cell>
          <cell r="AD123">
            <v>52.721075185436916</v>
          </cell>
          <cell r="AE123">
            <v>102.56248694551687</v>
          </cell>
          <cell r="AF123">
            <v>57.307440000000007</v>
          </cell>
          <cell r="AG123">
            <v>39.25333859407845</v>
          </cell>
          <cell r="AH123">
            <v>96.1875</v>
          </cell>
          <cell r="AI123">
            <v>7.1946900000000005</v>
          </cell>
          <cell r="AM123">
            <v>8.0687499999999996</v>
          </cell>
        </row>
        <row r="124">
          <cell r="AB124">
            <v>40483</v>
          </cell>
          <cell r="AC124">
            <v>56.220266857142853</v>
          </cell>
          <cell r="AD124">
            <v>53.379034184847455</v>
          </cell>
          <cell r="AE124">
            <v>109.96054728391897</v>
          </cell>
          <cell r="AF124">
            <v>60.966500000000011</v>
          </cell>
          <cell r="AG124">
            <v>43.774223672563984</v>
          </cell>
          <cell r="AH124">
            <v>96.1875</v>
          </cell>
          <cell r="AI124">
            <v>7.6003400000000001</v>
          </cell>
          <cell r="AM124">
            <v>8.1</v>
          </cell>
        </row>
        <row r="125">
          <cell r="AB125">
            <v>40513</v>
          </cell>
          <cell r="AC125">
            <v>58.922214857142848</v>
          </cell>
          <cell r="AD125">
            <v>53.974845071855249</v>
          </cell>
          <cell r="AE125">
            <v>113.80115124453947</v>
          </cell>
          <cell r="AF125">
            <v>64.405140000000017</v>
          </cell>
          <cell r="AG125">
            <v>46.233929446206737</v>
          </cell>
          <cell r="AH125">
            <v>96.255702886347464</v>
          </cell>
          <cell r="AI125">
            <v>7.9815900000000006</v>
          </cell>
          <cell r="AM125">
            <v>8.0687499999999996</v>
          </cell>
        </row>
        <row r="126">
          <cell r="AB126">
            <v>40544</v>
          </cell>
          <cell r="AC126">
            <v>60.789341714285712</v>
          </cell>
          <cell r="AD126">
            <v>54.191247901187481</v>
          </cell>
          <cell r="AE126">
            <v>119.4609557150508</v>
          </cell>
          <cell r="AF126">
            <v>66.772160000000014</v>
          </cell>
          <cell r="AG126">
            <v>47.413271960788322</v>
          </cell>
          <cell r="AH126">
            <v>100.22499999999999</v>
          </cell>
          <cell r="AI126">
            <v>8.2438900000000004</v>
          </cell>
          <cell r="AM126">
            <v>8.4562500000000007</v>
          </cell>
        </row>
        <row r="127">
          <cell r="AB127">
            <v>40575</v>
          </cell>
          <cell r="AC127">
            <v>60.823003857142858</v>
          </cell>
          <cell r="AD127">
            <v>53.764472222343869</v>
          </cell>
          <cell r="AE127">
            <v>123.14334742662564</v>
          </cell>
          <cell r="AF127">
            <v>66.778680000000008</v>
          </cell>
          <cell r="AG127">
            <v>48.112686461133343</v>
          </cell>
          <cell r="AH127">
            <v>99.356731626328511</v>
          </cell>
          <cell r="AI127">
            <v>8.2438900000000004</v>
          </cell>
          <cell r="AM127">
            <v>8.1062499999999993</v>
          </cell>
        </row>
        <row r="128">
          <cell r="AB128">
            <v>40603</v>
          </cell>
          <cell r="AC128">
            <v>59.788454000000002</v>
          </cell>
          <cell r="AD128">
            <v>53.227143572112169</v>
          </cell>
          <cell r="AE128">
            <v>117.67168898318711</v>
          </cell>
          <cell r="AF128">
            <v>65.413240000000002</v>
          </cell>
          <cell r="AG128">
            <v>47.224195485559761</v>
          </cell>
          <cell r="AH128">
            <v>97.607225682003943</v>
          </cell>
          <cell r="AI128">
            <v>8.0913900000000005</v>
          </cell>
          <cell r="AM128">
            <v>7.7062499999999998</v>
          </cell>
        </row>
        <row r="129">
          <cell r="AB129">
            <v>40634</v>
          </cell>
          <cell r="AC129">
            <v>50.51341157142857</v>
          </cell>
          <cell r="AD129">
            <v>52.626032907489119</v>
          </cell>
          <cell r="AE129">
            <v>97.38850086799755</v>
          </cell>
          <cell r="AF129">
            <v>53.447940000000003</v>
          </cell>
          <cell r="AG129">
            <v>36.901964746361841</v>
          </cell>
          <cell r="AH129">
            <v>92.387499999999989</v>
          </cell>
          <cell r="AI129">
            <v>6.7615900000000009</v>
          </cell>
          <cell r="AM129">
            <v>7.4812500000000002</v>
          </cell>
        </row>
        <row r="130">
          <cell r="AB130">
            <v>40664</v>
          </cell>
          <cell r="AC130">
            <v>49.779576857142857</v>
          </cell>
          <cell r="AD130">
            <v>52.53558029322307</v>
          </cell>
          <cell r="AE130">
            <v>96.522523756048159</v>
          </cell>
          <cell r="AF130">
            <v>52.465820000000008</v>
          </cell>
          <cell r="AG130">
            <v>36.332124385502183</v>
          </cell>
          <cell r="AH130">
            <v>87.162499999999994</v>
          </cell>
          <cell r="AI130">
            <v>6.6517900000000001</v>
          </cell>
          <cell r="AM130">
            <v>7.15625</v>
          </cell>
        </row>
        <row r="131">
          <cell r="AB131">
            <v>40695</v>
          </cell>
          <cell r="AC131">
            <v>50.066827142857136</v>
          </cell>
          <cell r="AD131">
            <v>52.720313908485707</v>
          </cell>
          <cell r="AE131">
            <v>94.763870622804546</v>
          </cell>
          <cell r="AF131">
            <v>52.800899999999999</v>
          </cell>
          <cell r="AG131">
            <v>37.243733977940344</v>
          </cell>
          <cell r="AH131">
            <v>95.237499999999997</v>
          </cell>
          <cell r="AI131">
            <v>6.6883900000000001</v>
          </cell>
          <cell r="AM131">
            <v>7.4124999999999996</v>
          </cell>
        </row>
        <row r="132">
          <cell r="AB132">
            <v>40725</v>
          </cell>
          <cell r="AC132">
            <v>50.381007142857143</v>
          </cell>
          <cell r="AD132">
            <v>52.902486585749479</v>
          </cell>
          <cell r="AE132">
            <v>93.955684003941286</v>
          </cell>
          <cell r="AF132">
            <v>53.170020000000015</v>
          </cell>
          <cell r="AG132">
            <v>37.630661069890557</v>
          </cell>
          <cell r="AH132">
            <v>114.2375</v>
          </cell>
          <cell r="AI132">
            <v>6.72865</v>
          </cell>
          <cell r="AM132">
            <v>8.9625000000000004</v>
          </cell>
        </row>
        <row r="133">
          <cell r="AB133">
            <v>40756</v>
          </cell>
          <cell r="AC133">
            <v>50.627862857142858</v>
          </cell>
          <cell r="AD133">
            <v>53.08212166314442</v>
          </cell>
          <cell r="AE133">
            <v>93.909529594613517</v>
          </cell>
          <cell r="AF133">
            <v>53.451820000000005</v>
          </cell>
          <cell r="AG133">
            <v>37.794359689454119</v>
          </cell>
          <cell r="AH133">
            <v>114.2375</v>
          </cell>
          <cell r="AI133">
            <v>6.75915</v>
          </cell>
          <cell r="AM133">
            <v>8.7750000000000004</v>
          </cell>
        </row>
        <row r="134">
          <cell r="AB134">
            <v>40787</v>
          </cell>
          <cell r="AC134">
            <v>50.746802428571428</v>
          </cell>
          <cell r="AD134">
            <v>53.129648236298529</v>
          </cell>
          <cell r="AE134">
            <v>96.280860918505951</v>
          </cell>
          <cell r="AF134">
            <v>53.567959999999999</v>
          </cell>
          <cell r="AG134">
            <v>37.851385450514762</v>
          </cell>
          <cell r="AH134">
            <v>94.05</v>
          </cell>
          <cell r="AI134">
            <v>6.77135</v>
          </cell>
          <cell r="AM134">
            <v>7.6937499999999996</v>
          </cell>
        </row>
        <row r="135">
          <cell r="AB135">
            <v>40817</v>
          </cell>
          <cell r="AC135">
            <v>50.993658142857143</v>
          </cell>
          <cell r="AD135">
            <v>53.285462212455201</v>
          </cell>
          <cell r="AE135">
            <v>97.296933096253952</v>
          </cell>
          <cell r="AF135">
            <v>53.849760000000003</v>
          </cell>
          <cell r="AG135">
            <v>43.83872806545012</v>
          </cell>
          <cell r="AH135">
            <v>92.149999999999991</v>
          </cell>
          <cell r="AI135">
            <v>6.80185</v>
          </cell>
          <cell r="AM135">
            <v>7.7437500000000004</v>
          </cell>
        </row>
        <row r="136">
          <cell r="AB136">
            <v>40848</v>
          </cell>
          <cell r="AC136">
            <v>53.715803428571434</v>
          </cell>
          <cell r="AD136">
            <v>53.944738114928775</v>
          </cell>
          <cell r="AE136">
            <v>104.41757341433077</v>
          </cell>
          <cell r="AF136">
            <v>57.31504000000001</v>
          </cell>
          <cell r="AG136">
            <v>40.624503629254527</v>
          </cell>
          <cell r="AH136">
            <v>92.149999999999991</v>
          </cell>
          <cell r="AI136">
            <v>7.1861499999999996</v>
          </cell>
          <cell r="AM136">
            <v>7.7750000000000004</v>
          </cell>
        </row>
        <row r="137">
          <cell r="AB137">
            <v>40878</v>
          </cell>
          <cell r="AC137">
            <v>56.395309999999995</v>
          </cell>
          <cell r="AD137">
            <v>54.541868977773426</v>
          </cell>
          <cell r="AE137">
            <v>108.19026388058504</v>
          </cell>
          <cell r="AF137">
            <v>60.727140000000006</v>
          </cell>
          <cell r="AG137">
            <v>43.041610654121527</v>
          </cell>
          <cell r="AH137">
            <v>92.149999999999991</v>
          </cell>
          <cell r="AI137">
            <v>7.5643500000000001</v>
          </cell>
          <cell r="AM137">
            <v>7.7437500000000004</v>
          </cell>
        </row>
        <row r="138">
          <cell r="AB138">
            <v>40909</v>
          </cell>
          <cell r="AC138">
            <v>63.506998714285714</v>
          </cell>
          <cell r="AD138">
            <v>54.759594862886139</v>
          </cell>
          <cell r="AE138">
            <v>124.49429228831865</v>
          </cell>
          <cell r="AF138">
            <v>69.837519999999998</v>
          </cell>
          <cell r="AG138">
            <v>49.404060665445378</v>
          </cell>
          <cell r="AH138">
            <v>111.0882186079064</v>
          </cell>
          <cell r="AI138">
            <v>8.5754859999999997</v>
          </cell>
          <cell r="AM138">
            <v>7.4175875969595921</v>
          </cell>
        </row>
        <row r="139">
          <cell r="AB139">
            <v>40940</v>
          </cell>
          <cell r="AC139">
            <v>63.540660857142854</v>
          </cell>
          <cell r="AD139">
            <v>54.334145326953156</v>
          </cell>
          <cell r="AE139">
            <v>128.23323662998925</v>
          </cell>
          <cell r="AF139">
            <v>69.84442</v>
          </cell>
          <cell r="AG139">
            <v>50.182205658052737</v>
          </cell>
          <cell r="AH139">
            <v>119.29364475903938</v>
          </cell>
          <cell r="AI139">
            <v>8.5754859999999997</v>
          </cell>
          <cell r="AM139">
            <v>8.5917040773222144</v>
          </cell>
        </row>
        <row r="140">
          <cell r="AB140">
            <v>40969</v>
          </cell>
          <cell r="AC140">
            <v>62.508355142857155</v>
          </cell>
          <cell r="AD140">
            <v>53.798145913965534</v>
          </cell>
          <cell r="AE140">
            <v>122.70992248767283</v>
          </cell>
          <cell r="AF140">
            <v>68.477879999999999</v>
          </cell>
          <cell r="AG140">
            <v>49.324574416012119</v>
          </cell>
          <cell r="AH140">
            <v>113.05332989928596</v>
          </cell>
          <cell r="AI140">
            <v>8.4229859999999999</v>
          </cell>
          <cell r="AM140">
            <v>8.0433079803219307</v>
          </cell>
        </row>
        <row r="141">
          <cell r="AB141">
            <v>41000</v>
          </cell>
          <cell r="AC141">
            <v>53.237801000000005</v>
          </cell>
          <cell r="AD141">
            <v>53.198367588140137</v>
          </cell>
          <cell r="AE141">
            <v>102.40417191156384</v>
          </cell>
          <cell r="AF141">
            <v>56.513159999999992</v>
          </cell>
          <cell r="AG141">
            <v>38.891905579246128</v>
          </cell>
          <cell r="AH141">
            <v>86.32400004487954</v>
          </cell>
          <cell r="AI141">
            <v>7.0931860000000002</v>
          </cell>
          <cell r="AM141">
            <v>6.2268733873377489</v>
          </cell>
        </row>
        <row r="142">
          <cell r="AB142">
            <v>41030</v>
          </cell>
          <cell r="AC142">
            <v>52.503966285714284</v>
          </cell>
          <cell r="AD142">
            <v>53.109250421462271</v>
          </cell>
          <cell r="AE142">
            <v>101.54843197077554</v>
          </cell>
          <cell r="AF142">
            <v>55.531420000000011</v>
          </cell>
          <cell r="AG142">
            <v>38.332126900390179</v>
          </cell>
          <cell r="AH142">
            <v>88.918676228620512</v>
          </cell>
          <cell r="AI142">
            <v>6.9833859999999994</v>
          </cell>
          <cell r="AM142">
            <v>6.1375204046851435</v>
          </cell>
        </row>
        <row r="143">
          <cell r="AB143">
            <v>41061</v>
          </cell>
          <cell r="AC143">
            <v>52.795704857142852</v>
          </cell>
          <cell r="AD143">
            <v>53.295322600357487</v>
          </cell>
          <cell r="AE143">
            <v>99.754300221489899</v>
          </cell>
          <cell r="AF143">
            <v>55.866979999999998</v>
          </cell>
          <cell r="AG143">
            <v>39.325982171219088</v>
          </cell>
          <cell r="AH143">
            <v>94.836889198327</v>
          </cell>
          <cell r="AI143">
            <v>7.0199860000000003</v>
          </cell>
          <cell r="AM143">
            <v>6.3706142043709759</v>
          </cell>
        </row>
        <row r="144">
          <cell r="AB144">
            <v>41091</v>
          </cell>
          <cell r="AC144">
            <v>53.112128999999996</v>
          </cell>
          <cell r="AD144">
            <v>53.478836964568956</v>
          </cell>
          <cell r="AE144">
            <v>98.924541751330835</v>
          </cell>
          <cell r="AF144">
            <v>56.236580000000011</v>
          </cell>
          <cell r="AG144">
            <v>39.734548940447105</v>
          </cell>
          <cell r="AH144">
            <v>93.602847148779489</v>
          </cell>
          <cell r="AI144">
            <v>7.0602460000000002</v>
          </cell>
          <cell r="AM144">
            <v>6.7217100340901323</v>
          </cell>
        </row>
        <row r="145">
          <cell r="AB145">
            <v>41122</v>
          </cell>
          <cell r="AC145">
            <v>53.361228857142862</v>
          </cell>
          <cell r="AD145">
            <v>53.659816859514464</v>
          </cell>
          <cell r="AE145">
            <v>98.87069635923325</v>
          </cell>
          <cell r="AF145">
            <v>56.518759999999993</v>
          </cell>
          <cell r="AG145">
            <v>39.896076542628776</v>
          </cell>
          <cell r="AH145">
            <v>100.01158415421416</v>
          </cell>
          <cell r="AI145">
            <v>7.0907459999999993</v>
          </cell>
          <cell r="AM145">
            <v>7.1617669617333819</v>
          </cell>
        </row>
        <row r="146">
          <cell r="AB146">
            <v>41153</v>
          </cell>
          <cell r="AC146">
            <v>53.480168428571439</v>
          </cell>
          <cell r="AD146">
            <v>53.70869138812678</v>
          </cell>
          <cell r="AE146">
            <v>101.27540845487736</v>
          </cell>
          <cell r="AF146">
            <v>56.635279999999995</v>
          </cell>
          <cell r="AG146">
            <v>39.955648884513579</v>
          </cell>
          <cell r="AH146">
            <v>97.141548491499975</v>
          </cell>
          <cell r="AI146">
            <v>7.1029460000000002</v>
          </cell>
          <cell r="AM146">
            <v>6.8685617525739477</v>
          </cell>
        </row>
        <row r="147">
          <cell r="AB147">
            <v>41183</v>
          </cell>
          <cell r="AC147">
            <v>53.729268285714284</v>
          </cell>
          <cell r="AD147">
            <v>53.865856464971046</v>
          </cell>
          <cell r="AE147">
            <v>102.30004577899108</v>
          </cell>
          <cell r="AF147">
            <v>56.917560000000002</v>
          </cell>
          <cell r="AG147">
            <v>46.293788932352506</v>
          </cell>
          <cell r="AH147">
            <v>92.074699023571426</v>
          </cell>
          <cell r="AI147">
            <v>7.1334460000000002</v>
          </cell>
          <cell r="AM147">
            <v>6.6722826647456488</v>
          </cell>
        </row>
        <row r="148">
          <cell r="AB148">
            <v>41214</v>
          </cell>
          <cell r="AC148">
            <v>56.453657714285711</v>
          </cell>
          <cell r="AD148">
            <v>54.52648662070051</v>
          </cell>
          <cell r="AE148">
            <v>109.4458960267426</v>
          </cell>
          <cell r="AF148">
            <v>60.383320000000005</v>
          </cell>
          <cell r="AG148">
            <v>42.718027095509321</v>
          </cell>
          <cell r="AH148">
            <v>97.374955848786485</v>
          </cell>
          <cell r="AI148">
            <v>7.5177459999999998</v>
          </cell>
          <cell r="AM148">
            <v>6.8875031363130743</v>
          </cell>
        </row>
        <row r="149">
          <cell r="AB149">
            <v>41244</v>
          </cell>
          <cell r="AC149">
            <v>59.137652571428575</v>
          </cell>
          <cell r="AD149">
            <v>55.124974896725284</v>
          </cell>
          <cell r="AE149">
            <v>113.19390584863061</v>
          </cell>
          <cell r="AF149">
            <v>63.795800000000014</v>
          </cell>
          <cell r="AG149">
            <v>45.101473945117291</v>
          </cell>
          <cell r="AH149">
            <v>95.877060069936562</v>
          </cell>
          <cell r="AI149">
            <v>7.8959460000000012</v>
          </cell>
          <cell r="AM149">
            <v>6.621104361951403</v>
          </cell>
        </row>
        <row r="150">
          <cell r="AB150">
            <v>41275</v>
          </cell>
          <cell r="AC150">
            <v>66.247097142857143</v>
          </cell>
          <cell r="AD150">
            <v>55.344061362315557</v>
          </cell>
          <cell r="AE150">
            <v>129.52762886158646</v>
          </cell>
          <cell r="AF150">
            <v>72.906379999999999</v>
          </cell>
          <cell r="AG150">
            <v>51.343812601458211</v>
          </cell>
          <cell r="AH150">
            <v>116.45181375790499</v>
          </cell>
          <cell r="AI150">
            <v>8.9070819999999991</v>
          </cell>
          <cell r="AM150">
            <v>7.7573035105712789</v>
          </cell>
        </row>
        <row r="151">
          <cell r="AB151">
            <v>41306</v>
          </cell>
          <cell r="AC151">
            <v>66.283003428571419</v>
          </cell>
          <cell r="AD151">
            <v>54.919975581547909</v>
          </cell>
          <cell r="AE151">
            <v>133.32312583335283</v>
          </cell>
          <cell r="AF151">
            <v>72.913379999999989</v>
          </cell>
          <cell r="AG151">
            <v>52.258558141200588</v>
          </cell>
          <cell r="AH151">
            <v>125.05341678953354</v>
          </cell>
          <cell r="AI151">
            <v>8.9070819999999991</v>
          </cell>
          <cell r="AM151">
            <v>8.9881090398584664</v>
          </cell>
        </row>
        <row r="152">
          <cell r="AB152">
            <v>41334</v>
          </cell>
          <cell r="AC152">
            <v>65.252941857142872</v>
          </cell>
          <cell r="AD152">
            <v>54.385343105821008</v>
          </cell>
          <cell r="AE152">
            <v>127.74815599215853</v>
          </cell>
          <cell r="AF152">
            <v>71.546940000000006</v>
          </cell>
          <cell r="AG152">
            <v>51.432848433322683</v>
          </cell>
          <cell r="AH152">
            <v>118.63576242798813</v>
          </cell>
          <cell r="AI152">
            <v>8.7545819999999992</v>
          </cell>
          <cell r="AM152">
            <v>8.4216358427985618</v>
          </cell>
        </row>
        <row r="153">
          <cell r="AB153">
            <v>41365</v>
          </cell>
          <cell r="AC153">
            <v>55.982387714285721</v>
          </cell>
          <cell r="AD153">
            <v>53.786934906776615</v>
          </cell>
          <cell r="AE153">
            <v>107.41984295513014</v>
          </cell>
          <cell r="AF153">
            <v>59.582320000000003</v>
          </cell>
          <cell r="AG153">
            <v>40.839500191618534</v>
          </cell>
          <cell r="AH153">
            <v>90.503401416436077</v>
          </cell>
          <cell r="AI153">
            <v>7.4247819999999995</v>
          </cell>
          <cell r="AM153">
            <v>6.5867775215876367</v>
          </cell>
        </row>
        <row r="154">
          <cell r="AB154">
            <v>41395</v>
          </cell>
          <cell r="AC154">
            <v>55.248553000000001</v>
          </cell>
          <cell r="AD154">
            <v>53.699191063842235</v>
          </cell>
          <cell r="AE154">
            <v>106.57434018550289</v>
          </cell>
          <cell r="AF154">
            <v>58.600780000000015</v>
          </cell>
          <cell r="AG154">
            <v>40.33580922577061</v>
          </cell>
          <cell r="AH154">
            <v>94.50746144651616</v>
          </cell>
          <cell r="AI154">
            <v>7.3149820000000005</v>
          </cell>
          <cell r="AM154">
            <v>6.4992988445091724</v>
          </cell>
        </row>
        <row r="155">
          <cell r="AB155">
            <v>41426</v>
          </cell>
          <cell r="AC155">
            <v>55.542535714285712</v>
          </cell>
          <cell r="AD155">
            <v>53.886639770902995</v>
          </cell>
          <cell r="AE155">
            <v>104.74472982017525</v>
          </cell>
          <cell r="AF155">
            <v>58.937820000000002</v>
          </cell>
          <cell r="AG155">
            <v>41.418201976494146</v>
          </cell>
          <cell r="AH155">
            <v>100.75658326419966</v>
          </cell>
          <cell r="AI155">
            <v>7.3515819999999996</v>
          </cell>
          <cell r="AM155">
            <v>6.7444497914685995</v>
          </cell>
        </row>
        <row r="156">
          <cell r="AB156">
            <v>41456</v>
          </cell>
          <cell r="AC156">
            <v>55.858959857142864</v>
          </cell>
          <cell r="AD156">
            <v>54.071533875179064</v>
          </cell>
          <cell r="AE156">
            <v>103.89339949872036</v>
          </cell>
          <cell r="AF156">
            <v>59.30604000000001</v>
          </cell>
          <cell r="AG156">
            <v>41.846449702041312</v>
          </cell>
          <cell r="AH156">
            <v>99.401566709960591</v>
          </cell>
          <cell r="AI156">
            <v>7.3918419999999996</v>
          </cell>
          <cell r="AM156">
            <v>7.114484270512472</v>
          </cell>
        </row>
        <row r="157">
          <cell r="AB157">
            <v>41487</v>
          </cell>
          <cell r="AC157">
            <v>56.108059714285716</v>
          </cell>
          <cell r="AD157">
            <v>54.253896729582678</v>
          </cell>
          <cell r="AE157">
            <v>103.83186312385298</v>
          </cell>
          <cell r="AF157">
            <v>59.588419999999999</v>
          </cell>
          <cell r="AG157">
            <v>42.005981794107868</v>
          </cell>
          <cell r="AH157">
            <v>106.17222234167532</v>
          </cell>
          <cell r="AI157">
            <v>7.4223419999999996</v>
          </cell>
          <cell r="AM157">
            <v>7.579422968729185</v>
          </cell>
        </row>
        <row r="158">
          <cell r="AB158">
            <v>41518</v>
          </cell>
          <cell r="AC158">
            <v>56.229243428571422</v>
          </cell>
          <cell r="AD158">
            <v>54.304157444558477</v>
          </cell>
          <cell r="AE158">
            <v>106.26995599124876</v>
          </cell>
          <cell r="AF158">
            <v>59.705039999999997</v>
          </cell>
          <cell r="AG158">
            <v>42.06448944148967</v>
          </cell>
          <cell r="AH158">
            <v>103.11186385383331</v>
          </cell>
          <cell r="AI158">
            <v>7.4345419999999995</v>
          </cell>
          <cell r="AM158">
            <v>7.2672529680444979</v>
          </cell>
        </row>
        <row r="159">
          <cell r="AB159">
            <v>41548</v>
          </cell>
          <cell r="AC159">
            <v>56.480587428571432</v>
          </cell>
          <cell r="AD159">
            <v>54.462711942201082</v>
          </cell>
          <cell r="AE159">
            <v>107.30315846172817</v>
          </cell>
          <cell r="AF159">
            <v>59.98742</v>
          </cell>
          <cell r="AG159">
            <v>48.77224798045949</v>
          </cell>
          <cell r="AH159">
            <v>97.701795779285717</v>
          </cell>
          <cell r="AI159">
            <v>7.4650420000000013</v>
          </cell>
          <cell r="AM159">
            <v>7.0567372351744595</v>
          </cell>
        </row>
        <row r="160">
          <cell r="AB160">
            <v>41579</v>
          </cell>
          <cell r="AC160">
            <v>59.204976857142853</v>
          </cell>
          <cell r="AD160">
            <v>55.124734760710744</v>
          </cell>
          <cell r="AE160">
            <v>114.47421863915442</v>
          </cell>
          <cell r="AF160">
            <v>63.453279999999999</v>
          </cell>
          <cell r="AG160">
            <v>44.816493984887693</v>
          </cell>
          <cell r="AH160">
            <v>102.93235533966205</v>
          </cell>
          <cell r="AI160">
            <v>7.8493419999999992</v>
          </cell>
          <cell r="AM160">
            <v>7.258811735147825</v>
          </cell>
        </row>
        <row r="161">
          <cell r="AB161">
            <v>41609</v>
          </cell>
          <cell r="AC161">
            <v>61.888971714285717</v>
          </cell>
          <cell r="AD161">
            <v>55.724618949062226</v>
          </cell>
          <cell r="AE161">
            <v>118.19754781667616</v>
          </cell>
          <cell r="AF161">
            <v>66.865860000000012</v>
          </cell>
          <cell r="AG161">
            <v>47.17021277685339</v>
          </cell>
          <cell r="AH161">
            <v>100.06179745359799</v>
          </cell>
          <cell r="AI161">
            <v>8.2275419999999997</v>
          </cell>
          <cell r="AM161">
            <v>6.9554456157954165</v>
          </cell>
        </row>
        <row r="162">
          <cell r="AB162">
            <v>41640</v>
          </cell>
          <cell r="AC162">
            <v>69.000660428571436</v>
          </cell>
          <cell r="AD162">
            <v>55.945104584107938</v>
          </cell>
          <cell r="AE162">
            <v>134.56096543485432</v>
          </cell>
          <cell r="AF162">
            <v>75.976440000000011</v>
          </cell>
          <cell r="AG162">
            <v>61.893554324832365</v>
          </cell>
          <cell r="AH162">
            <v>121.81540890790357</v>
          </cell>
          <cell r="AI162">
            <v>9.2386780000000002</v>
          </cell>
          <cell r="AM162">
            <v>8.0970194241829638</v>
          </cell>
        </row>
        <row r="163">
          <cell r="AB163">
            <v>41671</v>
          </cell>
          <cell r="AC163">
            <v>69.036566714285712</v>
          </cell>
          <cell r="AD163">
            <v>55.522421237524476</v>
          </cell>
          <cell r="AE163">
            <v>138.41301503671644</v>
          </cell>
          <cell r="AF163">
            <v>75.983639999999994</v>
          </cell>
          <cell r="AG163">
            <v>54.340138742280622</v>
          </cell>
          <cell r="AH163">
            <v>130.81318882002768</v>
          </cell>
          <cell r="AI163">
            <v>9.2386780000000002</v>
          </cell>
          <cell r="AM163">
            <v>9.3845140023947149</v>
          </cell>
        </row>
        <row r="164">
          <cell r="AB164">
            <v>41699</v>
          </cell>
          <cell r="AC164">
            <v>68.006505142857151</v>
          </cell>
          <cell r="AD164">
            <v>54.989194468328193</v>
          </cell>
          <cell r="AE164">
            <v>132.78638949664423</v>
          </cell>
          <cell r="AF164">
            <v>74.6173</v>
          </cell>
          <cell r="AG164">
            <v>53.546328353232603</v>
          </cell>
          <cell r="AH164">
            <v>124.21819495669031</v>
          </cell>
          <cell r="AI164">
            <v>9.0861780000000003</v>
          </cell>
          <cell r="AM164">
            <v>8.7999637052751947</v>
          </cell>
        </row>
        <row r="165">
          <cell r="AB165">
            <v>41730</v>
          </cell>
          <cell r="AC165">
            <v>58.735951000000007</v>
          </cell>
          <cell r="AD165">
            <v>54.392195255796295</v>
          </cell>
          <cell r="AE165">
            <v>112.43551399869644</v>
          </cell>
          <cell r="AF165">
            <v>62.652780000000007</v>
          </cell>
          <cell r="AG165">
            <v>51.659221882469332</v>
          </cell>
          <cell r="AH165">
            <v>95.369506717836018</v>
          </cell>
          <cell r="AI165">
            <v>7.7563779999999998</v>
          </cell>
          <cell r="AM165">
            <v>6.9466816558375255</v>
          </cell>
        </row>
        <row r="166">
          <cell r="AB166">
            <v>41760</v>
          </cell>
          <cell r="AC166">
            <v>58.004360428571431</v>
          </cell>
          <cell r="AD166">
            <v>54.305863687009634</v>
          </cell>
          <cell r="AE166">
            <v>111.60024840023026</v>
          </cell>
          <cell r="AF166">
            <v>61.671340000000008</v>
          </cell>
          <cell r="AG166">
            <v>50.986392380398073</v>
          </cell>
          <cell r="AH166">
            <v>100.09624666441179</v>
          </cell>
          <cell r="AI166">
            <v>7.6465779999999999</v>
          </cell>
          <cell r="AM166">
            <v>6.8610772843332004</v>
          </cell>
        </row>
        <row r="167">
          <cell r="AB167">
            <v>41791</v>
          </cell>
          <cell r="AC167">
            <v>58.298343142857135</v>
          </cell>
          <cell r="AD167">
            <v>54.494727963524447</v>
          </cell>
          <cell r="AE167">
            <v>109.73515941886063</v>
          </cell>
          <cell r="AF167">
            <v>62.008480000000006</v>
          </cell>
          <cell r="AG167">
            <v>43.515725046869278</v>
          </cell>
          <cell r="AH167">
            <v>106.67627733007234</v>
          </cell>
          <cell r="AI167">
            <v>7.6831779999999998</v>
          </cell>
          <cell r="AM167">
            <v>7.1182853785662257</v>
          </cell>
        </row>
        <row r="168">
          <cell r="AB168">
            <v>41821</v>
          </cell>
          <cell r="AC168">
            <v>58.617011428571431</v>
          </cell>
          <cell r="AD168">
            <v>54.681040940249972</v>
          </cell>
          <cell r="AE168">
            <v>108.86225724610992</v>
          </cell>
          <cell r="AF168">
            <v>62.378280000000004</v>
          </cell>
          <cell r="AG168">
            <v>43.962603972763844</v>
          </cell>
          <cell r="AH168">
            <v>105.20028627114171</v>
          </cell>
          <cell r="AI168">
            <v>7.7234379999999989</v>
          </cell>
          <cell r="AM168">
            <v>7.5072585069348126</v>
          </cell>
        </row>
        <row r="169">
          <cell r="AB169">
            <v>41852</v>
          </cell>
          <cell r="AC169">
            <v>58.868355428571434</v>
          </cell>
          <cell r="AD169">
            <v>54.864825977805417</v>
          </cell>
          <cell r="AE169">
            <v>108.7930298884727</v>
          </cell>
          <cell r="AF169">
            <v>62.65928000000001</v>
          </cell>
          <cell r="AG169">
            <v>44.119091624851379</v>
          </cell>
          <cell r="AH169">
            <v>112.33286052913647</v>
          </cell>
          <cell r="AI169">
            <v>7.7539380000000007</v>
          </cell>
          <cell r="AM169">
            <v>7.9970789757249863</v>
          </cell>
        </row>
        <row r="170">
          <cell r="AB170">
            <v>41883</v>
          </cell>
          <cell r="AC170">
            <v>58.98953914285714</v>
          </cell>
          <cell r="AD170">
            <v>54.916512194360408</v>
          </cell>
          <cell r="AE170">
            <v>111.26450352762016</v>
          </cell>
          <cell r="AF170">
            <v>62.776000000000003</v>
          </cell>
          <cell r="AG170">
            <v>25.994037963330825</v>
          </cell>
          <cell r="AH170">
            <v>109.08217921616665</v>
          </cell>
          <cell r="AI170">
            <v>7.7661379999999998</v>
          </cell>
          <cell r="AM170">
            <v>7.6659441835150499</v>
          </cell>
        </row>
        <row r="171">
          <cell r="AB171">
            <v>41913</v>
          </cell>
          <cell r="AC171">
            <v>59.240883142857143</v>
          </cell>
          <cell r="AD171">
            <v>55.076495519752555</v>
          </cell>
          <cell r="AE171">
            <v>112.30627114446526</v>
          </cell>
          <cell r="AF171">
            <v>63.058480000000003</v>
          </cell>
          <cell r="AG171">
            <v>26.068671367868006</v>
          </cell>
          <cell r="AH171">
            <v>103.32889253499999</v>
          </cell>
          <cell r="AI171">
            <v>7.7966379999999997</v>
          </cell>
          <cell r="AM171">
            <v>7.4411918056032675</v>
          </cell>
        </row>
        <row r="172">
          <cell r="AB172">
            <v>41944</v>
          </cell>
          <cell r="AC172">
            <v>61.967516714285708</v>
          </cell>
          <cell r="AD172">
            <v>55.739950499943177</v>
          </cell>
          <cell r="AE172">
            <v>119.50254125156626</v>
          </cell>
          <cell r="AF172">
            <v>66.526020000000003</v>
          </cell>
          <cell r="AG172">
            <v>26.400581033455364</v>
          </cell>
          <cell r="AH172">
            <v>108.48975483053762</v>
          </cell>
          <cell r="AI172">
            <v>8.1809379999999994</v>
          </cell>
          <cell r="AM172">
            <v>7.6301203339825765</v>
          </cell>
        </row>
        <row r="173">
          <cell r="AB173">
            <v>41974</v>
          </cell>
          <cell r="AC173">
            <v>64.651511571428571</v>
          </cell>
          <cell r="AD173">
            <v>56.341270191686185</v>
          </cell>
          <cell r="AE173">
            <v>123.20118978472172</v>
          </cell>
          <cell r="AF173">
            <v>69.937220000000011</v>
          </cell>
          <cell r="AG173">
            <v>26.72449565167312</v>
          </cell>
          <cell r="AH173">
            <v>104.25470537704832</v>
          </cell>
          <cell r="AI173">
            <v>8.559137999999999</v>
          </cell>
          <cell r="AM173">
            <v>7.2897868696394283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7">
          <cell r="G47" t="str">
            <v>O&amp;M</v>
          </cell>
        </row>
        <row r="49">
          <cell r="G49" t="str">
            <v>Break even Utilization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</sheetNames>
    <sheetDataSet>
      <sheetData sheetId="0">
        <row r="1">
          <cell r="A1" t="str">
            <v>LkpControl</v>
          </cell>
          <cell r="D1" t="str">
            <v>Description</v>
          </cell>
          <cell r="E1" t="str">
            <v>Type</v>
          </cell>
          <cell r="F1" t="str">
            <v>Type2</v>
          </cell>
          <cell r="G1" t="str">
            <v>Constant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  <cell r="Q1">
            <v>2018</v>
          </cell>
          <cell r="R1">
            <v>2019</v>
          </cell>
          <cell r="S1">
            <v>2020</v>
          </cell>
          <cell r="T1">
            <v>2021</v>
          </cell>
          <cell r="U1">
            <v>2022</v>
          </cell>
          <cell r="V1">
            <v>2023</v>
          </cell>
          <cell r="W1">
            <v>2024</v>
          </cell>
          <cell r="X1">
            <v>2025</v>
          </cell>
          <cell r="Y1">
            <v>2026</v>
          </cell>
          <cell r="Z1">
            <v>2027</v>
          </cell>
          <cell r="AA1">
            <v>2028</v>
          </cell>
          <cell r="AB1">
            <v>2029</v>
          </cell>
          <cell r="AC1">
            <v>2030</v>
          </cell>
          <cell r="AD1">
            <v>2031</v>
          </cell>
          <cell r="AE1">
            <v>2032</v>
          </cell>
          <cell r="AF1">
            <v>2033</v>
          </cell>
          <cell r="AG1">
            <v>2034</v>
          </cell>
          <cell r="AH1">
            <v>2035</v>
          </cell>
          <cell r="AI1">
            <v>2036</v>
          </cell>
          <cell r="AJ1">
            <v>2037</v>
          </cell>
          <cell r="AK1">
            <v>2038</v>
          </cell>
          <cell r="AL1">
            <v>2039</v>
          </cell>
          <cell r="AM1">
            <v>2040</v>
          </cell>
          <cell r="AN1">
            <v>2041</v>
          </cell>
          <cell r="AO1">
            <v>2042</v>
          </cell>
          <cell r="AP1">
            <v>2043</v>
          </cell>
          <cell r="AQ1">
            <v>2044</v>
          </cell>
          <cell r="AR1">
            <v>2045</v>
          </cell>
          <cell r="AS1">
            <v>2046</v>
          </cell>
          <cell r="AT1">
            <v>2047</v>
          </cell>
          <cell r="AU1">
            <v>2048</v>
          </cell>
          <cell r="AV1">
            <v>2049</v>
          </cell>
          <cell r="AW1">
            <v>2050</v>
          </cell>
        </row>
        <row r="2">
          <cell r="A2" t="str">
            <v>ColID</v>
          </cell>
          <cell r="D2">
            <v>4</v>
          </cell>
          <cell r="E2">
            <v>5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</row>
        <row r="3">
          <cell r="Z3" t="str">
            <v>Region</v>
          </cell>
          <cell r="AA3" t="str">
            <v>Segment</v>
          </cell>
          <cell r="AB3" t="str">
            <v>Technology</v>
          </cell>
          <cell r="AC3" t="str">
            <v>System</v>
          </cell>
        </row>
        <row r="4">
          <cell r="D4" t="str">
            <v>Northwest Res-scale LQtl (Fixed)</v>
          </cell>
          <cell r="Z4" t="str">
            <v>California</v>
          </cell>
          <cell r="AA4" t="str">
            <v>Utility</v>
          </cell>
          <cell r="AB4" t="str">
            <v>CSi</v>
          </cell>
          <cell r="AC4" t="str">
            <v>Fixed</v>
          </cell>
        </row>
        <row r="5">
          <cell r="D5" t="str">
            <v>filename:</v>
          </cell>
          <cell r="G5" t="str">
            <v>NorthwestResLQtlFixed</v>
          </cell>
          <cell r="Z5" t="str">
            <v>Southwest</v>
          </cell>
          <cell r="AA5" t="str">
            <v>Com</v>
          </cell>
          <cell r="AB5" t="str">
            <v>TF</v>
          </cell>
          <cell r="AC5" t="str">
            <v>Tracker</v>
          </cell>
        </row>
        <row r="6">
          <cell r="Z6" t="str">
            <v>Texas</v>
          </cell>
          <cell r="AA6" t="str">
            <v>Res</v>
          </cell>
          <cell r="AB6" t="str">
            <v>SM</v>
          </cell>
        </row>
        <row r="7">
          <cell r="D7" t="str">
            <v>Region:</v>
          </cell>
          <cell r="G7" t="str">
            <v>Northwest</v>
          </cell>
          <cell r="Z7" t="str">
            <v>Southeast</v>
          </cell>
          <cell r="AB7" t="str">
            <v>LQtl</v>
          </cell>
        </row>
        <row r="8">
          <cell r="D8" t="str">
            <v>Segment:</v>
          </cell>
          <cell r="G8" t="str">
            <v>Res</v>
          </cell>
          <cell r="Z8" t="str">
            <v>MidAtlantic</v>
          </cell>
          <cell r="AB8" t="str">
            <v>Avg</v>
          </cell>
        </row>
        <row r="9">
          <cell r="D9" t="str">
            <v>Technology:</v>
          </cell>
          <cell r="G9" t="str">
            <v>LQtl</v>
          </cell>
          <cell r="Z9" t="str">
            <v>Northeast</v>
          </cell>
        </row>
        <row r="10">
          <cell r="D10" t="str">
            <v>Type:</v>
          </cell>
          <cell r="G10" t="str">
            <v>Fixed</v>
          </cell>
          <cell r="Z10" t="str">
            <v>Midwest</v>
          </cell>
        </row>
        <row r="11">
          <cell r="Z11" t="str">
            <v>Northwest</v>
          </cell>
        </row>
        <row r="13">
          <cell r="G13" t="str">
            <v>Constant</v>
          </cell>
          <cell r="H13">
            <v>2009</v>
          </cell>
          <cell r="I13">
            <v>2010</v>
          </cell>
          <cell r="J13">
            <v>2011</v>
          </cell>
          <cell r="K13">
            <v>2012</v>
          </cell>
          <cell r="L13">
            <v>2013</v>
          </cell>
          <cell r="M13">
            <v>2014</v>
          </cell>
          <cell r="N13">
            <v>2015</v>
          </cell>
          <cell r="O13">
            <v>2016</v>
          </cell>
          <cell r="P13">
            <v>2017</v>
          </cell>
          <cell r="Q13">
            <v>2018</v>
          </cell>
          <cell r="R13">
            <v>2019</v>
          </cell>
          <cell r="S13">
            <v>2020</v>
          </cell>
          <cell r="T13">
            <v>2021</v>
          </cell>
          <cell r="U13">
            <v>2022</v>
          </cell>
          <cell r="V13">
            <v>2023</v>
          </cell>
          <cell r="W13">
            <v>2024</v>
          </cell>
          <cell r="X13">
            <v>2025</v>
          </cell>
          <cell r="Y13">
            <v>2026</v>
          </cell>
          <cell r="Z13">
            <v>2027</v>
          </cell>
          <cell r="AA13">
            <v>2028</v>
          </cell>
          <cell r="AB13">
            <v>2029</v>
          </cell>
          <cell r="AC13">
            <v>2030</v>
          </cell>
          <cell r="AD13">
            <v>2031</v>
          </cell>
          <cell r="AE13">
            <v>2032</v>
          </cell>
          <cell r="AF13">
            <v>2033</v>
          </cell>
          <cell r="AG13">
            <v>2034</v>
          </cell>
          <cell r="AH13">
            <v>2035</v>
          </cell>
          <cell r="AI13">
            <v>2036</v>
          </cell>
          <cell r="AJ13">
            <v>2037</v>
          </cell>
          <cell r="AK13">
            <v>2038</v>
          </cell>
          <cell r="AL13">
            <v>2039</v>
          </cell>
          <cell r="AM13">
            <v>2040</v>
          </cell>
          <cell r="AN13">
            <v>2041</v>
          </cell>
          <cell r="AO13">
            <v>2042</v>
          </cell>
          <cell r="AP13">
            <v>2043</v>
          </cell>
          <cell r="AQ13">
            <v>2044</v>
          </cell>
          <cell r="AR13">
            <v>2045</v>
          </cell>
          <cell r="AS13">
            <v>2046</v>
          </cell>
          <cell r="AT13">
            <v>2047</v>
          </cell>
          <cell r="AU13">
            <v>2048</v>
          </cell>
          <cell r="AV13">
            <v>2049</v>
          </cell>
          <cell r="AW13">
            <v>2050</v>
          </cell>
        </row>
        <row r="15">
          <cell r="C15" t="str">
            <v>Results</v>
          </cell>
        </row>
        <row r="16">
          <cell r="A16" t="str">
            <v>LevelPPAProject</v>
          </cell>
          <cell r="D16" t="str">
            <v>Required Price (levelized) -- Northwest Res-scale LQtl (Fixed)</v>
          </cell>
          <cell r="E16" t="str">
            <v>LevelPPAProject</v>
          </cell>
          <cell r="H16">
            <v>700.35712839918324</v>
          </cell>
          <cell r="I16">
            <v>622.47320316940772</v>
          </cell>
          <cell r="J16">
            <v>548.15574851938516</v>
          </cell>
          <cell r="K16">
            <v>478.57001009864899</v>
          </cell>
          <cell r="L16">
            <v>332.09243389380697</v>
          </cell>
          <cell r="M16">
            <v>300.6118280574139</v>
          </cell>
          <cell r="N16">
            <v>270.85005401601325</v>
          </cell>
          <cell r="O16">
            <v>255.83831073000113</v>
          </cell>
          <cell r="P16">
            <v>242.23225568660374</v>
          </cell>
          <cell r="Q16">
            <v>236.47222574852839</v>
          </cell>
          <cell r="R16">
            <v>226.78872755807387</v>
          </cell>
          <cell r="S16">
            <v>217.66071462954665</v>
          </cell>
          <cell r="T16">
            <v>210.87421171334285</v>
          </cell>
          <cell r="U16">
            <v>204.39513855273117</v>
          </cell>
          <cell r="V16">
            <v>198.21246515788397</v>
          </cell>
          <cell r="W16">
            <v>192.31436150808167</v>
          </cell>
          <cell r="X16">
            <v>186.69168661377336</v>
          </cell>
          <cell r="Y16">
            <v>182.848843550819</v>
          </cell>
          <cell r="Z16">
            <v>179.15374437648651</v>
          </cell>
          <cell r="AA16">
            <v>175.60375411787811</v>
          </cell>
          <cell r="AB16">
            <v>172.19470761804524</v>
          </cell>
          <cell r="AC16">
            <v>168.92329036681568</v>
          </cell>
        </row>
        <row r="17">
          <cell r="A17" t="str">
            <v>LevelREC</v>
          </cell>
          <cell r="D17" t="str">
            <v>REC Price (levelized) -- Northwest Res-scale LQtl (Fixed)</v>
          </cell>
          <cell r="E17" t="str">
            <v>LevelREC</v>
          </cell>
          <cell r="H17">
            <v>641.91329874977396</v>
          </cell>
          <cell r="I17">
            <v>562.69293877750499</v>
          </cell>
          <cell r="J17">
            <v>486.88995370420253</v>
          </cell>
          <cell r="K17">
            <v>415.91897456674934</v>
          </cell>
          <cell r="L17">
            <v>268.06787902333838</v>
          </cell>
          <cell r="M17">
            <v>235.10913949291782</v>
          </cell>
          <cell r="N17">
            <v>203.79710937804299</v>
          </cell>
          <cell r="O17">
            <v>187.22134535627728</v>
          </cell>
          <cell r="P17">
            <v>171.99596724339193</v>
          </cell>
          <cell r="Q17">
            <v>164.59281867437127</v>
          </cell>
          <cell r="R17">
            <v>153.26376993325624</v>
          </cell>
          <cell r="S17">
            <v>142.46517242125014</v>
          </cell>
          <cell r="T17">
            <v>133.90391440751358</v>
          </cell>
          <cell r="U17">
            <v>125.5433373164316</v>
          </cell>
          <cell r="V17">
            <v>117.33940099618985</v>
          </cell>
          <cell r="W17">
            <v>109.30528479630793</v>
          </cell>
          <cell r="X17">
            <v>101.51744627070038</v>
          </cell>
          <cell r="Y17">
            <v>95.42660049623322</v>
          </cell>
          <cell r="Z17">
            <v>89.398274854525198</v>
          </cell>
          <cell r="AA17">
            <v>83.45487309490413</v>
          </cell>
          <cell r="AB17">
            <v>77.556960913022962</v>
          </cell>
          <cell r="AC17">
            <v>71.712377725513107</v>
          </cell>
        </row>
        <row r="18">
          <cell r="A18" t="str">
            <v>LevelPwrPx</v>
          </cell>
          <cell r="D18" t="str">
            <v>Base Power Price (levelized) -- Northwest Res-scale LQtl (Fixed)</v>
          </cell>
          <cell r="E18" t="str">
            <v>LevelPwrPx</v>
          </cell>
          <cell r="H18">
            <v>58.44382964940921</v>
          </cell>
          <cell r="I18">
            <v>59.780264391902683</v>
          </cell>
          <cell r="J18">
            <v>61.265794815182744</v>
          </cell>
          <cell r="K18">
            <v>62.651035531899616</v>
          </cell>
          <cell r="L18">
            <v>64.02455487046845</v>
          </cell>
          <cell r="M18">
            <v>65.502688564496026</v>
          </cell>
          <cell r="N18">
            <v>67.052944637970256</v>
          </cell>
          <cell r="O18">
            <v>68.616965373723914</v>
          </cell>
          <cell r="P18">
            <v>70.236288443211663</v>
          </cell>
          <cell r="Q18">
            <v>71.879407074157129</v>
          </cell>
          <cell r="R18">
            <v>73.524957624817574</v>
          </cell>
          <cell r="S18">
            <v>75.19554220829653</v>
          </cell>
          <cell r="T18">
            <v>76.970297305829263</v>
          </cell>
          <cell r="U18">
            <v>78.851801236299565</v>
          </cell>
          <cell r="V18">
            <v>80.87306416169416</v>
          </cell>
          <cell r="W18">
            <v>83.009076711773773</v>
          </cell>
          <cell r="X18">
            <v>85.174240343072995</v>
          </cell>
          <cell r="Y18">
            <v>87.422243054585778</v>
          </cell>
          <cell r="Z18">
            <v>89.755469521961288</v>
          </cell>
          <cell r="AA18">
            <v>92.148881022973981</v>
          </cell>
          <cell r="AB18">
            <v>94.637746705022295</v>
          </cell>
          <cell r="AC18">
            <v>97.210912641302556</v>
          </cell>
        </row>
        <row r="19">
          <cell r="C19" t="str">
            <v>Project Assumptions</v>
          </cell>
        </row>
        <row r="20">
          <cell r="A20" t="str">
            <v>CapexAC</v>
          </cell>
          <cell r="D20" t="str">
            <v>Residential (Lowest Quartile)</v>
          </cell>
          <cell r="E20" t="str">
            <v>CapexAC</v>
          </cell>
          <cell r="F20" t="str">
            <v>ResLQtl</v>
          </cell>
          <cell r="H20">
            <v>6.6354999999999986</v>
          </cell>
          <cell r="I20">
            <v>5.8649999999999993</v>
          </cell>
          <cell r="J20">
            <v>5.1289999999999996</v>
          </cell>
          <cell r="K20">
            <v>4.4389999999999992</v>
          </cell>
          <cell r="L20">
            <v>2.9921971344641269</v>
          </cell>
          <cell r="M20">
            <v>2.6770801655966392</v>
          </cell>
          <cell r="N20">
            <v>2.3788584590954955</v>
          </cell>
          <cell r="O20">
            <v>2.2254380934615559</v>
          </cell>
          <cell r="P20">
            <v>2.0858620598174715</v>
          </cell>
          <cell r="Q20">
            <v>2.0232861980229475</v>
          </cell>
          <cell r="R20">
            <v>1.9221218881218001</v>
          </cell>
          <cell r="S20">
            <v>1.82601579371571</v>
          </cell>
          <cell r="T20">
            <v>1.7529751619670817</v>
          </cell>
          <cell r="U20">
            <v>1.6828561554883981</v>
          </cell>
          <cell r="V20">
            <v>1.6155419092688621</v>
          </cell>
          <cell r="W20">
            <v>1.5509202328981075</v>
          </cell>
          <cell r="X20">
            <v>1.4888834235821833</v>
          </cell>
          <cell r="Y20">
            <v>1.4442169208747175</v>
          </cell>
          <cell r="Z20">
            <v>1.4008904132484759</v>
          </cell>
          <cell r="AA20">
            <v>1.3588637008510218</v>
          </cell>
          <cell r="AB20">
            <v>1.3180977898254911</v>
          </cell>
          <cell r="AC20">
            <v>1.2785548561307265</v>
          </cell>
        </row>
        <row r="21">
          <cell r="A21" t="str">
            <v>FxdOMAnnual</v>
          </cell>
          <cell r="D21" t="str">
            <v>Residential</v>
          </cell>
          <cell r="E21" t="str">
            <v>FxdOMAnnual</v>
          </cell>
          <cell r="F21" t="str">
            <v>Res</v>
          </cell>
          <cell r="H21">
            <v>22</v>
          </cell>
          <cell r="I21">
            <v>22.44</v>
          </cell>
          <cell r="J21">
            <v>22.888800000000003</v>
          </cell>
          <cell r="K21">
            <v>23.346576000000002</v>
          </cell>
          <cell r="L21">
            <v>23.813507520000002</v>
          </cell>
          <cell r="M21">
            <v>24.289777670400003</v>
          </cell>
          <cell r="N21">
            <v>24.775573223808003</v>
          </cell>
          <cell r="O21">
            <v>25.271084688284162</v>
          </cell>
          <cell r="P21">
            <v>25.776506382049845</v>
          </cell>
          <cell r="Q21">
            <v>26.292036509690842</v>
          </cell>
          <cell r="R21">
            <v>26.817877239884659</v>
          </cell>
          <cell r="S21">
            <v>27.354234784682351</v>
          </cell>
          <cell r="T21">
            <v>27.901319480375999</v>
          </cell>
          <cell r="U21">
            <v>28.459345869983519</v>
          </cell>
          <cell r="V21">
            <v>29.028532787383188</v>
          </cell>
          <cell r="W21">
            <v>29.609103443130852</v>
          </cell>
          <cell r="X21">
            <v>30.201285511993468</v>
          </cell>
          <cell r="Y21">
            <v>30.805311222233339</v>
          </cell>
          <cell r="Z21">
            <v>31.421417446678007</v>
          </cell>
          <cell r="AA21">
            <v>32.049845795611567</v>
          </cell>
          <cell r="AB21">
            <v>32.6908427115238</v>
          </cell>
          <cell r="AC21">
            <v>33.330612215651897</v>
          </cell>
          <cell r="AD21">
            <v>33.982902199047665</v>
          </cell>
          <cell r="AE21">
            <v>34.647957691210131</v>
          </cell>
          <cell r="AF21">
            <v>35.326028516938422</v>
          </cell>
          <cell r="AG21">
            <v>36.017369390177208</v>
          </cell>
          <cell r="AH21">
            <v>36.722240009698723</v>
          </cell>
          <cell r="AI21">
            <v>37.440905156657323</v>
          </cell>
          <cell r="AJ21">
            <v>38.173634794053235</v>
          </cell>
          <cell r="AK21">
            <v>38.920704168142798</v>
          </cell>
          <cell r="AL21">
            <v>39.682393911833358</v>
          </cell>
          <cell r="AM21">
            <v>40.458990150101634</v>
          </cell>
          <cell r="AN21">
            <v>41.250784607475154</v>
          </cell>
          <cell r="AO21">
            <v>42.058074717617103</v>
          </cell>
          <cell r="AP21">
            <v>42.881163735055836</v>
          </cell>
          <cell r="AQ21">
            <v>43.720360849100913</v>
          </cell>
          <cell r="AR21">
            <v>44.575981299988548</v>
          </cell>
          <cell r="AS21">
            <v>45.448346497300022</v>
          </cell>
          <cell r="AT21">
            <v>46.337784140697629</v>
          </cell>
          <cell r="AU21">
            <v>47.244628343023393</v>
          </cell>
          <cell r="AV21">
            <v>48.169219755806928</v>
          </cell>
          <cell r="AW21">
            <v>49.111905697229496</v>
          </cell>
        </row>
        <row r="23">
          <cell r="A23" t="str">
            <v>WACC</v>
          </cell>
          <cell r="D23" t="str">
            <v>Commercial</v>
          </cell>
          <cell r="E23" t="str">
            <v>WACC</v>
          </cell>
          <cell r="F23" t="str">
            <v>Res</v>
          </cell>
          <cell r="G23">
            <v>6.9900000000000004E-2</v>
          </cell>
        </row>
        <row r="24">
          <cell r="C24" t="str">
            <v>Regional Assumptions</v>
          </cell>
        </row>
        <row r="25">
          <cell r="A25" t="str">
            <v>CF%</v>
          </cell>
          <cell r="D25" t="str">
            <v>Northwest</v>
          </cell>
          <cell r="E25" t="str">
            <v>CF%</v>
          </cell>
          <cell r="F25" t="str">
            <v>FixedNorthwest</v>
          </cell>
          <cell r="G25">
            <v>0.12</v>
          </cell>
        </row>
        <row r="26">
          <cell r="A26" t="str">
            <v>PwrPx</v>
          </cell>
          <cell r="D26" t="str">
            <v>Base Power Price for Utility PV - Northwest</v>
          </cell>
          <cell r="E26" t="str">
            <v>PwrPx</v>
          </cell>
          <cell r="F26" t="str">
            <v>ResNorthwest</v>
          </cell>
          <cell r="H26">
            <v>49.410830280771542</v>
          </cell>
          <cell r="I26">
            <v>49.461750000000009</v>
          </cell>
          <cell r="J26">
            <v>52.1235</v>
          </cell>
          <cell r="K26">
            <v>53.732250000000001</v>
          </cell>
          <cell r="L26">
            <v>54.16256774984695</v>
          </cell>
          <cell r="M26">
            <v>55.10691714943011</v>
          </cell>
          <cell r="N26">
            <v>56.734367167367985</v>
          </cell>
          <cell r="O26">
            <v>57.982347513762001</v>
          </cell>
          <cell r="P26">
            <v>59.562714613811089</v>
          </cell>
          <cell r="Q26">
            <v>61.300259350020454</v>
          </cell>
          <cell r="R26">
            <v>62.92517334594632</v>
          </cell>
          <cell r="S26">
            <v>63.827814585068694</v>
          </cell>
          <cell r="T26">
            <v>64.804192160110091</v>
          </cell>
          <cell r="U26">
            <v>65.554593211086328</v>
          </cell>
          <cell r="V26">
            <v>66.681510518962639</v>
          </cell>
          <cell r="W26">
            <v>68.767762197076252</v>
          </cell>
          <cell r="X26">
            <v>70.36385261683408</v>
          </cell>
          <cell r="Y26">
            <v>72.021730943511201</v>
          </cell>
          <cell r="Z26">
            <v>74.016215999688214</v>
          </cell>
          <cell r="AA26">
            <v>75.729449152974084</v>
          </cell>
          <cell r="AB26">
            <v>77.650608813243707</v>
          </cell>
          <cell r="AC26">
            <v>79.871551663179233</v>
          </cell>
          <cell r="AD26">
            <v>82.173194061247457</v>
          </cell>
          <cell r="AE26">
            <v>84.043550606729212</v>
          </cell>
          <cell r="AF26">
            <v>85.851030500087504</v>
          </cell>
          <cell r="AG26">
            <v>88.155922320256565</v>
          </cell>
          <cell r="AH26">
            <v>90.675097535356301</v>
          </cell>
          <cell r="AI26">
            <v>93.29549574270348</v>
          </cell>
          <cell r="AJ26">
            <v>95.808881510106175</v>
          </cell>
          <cell r="AK26">
            <v>97.989135056098903</v>
          </cell>
          <cell r="AL26">
            <v>100.66744751378413</v>
          </cell>
          <cell r="AM26">
            <v>103.54590127281736</v>
          </cell>
          <cell r="AN26">
            <v>106.50666064550745</v>
          </cell>
          <cell r="AO26">
            <v>109.55207905303347</v>
          </cell>
          <cell r="AP26">
            <v>112.68457720956944</v>
          </cell>
          <cell r="AQ26">
            <v>115.90664504643937</v>
          </cell>
          <cell r="AR26">
            <v>119.22084369129097</v>
          </cell>
          <cell r="AS26">
            <v>122.62980750386124</v>
          </cell>
          <cell r="AT26">
            <v>126.13624616995216</v>
          </cell>
          <cell r="AU26">
            <v>129.74294685528068</v>
          </cell>
          <cell r="AV26">
            <v>133.45277642091554</v>
          </cell>
          <cell r="AW26">
            <v>137.26868370206128</v>
          </cell>
        </row>
        <row r="27">
          <cell r="C27" t="str">
            <v>Macro &amp; Scenario Assumptions</v>
          </cell>
        </row>
        <row r="28">
          <cell r="A28" t="str">
            <v>InflationRt</v>
          </cell>
          <cell r="D28" t="str">
            <v>Deflator for Publishing</v>
          </cell>
          <cell r="E28" t="str">
            <v>InflationRt</v>
          </cell>
          <cell r="H28">
            <v>8.7163126231746269E-3</v>
          </cell>
          <cell r="I28">
            <v>1.3362297547645285E-2</v>
          </cell>
          <cell r="J28">
            <v>2.1317579089944472E-2</v>
          </cell>
          <cell r="K28">
            <v>1.7891245669100053E-2</v>
          </cell>
          <cell r="L28">
            <v>1.3482780423230922E-2</v>
          </cell>
          <cell r="M28">
            <v>1.5989833722092728E-2</v>
          </cell>
          <cell r="N28">
            <v>1.8008502756514444E-2</v>
          </cell>
          <cell r="O28">
            <v>2.0538598850310841E-2</v>
          </cell>
          <cell r="P28">
            <v>2.0698479558492133E-2</v>
          </cell>
          <cell r="Q28">
            <v>1.828822760028781E-2</v>
          </cell>
          <cell r="R28">
            <v>1.7255595184422878E-2</v>
          </cell>
          <cell r="S28">
            <v>1.9475084013825583E-2</v>
          </cell>
          <cell r="T28">
            <v>1.9263432677517622E-2</v>
          </cell>
          <cell r="U28">
            <v>2.0239849392995835E-2</v>
          </cell>
          <cell r="V28">
            <v>2.0368665870793334E-2</v>
          </cell>
          <cell r="W28">
            <v>2.0055026507250995E-2</v>
          </cell>
          <cell r="X28">
            <v>2.0171122586622348E-2</v>
          </cell>
          <cell r="Y28">
            <v>1.9585334250334263E-2</v>
          </cell>
          <cell r="Z28">
            <v>1.9934444598737722E-2</v>
          </cell>
          <cell r="AA28">
            <v>1.918619072242711E-2</v>
          </cell>
          <cell r="AB28">
            <v>2.0017247144232586E-2</v>
          </cell>
          <cell r="AC28">
            <v>1.9570297094316569E-2</v>
          </cell>
          <cell r="AD28">
            <v>1.9570297094316569E-2</v>
          </cell>
          <cell r="AE28">
            <v>1.9570297094316569E-2</v>
          </cell>
          <cell r="AF28">
            <v>1.9570297094316569E-2</v>
          </cell>
          <cell r="AG28">
            <v>1.9570297094316569E-2</v>
          </cell>
          <cell r="AH28">
            <v>1.9570297094316569E-2</v>
          </cell>
          <cell r="AI28">
            <v>1.9570297094316569E-2</v>
          </cell>
          <cell r="AJ28">
            <v>1.9570297094316569E-2</v>
          </cell>
          <cell r="AK28">
            <v>1.9570297094316569E-2</v>
          </cell>
          <cell r="AL28">
            <v>1.9570297094316569E-2</v>
          </cell>
          <cell r="AM28">
            <v>1.9570297094316569E-2</v>
          </cell>
          <cell r="AN28">
            <v>1.9570297094316569E-2</v>
          </cell>
          <cell r="AO28">
            <v>1.9570297094316569E-2</v>
          </cell>
          <cell r="AP28">
            <v>1.9570297094316569E-2</v>
          </cell>
          <cell r="AQ28">
            <v>1.9570297094316569E-2</v>
          </cell>
          <cell r="AR28">
            <v>1.9570297094316569E-2</v>
          </cell>
          <cell r="AS28">
            <v>1.9570297094316569E-2</v>
          </cell>
          <cell r="AT28">
            <v>1.9570297094316569E-2</v>
          </cell>
          <cell r="AU28">
            <v>1.9570297094316569E-2</v>
          </cell>
          <cell r="AV28">
            <v>1.9570297094316569E-2</v>
          </cell>
          <cell r="AW28">
            <v>1.9570297094316569E-2</v>
          </cell>
        </row>
        <row r="30">
          <cell r="A30" t="str">
            <v>CreditType</v>
          </cell>
          <cell r="D30" t="str">
            <v>Tax Credit Used</v>
          </cell>
          <cell r="E30" t="str">
            <v>CreditType</v>
          </cell>
          <cell r="H30" t="str">
            <v>None</v>
          </cell>
          <cell r="I30" t="str">
            <v>None</v>
          </cell>
          <cell r="J30" t="str">
            <v>None</v>
          </cell>
          <cell r="K30" t="str">
            <v>None</v>
          </cell>
          <cell r="L30" t="str">
            <v>None</v>
          </cell>
          <cell r="M30" t="str">
            <v>None</v>
          </cell>
          <cell r="N30" t="str">
            <v>None</v>
          </cell>
          <cell r="O30" t="str">
            <v>None</v>
          </cell>
          <cell r="P30" t="str">
            <v>None</v>
          </cell>
          <cell r="Q30" t="str">
            <v>None</v>
          </cell>
          <cell r="R30" t="str">
            <v>None</v>
          </cell>
          <cell r="S30" t="str">
            <v>None</v>
          </cell>
          <cell r="T30" t="str">
            <v>None</v>
          </cell>
          <cell r="U30" t="str">
            <v>None</v>
          </cell>
          <cell r="V30" t="str">
            <v>None</v>
          </cell>
          <cell r="W30" t="str">
            <v>None</v>
          </cell>
          <cell r="X30" t="str">
            <v>None</v>
          </cell>
          <cell r="Y30" t="str">
            <v>None</v>
          </cell>
          <cell r="Z30" t="str">
            <v>None</v>
          </cell>
          <cell r="AA30" t="str">
            <v>None</v>
          </cell>
          <cell r="AB30" t="str">
            <v>None</v>
          </cell>
          <cell r="AC30" t="str">
            <v>None</v>
          </cell>
        </row>
        <row r="31">
          <cell r="A31" t="str">
            <v>ITCRate</v>
          </cell>
          <cell r="D31" t="str">
            <v>ITC Rate (by year)</v>
          </cell>
          <cell r="E31" t="str">
            <v>ITCRate</v>
          </cell>
          <cell r="H31">
            <v>0.3</v>
          </cell>
          <cell r="I31">
            <v>0.3</v>
          </cell>
          <cell r="J31">
            <v>0.3</v>
          </cell>
          <cell r="K31">
            <v>0.3</v>
          </cell>
          <cell r="L31">
            <v>0.3</v>
          </cell>
          <cell r="M31">
            <v>0.3</v>
          </cell>
          <cell r="N31">
            <v>0.3</v>
          </cell>
          <cell r="O31">
            <v>0.3</v>
          </cell>
          <cell r="P31">
            <v>0.1</v>
          </cell>
          <cell r="Q31">
            <v>0.1</v>
          </cell>
          <cell r="R31">
            <v>0.1</v>
          </cell>
          <cell r="S31">
            <v>0.1</v>
          </cell>
          <cell r="T31">
            <v>0.1</v>
          </cell>
          <cell r="U31">
            <v>0.1</v>
          </cell>
          <cell r="V31">
            <v>0.1</v>
          </cell>
          <cell r="W31">
            <v>0.1</v>
          </cell>
          <cell r="X31">
            <v>0.1</v>
          </cell>
          <cell r="Y31">
            <v>0.1</v>
          </cell>
          <cell r="Z31">
            <v>0.1</v>
          </cell>
          <cell r="AA31">
            <v>0.1</v>
          </cell>
          <cell r="AB31">
            <v>0.1</v>
          </cell>
          <cell r="AC31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</sheetNames>
    <sheetDataSet>
      <sheetData sheetId="0">
        <row r="1">
          <cell r="A1" t="str">
            <v>LkpControl</v>
          </cell>
          <cell r="D1" t="str">
            <v>Description</v>
          </cell>
          <cell r="E1" t="str">
            <v>Type</v>
          </cell>
          <cell r="F1" t="str">
            <v>Type2</v>
          </cell>
          <cell r="G1" t="str">
            <v>Constant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  <cell r="Q1">
            <v>2018</v>
          </cell>
          <cell r="R1">
            <v>2019</v>
          </cell>
          <cell r="S1">
            <v>2020</v>
          </cell>
          <cell r="T1">
            <v>2021</v>
          </cell>
          <cell r="U1">
            <v>2022</v>
          </cell>
          <cell r="V1">
            <v>2023</v>
          </cell>
          <cell r="W1">
            <v>2024</v>
          </cell>
          <cell r="X1">
            <v>2025</v>
          </cell>
          <cell r="Y1">
            <v>2026</v>
          </cell>
          <cell r="Z1">
            <v>2027</v>
          </cell>
          <cell r="AA1">
            <v>2028</v>
          </cell>
          <cell r="AB1">
            <v>2029</v>
          </cell>
          <cell r="AC1">
            <v>2030</v>
          </cell>
          <cell r="AD1">
            <v>2031</v>
          </cell>
          <cell r="AE1">
            <v>2032</v>
          </cell>
          <cell r="AF1">
            <v>2033</v>
          </cell>
          <cell r="AG1">
            <v>2034</v>
          </cell>
          <cell r="AH1">
            <v>2035</v>
          </cell>
          <cell r="AI1">
            <v>2036</v>
          </cell>
          <cell r="AJ1">
            <v>2037</v>
          </cell>
          <cell r="AK1">
            <v>2038</v>
          </cell>
          <cell r="AL1">
            <v>2039</v>
          </cell>
          <cell r="AM1">
            <v>2040</v>
          </cell>
          <cell r="AN1">
            <v>2041</v>
          </cell>
          <cell r="AO1">
            <v>2042</v>
          </cell>
          <cell r="AP1">
            <v>2043</v>
          </cell>
          <cell r="AQ1">
            <v>2044</v>
          </cell>
          <cell r="AR1">
            <v>2045</v>
          </cell>
          <cell r="AS1">
            <v>2046</v>
          </cell>
          <cell r="AT1">
            <v>2047</v>
          </cell>
          <cell r="AU1">
            <v>2048</v>
          </cell>
          <cell r="AV1">
            <v>2049</v>
          </cell>
          <cell r="AW1">
            <v>2050</v>
          </cell>
        </row>
        <row r="2">
          <cell r="A2" t="str">
            <v>ColID</v>
          </cell>
          <cell r="D2">
            <v>4</v>
          </cell>
          <cell r="E2">
            <v>5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</row>
        <row r="3">
          <cell r="Z3" t="str">
            <v>Region</v>
          </cell>
          <cell r="AA3" t="str">
            <v>Segment</v>
          </cell>
          <cell r="AB3" t="str">
            <v>Technology</v>
          </cell>
          <cell r="AC3" t="str">
            <v>System</v>
          </cell>
        </row>
        <row r="4">
          <cell r="D4" t="str">
            <v>Southeast Res-scale LQtl (Fixed)</v>
          </cell>
          <cell r="Z4" t="str">
            <v>California</v>
          </cell>
          <cell r="AA4" t="str">
            <v>Utility</v>
          </cell>
          <cell r="AB4" t="str">
            <v>CSi</v>
          </cell>
          <cell r="AC4" t="str">
            <v>Fixed</v>
          </cell>
        </row>
        <row r="5">
          <cell r="D5" t="str">
            <v>filename:</v>
          </cell>
          <cell r="G5" t="str">
            <v>SoutheastResLQtlFixed</v>
          </cell>
          <cell r="Z5" t="str">
            <v>Southwest</v>
          </cell>
          <cell r="AA5" t="str">
            <v>Com</v>
          </cell>
          <cell r="AB5" t="str">
            <v>TF</v>
          </cell>
          <cell r="AC5" t="str">
            <v>Tracker</v>
          </cell>
        </row>
        <row r="6">
          <cell r="Z6" t="str">
            <v>Texas</v>
          </cell>
          <cell r="AA6" t="str">
            <v>Res</v>
          </cell>
          <cell r="AB6" t="str">
            <v>SM</v>
          </cell>
        </row>
        <row r="7">
          <cell r="D7" t="str">
            <v>Region:</v>
          </cell>
          <cell r="G7" t="str">
            <v>Southeast</v>
          </cell>
          <cell r="Z7" t="str">
            <v>Southeast</v>
          </cell>
          <cell r="AB7" t="str">
            <v>LQtl</v>
          </cell>
        </row>
        <row r="8">
          <cell r="D8" t="str">
            <v>Segment:</v>
          </cell>
          <cell r="G8" t="str">
            <v>Res</v>
          </cell>
          <cell r="Z8" t="str">
            <v>MidAtlantic</v>
          </cell>
          <cell r="AB8" t="str">
            <v>Avg</v>
          </cell>
        </row>
        <row r="9">
          <cell r="D9" t="str">
            <v>Technology:</v>
          </cell>
          <cell r="G9" t="str">
            <v>LQtl</v>
          </cell>
          <cell r="Z9" t="str">
            <v>Northeast</v>
          </cell>
        </row>
        <row r="10">
          <cell r="D10" t="str">
            <v>Type:</v>
          </cell>
          <cell r="G10" t="str">
            <v>Fixed</v>
          </cell>
          <cell r="Z10" t="str">
            <v>Midwest</v>
          </cell>
        </row>
        <row r="11">
          <cell r="Z11" t="str">
            <v>Northwest</v>
          </cell>
        </row>
        <row r="13">
          <cell r="G13" t="str">
            <v>Constant</v>
          </cell>
          <cell r="H13">
            <v>2009</v>
          </cell>
          <cell r="I13">
            <v>2010</v>
          </cell>
          <cell r="J13">
            <v>2011</v>
          </cell>
          <cell r="K13">
            <v>2012</v>
          </cell>
          <cell r="L13">
            <v>2013</v>
          </cell>
          <cell r="M13">
            <v>2014</v>
          </cell>
          <cell r="N13">
            <v>2015</v>
          </cell>
          <cell r="O13">
            <v>2016</v>
          </cell>
          <cell r="P13">
            <v>2017</v>
          </cell>
          <cell r="Q13">
            <v>2018</v>
          </cell>
          <cell r="R13">
            <v>2019</v>
          </cell>
          <cell r="S13">
            <v>2020</v>
          </cell>
          <cell r="T13">
            <v>2021</v>
          </cell>
          <cell r="U13">
            <v>2022</v>
          </cell>
          <cell r="V13">
            <v>2023</v>
          </cell>
          <cell r="W13">
            <v>2024</v>
          </cell>
          <cell r="X13">
            <v>2025</v>
          </cell>
          <cell r="Y13">
            <v>2026</v>
          </cell>
          <cell r="Z13">
            <v>2027</v>
          </cell>
          <cell r="AA13">
            <v>2028</v>
          </cell>
          <cell r="AB13">
            <v>2029</v>
          </cell>
          <cell r="AC13">
            <v>2030</v>
          </cell>
          <cell r="AD13">
            <v>2031</v>
          </cell>
          <cell r="AE13">
            <v>2032</v>
          </cell>
          <cell r="AF13">
            <v>2033</v>
          </cell>
          <cell r="AG13">
            <v>2034</v>
          </cell>
          <cell r="AH13">
            <v>2035</v>
          </cell>
          <cell r="AI13">
            <v>2036</v>
          </cell>
          <cell r="AJ13">
            <v>2037</v>
          </cell>
          <cell r="AK13">
            <v>2038</v>
          </cell>
          <cell r="AL13">
            <v>2039</v>
          </cell>
          <cell r="AM13">
            <v>2040</v>
          </cell>
          <cell r="AN13">
            <v>2041</v>
          </cell>
          <cell r="AO13">
            <v>2042</v>
          </cell>
          <cell r="AP13">
            <v>2043</v>
          </cell>
          <cell r="AQ13">
            <v>2044</v>
          </cell>
          <cell r="AR13">
            <v>2045</v>
          </cell>
          <cell r="AS13">
            <v>2046</v>
          </cell>
          <cell r="AT13">
            <v>2047</v>
          </cell>
          <cell r="AU13">
            <v>2048</v>
          </cell>
          <cell r="AV13">
            <v>2049</v>
          </cell>
          <cell r="AW13">
            <v>2050</v>
          </cell>
        </row>
        <row r="15">
          <cell r="C15" t="str">
            <v>Results</v>
          </cell>
        </row>
        <row r="16">
          <cell r="A16" t="str">
            <v>LevelPPAProject</v>
          </cell>
          <cell r="D16" t="str">
            <v>Required Price (levelized) -- Southeast Res-scale LQtl (Fixed)</v>
          </cell>
          <cell r="E16" t="str">
            <v>LevelPPAProject</v>
          </cell>
          <cell r="H16">
            <v>420.21427703950957</v>
          </cell>
          <cell r="I16">
            <v>373.48392190164498</v>
          </cell>
          <cell r="J16">
            <v>328.89344911163033</v>
          </cell>
          <cell r="K16">
            <v>287.14200605918916</v>
          </cell>
          <cell r="L16">
            <v>199.25546033628427</v>
          </cell>
          <cell r="M16">
            <v>180.36709683444835</v>
          </cell>
          <cell r="N16">
            <v>162.51003240960796</v>
          </cell>
          <cell r="O16">
            <v>153.50298643800059</v>
          </cell>
          <cell r="P16">
            <v>145.33935341196224</v>
          </cell>
          <cell r="Q16">
            <v>141.88333544911706</v>
          </cell>
          <cell r="R16">
            <v>136.07323653484434</v>
          </cell>
          <cell r="S16">
            <v>130.59642877772797</v>
          </cell>
          <cell r="T16">
            <v>126.52452702800571</v>
          </cell>
          <cell r="U16">
            <v>122.63708313163865</v>
          </cell>
          <cell r="V16">
            <v>118.92747909473047</v>
          </cell>
          <cell r="W16">
            <v>115.38861690484906</v>
          </cell>
          <cell r="X16">
            <v>112.01501196826395</v>
          </cell>
          <cell r="Y16">
            <v>109.70930613049164</v>
          </cell>
          <cell r="Z16">
            <v>107.49224662589216</v>
          </cell>
          <cell r="AA16">
            <v>105.36225247072683</v>
          </cell>
          <cell r="AB16">
            <v>103.31682457082717</v>
          </cell>
          <cell r="AC16">
            <v>101.3539742200894</v>
          </cell>
        </row>
        <row r="17">
          <cell r="A17" t="str">
            <v>LevelREC</v>
          </cell>
          <cell r="D17" t="str">
            <v>REC Price (levelized) -- Southeast Res-scale LQtl (Fixed)</v>
          </cell>
          <cell r="E17" t="str">
            <v>LevelREC</v>
          </cell>
          <cell r="H17">
            <v>352.60783176278807</v>
          </cell>
          <cell r="I17">
            <v>304.00811102145764</v>
          </cell>
          <cell r="J17">
            <v>257.34913598509723</v>
          </cell>
          <cell r="K17">
            <v>213.40681889535304</v>
          </cell>
          <cell r="L17">
            <v>123.90375231780151</v>
          </cell>
          <cell r="M17">
            <v>103.27574535026737</v>
          </cell>
          <cell r="N17">
            <v>83.594155269002727</v>
          </cell>
          <cell r="O17">
            <v>72.746383749927048</v>
          </cell>
          <cell r="P17">
            <v>62.67693881521555</v>
          </cell>
          <cell r="Q17">
            <v>57.287103497931604</v>
          </cell>
          <cell r="R17">
            <v>49.540325056969714</v>
          </cell>
          <cell r="S17">
            <v>42.097374747059959</v>
          </cell>
          <cell r="T17">
            <v>35.936730198826112</v>
          </cell>
          <cell r="U17">
            <v>29.83490878603186</v>
          </cell>
          <cell r="V17">
            <v>23.74644223159336</v>
          </cell>
          <cell r="W17">
            <v>17.693666523327614</v>
          </cell>
          <cell r="X17">
            <v>11.77183961022156</v>
          </cell>
          <cell r="Y17">
            <v>6.820416917636674</v>
          </cell>
          <cell r="Z17">
            <v>1.8573391101162471</v>
          </cell>
          <cell r="AA17">
            <v>-3.0895062509224784</v>
          </cell>
          <cell r="AB17">
            <v>-8.0641271854375898</v>
          </cell>
          <cell r="AC17">
            <v>-13.055385132385405</v>
          </cell>
        </row>
        <row r="18">
          <cell r="A18" t="str">
            <v>LevelPwrPx</v>
          </cell>
          <cell r="D18" t="str">
            <v>Base Power Price (levelized) -- Southeast Res-scale LQtl (Fixed)</v>
          </cell>
          <cell r="E18" t="str">
            <v>LevelPwrPx</v>
          </cell>
          <cell r="H18">
            <v>67.606445276721487</v>
          </cell>
          <cell r="I18">
            <v>69.475810880187211</v>
          </cell>
          <cell r="J18">
            <v>71.544313126533012</v>
          </cell>
          <cell r="K18">
            <v>73.73518716383613</v>
          </cell>
          <cell r="L18">
            <v>75.351708018482753</v>
          </cell>
          <cell r="M18">
            <v>77.091351484180976</v>
          </cell>
          <cell r="N18">
            <v>78.915877140605204</v>
          </cell>
          <cell r="O18">
            <v>80.756602688073585</v>
          </cell>
          <cell r="P18">
            <v>82.6624145967467</v>
          </cell>
          <cell r="Q18">
            <v>84.596231951185516</v>
          </cell>
          <cell r="R18">
            <v>86.532911477874592</v>
          </cell>
          <cell r="S18">
            <v>88.499054030668006</v>
          </cell>
          <cell r="T18">
            <v>90.587796829179595</v>
          </cell>
          <cell r="U18">
            <v>92.802174345606801</v>
          </cell>
          <cell r="V18">
            <v>95.181036863137095</v>
          </cell>
          <cell r="W18">
            <v>97.69495038152148</v>
          </cell>
          <cell r="X18">
            <v>100.24317235804239</v>
          </cell>
          <cell r="Y18">
            <v>102.88888921285495</v>
          </cell>
          <cell r="Z18">
            <v>105.63490751577596</v>
          </cell>
          <cell r="AA18">
            <v>108.45175872164933</v>
          </cell>
          <cell r="AB18">
            <v>111.38095175626472</v>
          </cell>
          <cell r="AC18">
            <v>114.40935935247479</v>
          </cell>
        </row>
        <row r="19">
          <cell r="C19" t="str">
            <v>Project Assumptions</v>
          </cell>
        </row>
        <row r="20">
          <cell r="A20" t="str">
            <v>CapexAC</v>
          </cell>
          <cell r="D20" t="str">
            <v>Residential (Lowest Quartile)</v>
          </cell>
          <cell r="E20" t="str">
            <v>CapexAC</v>
          </cell>
          <cell r="F20" t="str">
            <v>ResLQtl</v>
          </cell>
          <cell r="H20">
            <v>6.6354999999999986</v>
          </cell>
          <cell r="I20">
            <v>5.8649999999999993</v>
          </cell>
          <cell r="J20">
            <v>5.1289999999999996</v>
          </cell>
          <cell r="K20">
            <v>4.4389999999999992</v>
          </cell>
          <cell r="L20">
            <v>2.9921971344641269</v>
          </cell>
          <cell r="M20">
            <v>2.6770801655966392</v>
          </cell>
          <cell r="N20">
            <v>2.3788584590954955</v>
          </cell>
          <cell r="O20">
            <v>2.2254380934615559</v>
          </cell>
          <cell r="P20">
            <v>2.0858620598174715</v>
          </cell>
          <cell r="Q20">
            <v>2.0232861980229475</v>
          </cell>
          <cell r="R20">
            <v>1.9221218881218001</v>
          </cell>
          <cell r="S20">
            <v>1.82601579371571</v>
          </cell>
          <cell r="T20">
            <v>1.7529751619670817</v>
          </cell>
          <cell r="U20">
            <v>1.6828561554883981</v>
          </cell>
          <cell r="V20">
            <v>1.6155419092688621</v>
          </cell>
          <cell r="W20">
            <v>1.5509202328981075</v>
          </cell>
          <cell r="X20">
            <v>1.4888834235821833</v>
          </cell>
          <cell r="Y20">
            <v>1.4442169208747175</v>
          </cell>
          <cell r="Z20">
            <v>1.4008904132484759</v>
          </cell>
          <cell r="AA20">
            <v>1.3588637008510218</v>
          </cell>
          <cell r="AB20">
            <v>1.3180977898254911</v>
          </cell>
          <cell r="AC20">
            <v>1.2785548561307265</v>
          </cell>
        </row>
        <row r="21">
          <cell r="A21" t="str">
            <v>FxdOMAnnual</v>
          </cell>
          <cell r="D21" t="str">
            <v>Residential</v>
          </cell>
          <cell r="E21" t="str">
            <v>FxdOMAnnual</v>
          </cell>
          <cell r="F21" t="str">
            <v>Res</v>
          </cell>
          <cell r="H21">
            <v>22</v>
          </cell>
          <cell r="I21">
            <v>22.44</v>
          </cell>
          <cell r="J21">
            <v>22.888800000000003</v>
          </cell>
          <cell r="K21">
            <v>23.346576000000002</v>
          </cell>
          <cell r="L21">
            <v>23.813507520000002</v>
          </cell>
          <cell r="M21">
            <v>24.289777670400003</v>
          </cell>
          <cell r="N21">
            <v>24.775573223808003</v>
          </cell>
          <cell r="O21">
            <v>25.271084688284162</v>
          </cell>
          <cell r="P21">
            <v>25.776506382049845</v>
          </cell>
          <cell r="Q21">
            <v>26.292036509690842</v>
          </cell>
          <cell r="R21">
            <v>26.817877239884659</v>
          </cell>
          <cell r="S21">
            <v>27.354234784682351</v>
          </cell>
          <cell r="T21">
            <v>27.901319480375999</v>
          </cell>
          <cell r="U21">
            <v>28.459345869983519</v>
          </cell>
          <cell r="V21">
            <v>29.028532787383188</v>
          </cell>
          <cell r="W21">
            <v>29.609103443130852</v>
          </cell>
          <cell r="X21">
            <v>30.201285511993468</v>
          </cell>
          <cell r="Y21">
            <v>30.805311222233339</v>
          </cell>
          <cell r="Z21">
            <v>31.421417446678007</v>
          </cell>
          <cell r="AA21">
            <v>32.049845795611567</v>
          </cell>
          <cell r="AB21">
            <v>32.6908427115238</v>
          </cell>
          <cell r="AC21">
            <v>33.330612215651897</v>
          </cell>
          <cell r="AD21">
            <v>33.982902199047665</v>
          </cell>
          <cell r="AE21">
            <v>34.647957691210131</v>
          </cell>
          <cell r="AF21">
            <v>35.326028516938422</v>
          </cell>
          <cell r="AG21">
            <v>36.017369390177208</v>
          </cell>
          <cell r="AH21">
            <v>36.722240009698723</v>
          </cell>
          <cell r="AI21">
            <v>37.440905156657323</v>
          </cell>
          <cell r="AJ21">
            <v>38.173634794053235</v>
          </cell>
          <cell r="AK21">
            <v>38.920704168142798</v>
          </cell>
          <cell r="AL21">
            <v>39.682393911833358</v>
          </cell>
          <cell r="AM21">
            <v>40.458990150101634</v>
          </cell>
          <cell r="AN21">
            <v>41.250784607475154</v>
          </cell>
          <cell r="AO21">
            <v>42.058074717617103</v>
          </cell>
          <cell r="AP21">
            <v>42.881163735055836</v>
          </cell>
          <cell r="AQ21">
            <v>43.720360849100913</v>
          </cell>
          <cell r="AR21">
            <v>44.575981299988548</v>
          </cell>
          <cell r="AS21">
            <v>45.448346497300022</v>
          </cell>
          <cell r="AT21">
            <v>46.337784140697629</v>
          </cell>
          <cell r="AU21">
            <v>47.244628343023393</v>
          </cell>
          <cell r="AV21">
            <v>48.169219755806928</v>
          </cell>
          <cell r="AW21">
            <v>49.111905697229496</v>
          </cell>
        </row>
        <row r="23">
          <cell r="A23" t="str">
            <v>WACC</v>
          </cell>
          <cell r="D23" t="str">
            <v>Commercial</v>
          </cell>
          <cell r="E23" t="str">
            <v>WACC</v>
          </cell>
          <cell r="F23" t="str">
            <v>Res</v>
          </cell>
          <cell r="G23">
            <v>6.9900000000000004E-2</v>
          </cell>
        </row>
        <row r="24">
          <cell r="C24" t="str">
            <v>Regional Assumptions</v>
          </cell>
        </row>
        <row r="25">
          <cell r="A25" t="str">
            <v>CF%</v>
          </cell>
          <cell r="D25" t="str">
            <v>Southeast &amp; Texas</v>
          </cell>
          <cell r="E25" t="str">
            <v>CF%</v>
          </cell>
          <cell r="F25" t="str">
            <v>FixedSoutheast</v>
          </cell>
          <cell r="G25">
            <v>0.2</v>
          </cell>
        </row>
        <row r="26">
          <cell r="A26" t="str">
            <v>PwrPx</v>
          </cell>
          <cell r="D26" t="str">
            <v>Base Power Price for Utility PV - Southeast</v>
          </cell>
          <cell r="E26" t="str">
            <v>PwrPx</v>
          </cell>
          <cell r="F26" t="str">
            <v>ResSoutheast</v>
          </cell>
          <cell r="H26">
            <v>54.29055154445507</v>
          </cell>
          <cell r="I26">
            <v>54.346500000000006</v>
          </cell>
          <cell r="J26">
            <v>55.340999999999994</v>
          </cell>
          <cell r="K26">
            <v>63.238500000000002</v>
          </cell>
          <cell r="L26">
            <v>63.74494908827932</v>
          </cell>
          <cell r="M26">
            <v>64.856371734930804</v>
          </cell>
          <cell r="N26">
            <v>66.771748402748827</v>
          </cell>
          <cell r="O26">
            <v>68.240520046136865</v>
          </cell>
          <cell r="P26">
            <v>70.100483938519105</v>
          </cell>
          <cell r="Q26">
            <v>72.145433159904329</v>
          </cell>
          <cell r="R26">
            <v>74.057825135512232</v>
          </cell>
          <cell r="S26">
            <v>75.120160660271409</v>
          </cell>
          <cell r="T26">
            <v>76.269277871615714</v>
          </cell>
          <cell r="U26">
            <v>77.152439043205604</v>
          </cell>
          <cell r="V26">
            <v>78.478729309742675</v>
          </cell>
          <cell r="W26">
            <v>80.934078317952583</v>
          </cell>
          <cell r="X26">
            <v>82.812547282305587</v>
          </cell>
          <cell r="Y26">
            <v>84.763735601454158</v>
          </cell>
          <cell r="Z26">
            <v>87.111082738881862</v>
          </cell>
          <cell r="AA26">
            <v>89.127419199090937</v>
          </cell>
          <cell r="AB26">
            <v>91.388468292995611</v>
          </cell>
          <cell r="AC26">
            <v>94.00233788557081</v>
          </cell>
          <cell r="AD26">
            <v>96.711184300716965</v>
          </cell>
          <cell r="AE26">
            <v>98.912442249182718</v>
          </cell>
          <cell r="AF26">
            <v>101.03969947805622</v>
          </cell>
          <cell r="AG26">
            <v>103.7523701994528</v>
          </cell>
          <cell r="AH26">
            <v>106.71723509604814</v>
          </cell>
          <cell r="AI26">
            <v>109.80123124427055</v>
          </cell>
          <cell r="AJ26">
            <v>112.75928243051153</v>
          </cell>
          <cell r="AK26">
            <v>115.32526401267609</v>
          </cell>
          <cell r="AL26">
            <v>118.47742053609223</v>
          </cell>
          <cell r="AM26">
            <v>121.86512713763271</v>
          </cell>
          <cell r="AN26">
            <v>125.34970077059732</v>
          </cell>
          <cell r="AO26">
            <v>128.93391122082664</v>
          </cell>
          <cell r="AP26">
            <v>132.62060747255813</v>
          </cell>
          <cell r="AQ26">
            <v>136.41271997300058</v>
          </cell>
          <cell r="AR26">
            <v>140.31326296166097</v>
          </cell>
          <cell r="AS26">
            <v>144.32533686627556</v>
          </cell>
          <cell r="AT26">
            <v>148.45213076724917</v>
          </cell>
          <cell r="AU26">
            <v>152.69692493256235</v>
          </cell>
          <cell r="AV26">
            <v>157.06309342516036</v>
          </cell>
          <cell r="AW26">
            <v>161.55410678489747</v>
          </cell>
        </row>
        <row r="27">
          <cell r="C27" t="str">
            <v>Macro &amp; Scenario Assumptions</v>
          </cell>
        </row>
        <row r="28">
          <cell r="A28" t="str">
            <v>InflationRt</v>
          </cell>
          <cell r="D28" t="str">
            <v>Deflator for Publishing</v>
          </cell>
          <cell r="E28" t="str">
            <v>InflationRt</v>
          </cell>
          <cell r="H28">
            <v>8.7163126231746269E-3</v>
          </cell>
          <cell r="I28">
            <v>1.3362297547645285E-2</v>
          </cell>
          <cell r="J28">
            <v>2.1317579089944472E-2</v>
          </cell>
          <cell r="K28">
            <v>1.7891245669100053E-2</v>
          </cell>
          <cell r="L28">
            <v>1.3482780423230922E-2</v>
          </cell>
          <cell r="M28">
            <v>1.5989833722092728E-2</v>
          </cell>
          <cell r="N28">
            <v>1.8008502756514444E-2</v>
          </cell>
          <cell r="O28">
            <v>2.0538598850310841E-2</v>
          </cell>
          <cell r="P28">
            <v>2.0698479558492133E-2</v>
          </cell>
          <cell r="Q28">
            <v>1.828822760028781E-2</v>
          </cell>
          <cell r="R28">
            <v>1.7255595184422878E-2</v>
          </cell>
          <cell r="S28">
            <v>1.9475084013825583E-2</v>
          </cell>
          <cell r="T28">
            <v>1.9263432677517622E-2</v>
          </cell>
          <cell r="U28">
            <v>2.0239849392995835E-2</v>
          </cell>
          <cell r="V28">
            <v>2.0368665870793334E-2</v>
          </cell>
          <cell r="W28">
            <v>2.0055026507250995E-2</v>
          </cell>
          <cell r="X28">
            <v>2.0171122586622348E-2</v>
          </cell>
          <cell r="Y28">
            <v>1.9585334250334263E-2</v>
          </cell>
          <cell r="Z28">
            <v>1.9934444598737722E-2</v>
          </cell>
          <cell r="AA28">
            <v>1.918619072242711E-2</v>
          </cell>
          <cell r="AB28">
            <v>2.0017247144232586E-2</v>
          </cell>
          <cell r="AC28">
            <v>1.9570297094316569E-2</v>
          </cell>
          <cell r="AD28">
            <v>1.9570297094316569E-2</v>
          </cell>
          <cell r="AE28">
            <v>1.9570297094316569E-2</v>
          </cell>
          <cell r="AF28">
            <v>1.9570297094316569E-2</v>
          </cell>
          <cell r="AG28">
            <v>1.9570297094316569E-2</v>
          </cell>
          <cell r="AH28">
            <v>1.9570297094316569E-2</v>
          </cell>
          <cell r="AI28">
            <v>1.9570297094316569E-2</v>
          </cell>
          <cell r="AJ28">
            <v>1.9570297094316569E-2</v>
          </cell>
          <cell r="AK28">
            <v>1.9570297094316569E-2</v>
          </cell>
          <cell r="AL28">
            <v>1.9570297094316569E-2</v>
          </cell>
          <cell r="AM28">
            <v>1.9570297094316569E-2</v>
          </cell>
          <cell r="AN28">
            <v>1.9570297094316569E-2</v>
          </cell>
          <cell r="AO28">
            <v>1.9570297094316569E-2</v>
          </cell>
          <cell r="AP28">
            <v>1.9570297094316569E-2</v>
          </cell>
          <cell r="AQ28">
            <v>1.9570297094316569E-2</v>
          </cell>
          <cell r="AR28">
            <v>1.9570297094316569E-2</v>
          </cell>
          <cell r="AS28">
            <v>1.9570297094316569E-2</v>
          </cell>
          <cell r="AT28">
            <v>1.9570297094316569E-2</v>
          </cell>
          <cell r="AU28">
            <v>1.9570297094316569E-2</v>
          </cell>
          <cell r="AV28">
            <v>1.9570297094316569E-2</v>
          </cell>
          <cell r="AW28">
            <v>1.9570297094316569E-2</v>
          </cell>
        </row>
        <row r="30">
          <cell r="A30" t="str">
            <v>CreditType</v>
          </cell>
          <cell r="D30" t="str">
            <v>Tax Credit Used</v>
          </cell>
          <cell r="E30" t="str">
            <v>CreditType</v>
          </cell>
          <cell r="H30" t="str">
            <v>None</v>
          </cell>
          <cell r="I30" t="str">
            <v>None</v>
          </cell>
          <cell r="J30" t="str">
            <v>None</v>
          </cell>
          <cell r="K30" t="str">
            <v>None</v>
          </cell>
          <cell r="L30" t="str">
            <v>None</v>
          </cell>
          <cell r="M30" t="str">
            <v>None</v>
          </cell>
          <cell r="N30" t="str">
            <v>None</v>
          </cell>
          <cell r="O30" t="str">
            <v>None</v>
          </cell>
          <cell r="P30" t="str">
            <v>None</v>
          </cell>
          <cell r="Q30" t="str">
            <v>None</v>
          </cell>
          <cell r="R30" t="str">
            <v>None</v>
          </cell>
          <cell r="S30" t="str">
            <v>None</v>
          </cell>
          <cell r="T30" t="str">
            <v>None</v>
          </cell>
          <cell r="U30" t="str">
            <v>None</v>
          </cell>
          <cell r="V30" t="str">
            <v>None</v>
          </cell>
          <cell r="W30" t="str">
            <v>None</v>
          </cell>
          <cell r="X30" t="str">
            <v>None</v>
          </cell>
          <cell r="Y30" t="str">
            <v>None</v>
          </cell>
          <cell r="Z30" t="str">
            <v>None</v>
          </cell>
          <cell r="AA30" t="str">
            <v>None</v>
          </cell>
          <cell r="AB30" t="str">
            <v>None</v>
          </cell>
          <cell r="AC30" t="str">
            <v>None</v>
          </cell>
        </row>
        <row r="31">
          <cell r="A31" t="str">
            <v>ITCRate</v>
          </cell>
          <cell r="D31" t="str">
            <v>ITC Rate (by year)</v>
          </cell>
          <cell r="E31" t="str">
            <v>ITCRate</v>
          </cell>
          <cell r="H31">
            <v>0.3</v>
          </cell>
          <cell r="I31">
            <v>0.3</v>
          </cell>
          <cell r="J31">
            <v>0.3</v>
          </cell>
          <cell r="K31">
            <v>0.3</v>
          </cell>
          <cell r="L31">
            <v>0.3</v>
          </cell>
          <cell r="M31">
            <v>0.3</v>
          </cell>
          <cell r="N31">
            <v>0.3</v>
          </cell>
          <cell r="O31">
            <v>0.3</v>
          </cell>
          <cell r="P31">
            <v>0.1</v>
          </cell>
          <cell r="Q31">
            <v>0.1</v>
          </cell>
          <cell r="R31">
            <v>0.1</v>
          </cell>
          <cell r="S31">
            <v>0.1</v>
          </cell>
          <cell r="T31">
            <v>0.1</v>
          </cell>
          <cell r="U31">
            <v>0.1</v>
          </cell>
          <cell r="V31">
            <v>0.1</v>
          </cell>
          <cell r="W31">
            <v>0.1</v>
          </cell>
          <cell r="X31">
            <v>0.1</v>
          </cell>
          <cell r="Y31">
            <v>0.1</v>
          </cell>
          <cell r="Z31">
            <v>0.1</v>
          </cell>
          <cell r="AA31">
            <v>0.1</v>
          </cell>
          <cell r="AB31">
            <v>0.1</v>
          </cell>
          <cell r="AC31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P"/>
      <sheetName val="MFC"/>
      <sheetName val="Metering"/>
      <sheetName val="Energy Only"/>
      <sheetName val="Rate I"/>
      <sheetName val="Rate II"/>
      <sheetName val="SC1 Rate IV "/>
      <sheetName val="NYPA"/>
      <sheetName val="Riders"/>
      <sheetName val="Standby"/>
      <sheetName val="Standby Kings Plaza "/>
      <sheetName val="Rider Q Including NYPA"/>
      <sheetName val="Rider Q Including NYPA Contd"/>
      <sheetName val="Station Use"/>
      <sheetName val="IPP and SHR "/>
    </sheetNames>
    <sheetDataSet>
      <sheetData sheetId="0">
        <row r="8">
          <cell r="B8">
            <v>1.28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9"/>
      <sheetName val="Sheet1"/>
      <sheetName val="Sheet2"/>
      <sheetName val="Sheet3"/>
      <sheetName val="Sheet4"/>
      <sheetName val="Sheet5"/>
    </sheetNames>
    <sheetDataSet>
      <sheetData sheetId="0">
        <row r="15">
          <cell r="DU15">
            <v>1.1560000000000001E-2</v>
          </cell>
          <cell r="DV15">
            <v>6.2399999999999999E-3</v>
          </cell>
          <cell r="DW15">
            <v>6.43E-3</v>
          </cell>
          <cell r="DX15">
            <v>4.8300000000000001E-3</v>
          </cell>
          <cell r="DY15">
            <v>4.2500000000000003E-3</v>
          </cell>
          <cell r="DZ15">
            <v>5.1999999999999998E-3</v>
          </cell>
          <cell r="EA15">
            <v>4.28E-3</v>
          </cell>
          <cell r="EB15">
            <v>8.4399999999999996E-3</v>
          </cell>
          <cell r="EC15">
            <v>1.1299999999999999E-2</v>
          </cell>
          <cell r="ED15">
            <v>6.0600000000000003E-3</v>
          </cell>
          <cell r="EE15">
            <v>6.0299999999999998E-3</v>
          </cell>
          <cell r="EF15">
            <v>6.2399999999999999E-3</v>
          </cell>
        </row>
        <row r="16">
          <cell r="DT16">
            <v>5.3000000000000001E-5</v>
          </cell>
          <cell r="DU16">
            <v>6.0999999999999999E-5</v>
          </cell>
          <cell r="DV16">
            <v>3.1999999999999999E-5</v>
          </cell>
          <cell r="DW16">
            <v>-1.9999999999999999E-6</v>
          </cell>
          <cell r="DX16">
            <v>7.9999999999999996E-6</v>
          </cell>
          <cell r="DY16">
            <v>2.5000000000000001E-5</v>
          </cell>
          <cell r="DZ16">
            <v>2.9E-5</v>
          </cell>
          <cell r="EA16">
            <v>1.8E-5</v>
          </cell>
          <cell r="EB16">
            <v>3.0000000000000001E-5</v>
          </cell>
          <cell r="EC16">
            <v>2.6999999999999999E-5</v>
          </cell>
          <cell r="ED16">
            <v>5.7000000000000003E-5</v>
          </cell>
          <cell r="EE16">
            <v>1.0900000000000001E-4</v>
          </cell>
        </row>
        <row r="17">
          <cell r="DT17">
            <v>9.9999999999999995E-7</v>
          </cell>
          <cell r="DU17">
            <v>9.9999999999999995E-7</v>
          </cell>
          <cell r="DV17">
            <v>9.9999999999999995E-7</v>
          </cell>
          <cell r="DW17">
            <v>9.9999999999999995E-7</v>
          </cell>
          <cell r="DX17">
            <v>9.9999999999999995E-7</v>
          </cell>
          <cell r="DY17">
            <v>9.9999999999999995E-7</v>
          </cell>
          <cell r="DZ17">
            <v>9.9999999999999995E-7</v>
          </cell>
          <cell r="EA17">
            <v>9.9999999999999995E-7</v>
          </cell>
          <cell r="EB17">
            <v>9.9999999999999995E-7</v>
          </cell>
          <cell r="EC17">
            <v>9.9999999999999995E-7</v>
          </cell>
          <cell r="ED17">
            <v>-9.9999999999999995E-7</v>
          </cell>
          <cell r="EE17">
            <v>-9.9999999999999995E-7</v>
          </cell>
        </row>
        <row r="23">
          <cell r="DU23">
            <v>5.0000000000000001E-3</v>
          </cell>
          <cell r="DV23">
            <v>5.0000000000000001E-3</v>
          </cell>
          <cell r="DW23">
            <v>5.0000000000000001E-3</v>
          </cell>
          <cell r="DX23">
            <v>5.0000000000000001E-3</v>
          </cell>
          <cell r="DY23">
            <v>5.0000000000000001E-3</v>
          </cell>
          <cell r="DZ23">
            <v>5.0000000000000001E-3</v>
          </cell>
          <cell r="EA23">
            <v>5.0000000000000001E-3</v>
          </cell>
          <cell r="EB23">
            <v>5.0000000000000001E-3</v>
          </cell>
          <cell r="EC23">
            <v>5.0000000000000001E-3</v>
          </cell>
          <cell r="ED23">
            <v>5.4000000000000003E-3</v>
          </cell>
          <cell r="EE23">
            <v>5.4000000000000003E-3</v>
          </cell>
          <cell r="EF23">
            <v>5.4000000000000003E-3</v>
          </cell>
        </row>
        <row r="25">
          <cell r="DT25">
            <v>-5.53E-4</v>
          </cell>
          <cell r="DU25">
            <v>-6.3709999999999999E-3</v>
          </cell>
          <cell r="DV25">
            <v>-2.3440000000000002E-3</v>
          </cell>
          <cell r="DW25">
            <v>-6.2699999999999995E-4</v>
          </cell>
          <cell r="DX25">
            <v>5.5000000000000003E-4</v>
          </cell>
          <cell r="DY25">
            <v>-2.9E-4</v>
          </cell>
          <cell r="DZ25">
            <v>1.4909999999999999E-3</v>
          </cell>
          <cell r="EA25">
            <v>3.5770000000000003E-3</v>
          </cell>
          <cell r="EB25">
            <v>2.7929999999999999E-3</v>
          </cell>
          <cell r="EC25">
            <v>8.2830000000000004E-3</v>
          </cell>
          <cell r="ED25">
            <v>5.4209999999999996E-3</v>
          </cell>
          <cell r="EE25">
            <v>6.6509999999999998E-3</v>
          </cell>
        </row>
        <row r="33">
          <cell r="DU33">
            <v>2.5281999999999999E-2</v>
          </cell>
          <cell r="DV33">
            <v>2.5281999999999999E-2</v>
          </cell>
          <cell r="DW33">
            <v>2.5281999999999999E-2</v>
          </cell>
          <cell r="DX33">
            <v>2.5281999999999999E-2</v>
          </cell>
          <cell r="DY33">
            <v>2.5281999999999999E-2</v>
          </cell>
          <cell r="DZ33">
            <v>2.5281999999999999E-2</v>
          </cell>
          <cell r="EA33">
            <v>2.5281999999999999E-2</v>
          </cell>
          <cell r="EB33">
            <v>2.5281999999999999E-2</v>
          </cell>
          <cell r="EC33">
            <v>2.5281999999999999E-2</v>
          </cell>
          <cell r="ED33">
            <v>2.5281999999999999E-2</v>
          </cell>
          <cell r="EE33">
            <v>2.5281999999999999E-2</v>
          </cell>
          <cell r="EF33">
            <v>2.5281999999999999E-2</v>
          </cell>
        </row>
        <row r="35">
          <cell r="DT35">
            <v>2.1028999999999999E-2</v>
          </cell>
          <cell r="DU35">
            <v>1.9873999999999999E-2</v>
          </cell>
          <cell r="DV35">
            <v>1.9803999999999999E-2</v>
          </cell>
          <cell r="DW35">
            <v>2.6287000000000001E-2</v>
          </cell>
          <cell r="DX35">
            <v>3.2148000000000003E-2</v>
          </cell>
          <cell r="DY35">
            <v>2.9571E-2</v>
          </cell>
          <cell r="DZ35">
            <v>2.4896999999999999E-2</v>
          </cell>
          <cell r="EA35">
            <v>2.4850000000000001E-2</v>
          </cell>
          <cell r="EB35">
            <v>2.7841000000000001E-2</v>
          </cell>
          <cell r="EC35">
            <v>3.925E-2</v>
          </cell>
          <cell r="ED35">
            <v>4.2629E-2</v>
          </cell>
          <cell r="EE35">
            <v>7.4201000000000003E-2</v>
          </cell>
        </row>
        <row r="36">
          <cell r="DU36">
            <v>3.45</v>
          </cell>
          <cell r="DV36">
            <v>13.73</v>
          </cell>
          <cell r="DW36">
            <v>13.73</v>
          </cell>
          <cell r="DX36">
            <v>13.73</v>
          </cell>
          <cell r="DY36">
            <v>13.73</v>
          </cell>
          <cell r="DZ36">
            <v>13.73</v>
          </cell>
          <cell r="EA36">
            <v>13.73</v>
          </cell>
          <cell r="EB36">
            <v>7.21</v>
          </cell>
          <cell r="EC36">
            <v>7.21</v>
          </cell>
          <cell r="ED36">
            <v>7.21</v>
          </cell>
          <cell r="EE36">
            <v>7.21</v>
          </cell>
          <cell r="EF36">
            <v>7.21</v>
          </cell>
        </row>
        <row r="38">
          <cell r="DT38">
            <v>-2.366E-3</v>
          </cell>
          <cell r="DU38">
            <v>-3.0230000000000001E-3</v>
          </cell>
          <cell r="DV38">
            <v>-3.725E-3</v>
          </cell>
          <cell r="DW38">
            <v>1.3409000000000001E-2</v>
          </cell>
          <cell r="DX38">
            <v>-8.9650000000000007E-3</v>
          </cell>
          <cell r="DY38">
            <v>-1.7874000000000001E-2</v>
          </cell>
          <cell r="DZ38">
            <v>-1.8578999999999998E-2</v>
          </cell>
          <cell r="EA38">
            <v>-9.5440000000000004E-3</v>
          </cell>
          <cell r="EB38">
            <v>6.1600000000000001E-4</v>
          </cell>
          <cell r="EC38">
            <v>-9.3880000000000005E-3</v>
          </cell>
          <cell r="ED38">
            <v>-1.653E-3</v>
          </cell>
          <cell r="EE38">
            <v>4.73E-4</v>
          </cell>
        </row>
        <row r="39">
          <cell r="DT39">
            <v>2.376E-2</v>
          </cell>
          <cell r="DU39">
            <v>2.4566999999999999E-2</v>
          </cell>
          <cell r="DV39">
            <v>5.0470000000000003E-3</v>
          </cell>
          <cell r="DW39">
            <v>5.731E-3</v>
          </cell>
          <cell r="DX39">
            <v>-1.6310000000000001E-3</v>
          </cell>
          <cell r="DY39">
            <v>6.1700000000000004E-4</v>
          </cell>
          <cell r="DZ39">
            <v>3.19E-4</v>
          </cell>
          <cell r="EA39">
            <v>4.0660000000000002E-3</v>
          </cell>
          <cell r="EB39">
            <v>1.2094000000000001E-2</v>
          </cell>
          <cell r="EC39">
            <v>1.506E-2</v>
          </cell>
          <cell r="ED39">
            <v>1.2990999999999999E-2</v>
          </cell>
          <cell r="EE39">
            <v>6.2659999999999999E-3</v>
          </cell>
        </row>
        <row r="42">
          <cell r="DU42">
            <v>2.4066000000000001E-2</v>
          </cell>
          <cell r="DV42">
            <v>2.4066000000000001E-2</v>
          </cell>
          <cell r="DW42">
            <v>2.4066000000000001E-2</v>
          </cell>
          <cell r="DX42">
            <v>2.4066000000000001E-2</v>
          </cell>
          <cell r="DY42">
            <v>2.4066000000000001E-2</v>
          </cell>
          <cell r="DZ42">
            <v>2.4066000000000001E-2</v>
          </cell>
          <cell r="EA42">
            <v>2.4066000000000001E-2</v>
          </cell>
          <cell r="EB42">
            <v>2.4066000000000001E-2</v>
          </cell>
          <cell r="EC42">
            <v>2.4066000000000001E-2</v>
          </cell>
          <cell r="ED42">
            <v>2.4066000000000001E-2</v>
          </cell>
          <cell r="EE42">
            <v>2.4066000000000001E-2</v>
          </cell>
          <cell r="EF42">
            <v>2.4066000000000001E-2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2"/>
    </sheetNames>
    <sheetDataSet>
      <sheetData sheetId="0">
        <row r="17">
          <cell r="DU17">
            <v>1.1560000000000001E-2</v>
          </cell>
          <cell r="DV17">
            <v>6.2399999999999999E-3</v>
          </cell>
          <cell r="DW17">
            <v>6.43E-3</v>
          </cell>
          <cell r="DX17">
            <v>4.8300000000000001E-3</v>
          </cell>
          <cell r="DY17">
            <v>4.2500000000000003E-3</v>
          </cell>
          <cell r="DZ17">
            <v>5.1999999999999998E-3</v>
          </cell>
          <cell r="EA17">
            <v>4.28E-3</v>
          </cell>
          <cell r="EB17">
            <v>8.4399999999999996E-3</v>
          </cell>
          <cell r="EC17">
            <v>1.1299999999999999E-2</v>
          </cell>
          <cell r="ED17">
            <v>6.0600000000000003E-3</v>
          </cell>
          <cell r="EE17">
            <v>6.0299999999999998E-3</v>
          </cell>
          <cell r="EF17">
            <v>6.2399999999999999E-3</v>
          </cell>
        </row>
        <row r="18">
          <cell r="DT18">
            <v>5.3000000000000001E-5</v>
          </cell>
          <cell r="DU18">
            <v>6.0999999999999999E-5</v>
          </cell>
          <cell r="DV18">
            <v>3.1999999999999999E-5</v>
          </cell>
          <cell r="DW18">
            <v>-1.9999999999999999E-6</v>
          </cell>
          <cell r="DX18">
            <v>7.9999999999999996E-6</v>
          </cell>
          <cell r="DY18">
            <v>2.5000000000000001E-5</v>
          </cell>
          <cell r="DZ18">
            <v>2.9E-5</v>
          </cell>
          <cell r="EA18">
            <v>1.8E-5</v>
          </cell>
          <cell r="EB18">
            <v>3.0000000000000001E-5</v>
          </cell>
          <cell r="EC18">
            <v>2.6999999999999999E-5</v>
          </cell>
          <cell r="ED18">
            <v>5.7000000000000003E-5</v>
          </cell>
          <cell r="EE18">
            <v>1.0900000000000001E-4</v>
          </cell>
        </row>
        <row r="19">
          <cell r="DT19">
            <v>9.9999999999999995E-7</v>
          </cell>
          <cell r="DU19">
            <v>9.9999999999999995E-7</v>
          </cell>
          <cell r="DV19">
            <v>9.9999999999999995E-7</v>
          </cell>
          <cell r="DW19">
            <v>9.9999999999999995E-7</v>
          </cell>
          <cell r="DX19">
            <v>9.9999999999999995E-7</v>
          </cell>
          <cell r="DY19">
            <v>9.9999999999999995E-7</v>
          </cell>
          <cell r="DZ19">
            <v>9.9999999999999995E-7</v>
          </cell>
          <cell r="EA19">
            <v>9.9999999999999995E-7</v>
          </cell>
          <cell r="EB19">
            <v>9.9999999999999995E-7</v>
          </cell>
          <cell r="EC19">
            <v>9.9999999999999995E-7</v>
          </cell>
          <cell r="ED19">
            <v>-9.9999999999999995E-7</v>
          </cell>
          <cell r="EE19">
            <v>-9.9999999999999995E-7</v>
          </cell>
        </row>
        <row r="20">
          <cell r="DU20">
            <v>5.0000000000000001E-3</v>
          </cell>
          <cell r="DV20">
            <v>5.0000000000000001E-3</v>
          </cell>
          <cell r="DW20">
            <v>5.0000000000000001E-3</v>
          </cell>
          <cell r="DX20">
            <v>5.0000000000000001E-3</v>
          </cell>
          <cell r="DY20">
            <v>5.0000000000000001E-3</v>
          </cell>
          <cell r="DZ20">
            <v>5.0000000000000001E-3</v>
          </cell>
          <cell r="EA20">
            <v>5.0000000000000001E-3</v>
          </cell>
          <cell r="EB20">
            <v>5.0000000000000001E-3</v>
          </cell>
          <cell r="EC20">
            <v>5.0000000000000001E-3</v>
          </cell>
          <cell r="ED20">
            <v>5.4000000000000003E-3</v>
          </cell>
          <cell r="EE20">
            <v>5.4000000000000003E-3</v>
          </cell>
          <cell r="EF20">
            <v>5.4000000000000003E-3</v>
          </cell>
        </row>
        <row r="24">
          <cell r="DT24">
            <v>3.3982999999999999E-2</v>
          </cell>
          <cell r="DU24">
            <v>3.2865999999999999E-2</v>
          </cell>
          <cell r="DV24">
            <v>7.2498999999999994E-2</v>
          </cell>
          <cell r="DW24">
            <v>7.9708000000000001E-2</v>
          </cell>
          <cell r="DX24">
            <v>8.6079000000000003E-2</v>
          </cell>
          <cell r="DY24">
            <v>8.3186999999999997E-2</v>
          </cell>
          <cell r="DZ24">
            <v>7.8064999999999996E-2</v>
          </cell>
          <cell r="EA24">
            <v>7.755200000000001E-2</v>
          </cell>
          <cell r="EB24">
            <v>4.9088E-2</v>
          </cell>
          <cell r="EC24">
            <v>6.0547999999999998E-2</v>
          </cell>
          <cell r="ED24">
            <v>6.4128999999999992E-2</v>
          </cell>
          <cell r="EE24">
            <v>9.5631999999999995E-2</v>
          </cell>
        </row>
        <row r="25">
          <cell r="DU25">
            <v>3.0049999999999999E-3</v>
          </cell>
          <cell r="DV25">
            <v>2.8370000000000001E-3</v>
          </cell>
          <cell r="DW25">
            <v>2.738E-3</v>
          </cell>
          <cell r="DX25">
            <v>2.7460000000000002E-3</v>
          </cell>
          <cell r="DY25">
            <v>2.8509999999999998E-3</v>
          </cell>
          <cell r="DZ25">
            <v>2.869E-3</v>
          </cell>
          <cell r="EA25">
            <v>2.7920000000000002E-3</v>
          </cell>
          <cell r="EB25">
            <v>2.7759999999999998E-3</v>
          </cell>
          <cell r="EC25">
            <v>2.784E-3</v>
          </cell>
          <cell r="ED25">
            <v>2.8739999999999998E-3</v>
          </cell>
          <cell r="EE25">
            <v>2.8449999999999999E-3</v>
          </cell>
          <cell r="EF25">
            <v>2.8410000000000002E-3</v>
          </cell>
        </row>
        <row r="26">
          <cell r="DU26">
            <v>2.4066000000000001E-2</v>
          </cell>
          <cell r="DV26">
            <v>2.4066000000000001E-2</v>
          </cell>
          <cell r="DW26">
            <v>2.4066000000000001E-2</v>
          </cell>
          <cell r="DX26">
            <v>2.4066000000000001E-2</v>
          </cell>
          <cell r="DY26">
            <v>2.4066000000000001E-2</v>
          </cell>
          <cell r="DZ26">
            <v>2.4066000000000001E-2</v>
          </cell>
          <cell r="EA26">
            <v>2.4066000000000001E-2</v>
          </cell>
          <cell r="EB26">
            <v>2.4066000000000001E-2</v>
          </cell>
          <cell r="EC26">
            <v>2.4066000000000001E-2</v>
          </cell>
          <cell r="ED26">
            <v>2.4066000000000001E-2</v>
          </cell>
          <cell r="EE26">
            <v>2.4066000000000001E-2</v>
          </cell>
          <cell r="EF26">
            <v>2.4066000000000001E-2</v>
          </cell>
        </row>
        <row r="27">
          <cell r="DU27">
            <v>2.5281999999999999E-2</v>
          </cell>
          <cell r="DV27">
            <v>2.5281999999999999E-2</v>
          </cell>
          <cell r="DW27">
            <v>2.5281999999999999E-2</v>
          </cell>
          <cell r="DX27">
            <v>2.5281999999999999E-2</v>
          </cell>
          <cell r="DY27">
            <v>2.5281999999999999E-2</v>
          </cell>
          <cell r="DZ27">
            <v>2.5281999999999999E-2</v>
          </cell>
          <cell r="EA27">
            <v>2.5281999999999999E-2</v>
          </cell>
          <cell r="EB27">
            <v>2.5281999999999999E-2</v>
          </cell>
          <cell r="EC27">
            <v>2.5281999999999999E-2</v>
          </cell>
          <cell r="ED27">
            <v>2.5281999999999999E-2</v>
          </cell>
          <cell r="EE27">
            <v>2.5281999999999999E-2</v>
          </cell>
          <cell r="EF27">
            <v>2.5281999999999999E-2</v>
          </cell>
        </row>
        <row r="28">
          <cell r="DT28">
            <v>-5.53E-4</v>
          </cell>
          <cell r="DU28">
            <v>-6.3709999999999999E-3</v>
          </cell>
          <cell r="DV28">
            <v>-2.3440000000000002E-3</v>
          </cell>
          <cell r="DW28">
            <v>-6.2699999999999995E-4</v>
          </cell>
          <cell r="DX28">
            <v>5.5000000000000003E-4</v>
          </cell>
          <cell r="DY28">
            <v>-2.9E-4</v>
          </cell>
          <cell r="DZ28">
            <v>1.4909999999999999E-3</v>
          </cell>
          <cell r="EA28">
            <v>3.5770000000000003E-3</v>
          </cell>
          <cell r="EB28">
            <v>2.7929999999999999E-3</v>
          </cell>
          <cell r="EC28">
            <v>8.2830000000000004E-3</v>
          </cell>
          <cell r="ED28">
            <v>5.4209999999999996E-3</v>
          </cell>
          <cell r="EE28">
            <v>6.6509999999999998E-3</v>
          </cell>
        </row>
        <row r="29">
          <cell r="DT29">
            <v>-2.366E-3</v>
          </cell>
          <cell r="DU29">
            <v>-3.0230000000000001E-3</v>
          </cell>
          <cell r="DV29">
            <v>-3.725E-3</v>
          </cell>
          <cell r="DW29">
            <v>1.3409000000000001E-2</v>
          </cell>
          <cell r="DX29">
            <v>-8.9650000000000007E-3</v>
          </cell>
          <cell r="DY29">
            <v>-1.7874000000000001E-2</v>
          </cell>
          <cell r="DZ29">
            <v>-1.8578999999999998E-2</v>
          </cell>
          <cell r="EA29">
            <v>-9.5440000000000004E-3</v>
          </cell>
          <cell r="EB29">
            <v>6.1600000000000001E-4</v>
          </cell>
          <cell r="EC29">
            <v>-9.3880000000000005E-3</v>
          </cell>
          <cell r="ED29">
            <v>-1.653E-3</v>
          </cell>
          <cell r="EE29">
            <v>4.73E-4</v>
          </cell>
        </row>
        <row r="30">
          <cell r="DT30">
            <v>2.376E-2</v>
          </cell>
          <cell r="DU30">
            <v>2.4566999999999999E-2</v>
          </cell>
          <cell r="DV30">
            <v>5.0470000000000003E-3</v>
          </cell>
          <cell r="DW30">
            <v>5.731E-3</v>
          </cell>
          <cell r="DX30">
            <v>-1.6310000000000001E-3</v>
          </cell>
          <cell r="DY30">
            <v>6.1700000000000004E-4</v>
          </cell>
          <cell r="DZ30">
            <v>3.19E-4</v>
          </cell>
          <cell r="EA30">
            <v>4.0660000000000002E-3</v>
          </cell>
          <cell r="EB30">
            <v>1.2094000000000001E-2</v>
          </cell>
          <cell r="EC30">
            <v>1.506E-2</v>
          </cell>
          <cell r="ED30">
            <v>1.2990999999999999E-2</v>
          </cell>
          <cell r="EE30">
            <v>6.2659999999999999E-3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Assumptions"/>
      <sheetName val="Summary Rate I"/>
      <sheetName val="Rate III Summary"/>
      <sheetName val="Calculations"/>
      <sheetName val="RE Model"/>
      <sheetName val="Estimated Bill SC 9 NYC"/>
      <sheetName val="Estimated Bill SC 9 Rate 3 NYC"/>
      <sheetName val="Diversity Comparison Rate I"/>
      <sheetName val="Diversity Comparison Rate III"/>
      <sheetName val="Sheet1"/>
    </sheetNames>
    <sheetDataSet>
      <sheetData sheetId="0">
        <row r="41">
          <cell r="A41" t="str">
            <v>Tesla</v>
          </cell>
        </row>
        <row r="42">
          <cell r="A42" t="str">
            <v>Leaf</v>
          </cell>
        </row>
        <row r="43">
          <cell r="A43" t="str">
            <v>BMW i3</v>
          </cell>
        </row>
        <row r="44">
          <cell r="A44" t="str">
            <v>Bolt</v>
          </cell>
        </row>
        <row r="45">
          <cell r="A45" t="str">
            <v>Other</v>
          </cell>
        </row>
        <row r="46">
          <cell r="A46" t="str">
            <v>Sum of All</v>
          </cell>
        </row>
        <row r="47">
          <cell r="A47" t="str">
            <v>Standard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  <sheetName val="COVER"/>
      <sheetName val="Annual"/>
      <sheetName val="Data_NA"/>
      <sheetName val="Diesel data fit"/>
      <sheetName val="Styles"/>
      <sheetName val="ExampleSheet"/>
      <sheetName val="AddInExamples"/>
      <sheetName val="VBA"/>
    </sheetNames>
    <sheetDataSet>
      <sheetData sheetId="0"/>
      <sheetData sheetId="1"/>
      <sheetData sheetId="2">
        <row r="54">
          <cell r="J54" t="str">
            <v>Straight line</v>
          </cell>
        </row>
      </sheetData>
      <sheetData sheetId="3">
        <row r="1">
          <cell r="B1" t="str">
            <v>Compact</v>
          </cell>
          <cell r="C1" t="str">
            <v>Medium</v>
          </cell>
          <cell r="D1" t="str">
            <v>Luxury</v>
          </cell>
          <cell r="E1" t="str">
            <v>Combined</v>
          </cell>
        </row>
        <row r="5">
          <cell r="B5">
            <v>0.8</v>
          </cell>
          <cell r="C5">
            <v>0.8</v>
          </cell>
          <cell r="D5">
            <v>0.5</v>
          </cell>
          <cell r="E5">
            <v>0.70000000000000007</v>
          </cell>
        </row>
        <row r="7">
          <cell r="B7">
            <v>0.9</v>
          </cell>
          <cell r="C7">
            <v>0.9</v>
          </cell>
          <cell r="D7">
            <v>0.9</v>
          </cell>
          <cell r="E7">
            <v>0.9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H"/>
      <sheetName val="Energy price"/>
    </sheetNames>
    <sheetDataSet>
      <sheetData sheetId="0" refreshError="1"/>
      <sheetData sheetId="1" refreshError="1">
        <row r="72">
          <cell r="B72" t="str">
            <v>Month</v>
          </cell>
          <cell r="C72" t="str">
            <v>NYPA-IP3</v>
          </cell>
          <cell r="D72" t="str">
            <v>NYPA-Poletti</v>
          </cell>
          <cell r="E72" t="str">
            <v>NYPA-Gilboa</v>
          </cell>
          <cell r="F72" t="str">
            <v>HQ-WinterTake</v>
          </cell>
          <cell r="G72" t="str">
            <v>HQ-Summer</v>
          </cell>
          <cell r="H72" t="str">
            <v>KeySpan-Ravenswood</v>
          </cell>
          <cell r="I72" t="str">
            <v>NRG-ArthurKill</v>
          </cell>
          <cell r="J72" t="str">
            <v>SouhernEnergy-Bowline</v>
          </cell>
          <cell r="K72" t="str">
            <v>Orion-Astoria</v>
          </cell>
          <cell r="L72" t="str">
            <v>Select-NRG</v>
          </cell>
          <cell r="M72" t="str">
            <v>PSEG-Bilateral</v>
          </cell>
          <cell r="N72" t="str">
            <v>Sithe-Bilateral</v>
          </cell>
          <cell r="O72" t="str">
            <v>NYPA-Bilateral</v>
          </cell>
          <cell r="P72" t="str">
            <v>MDA</v>
          </cell>
          <cell r="Q72" t="str">
            <v>NYPA</v>
          </cell>
          <cell r="R72" t="str">
            <v>Morgan Stanley</v>
          </cell>
          <cell r="S72" t="str">
            <v>Entergy   IP-2</v>
          </cell>
          <cell r="T72" t="str">
            <v>El Paso-Linden</v>
          </cell>
          <cell r="U72" t="str">
            <v>Indeck-Corinth</v>
          </cell>
          <cell r="V72" t="str">
            <v>Kiac</v>
          </cell>
          <cell r="W72" t="str">
            <v>Montefiore Medical Center</v>
          </cell>
          <cell r="X72" t="str">
            <v>BNYCP</v>
          </cell>
          <cell r="Y72" t="str">
            <v>Wheelabrator</v>
          </cell>
          <cell r="Z72" t="str">
            <v>Selkirk</v>
          </cell>
          <cell r="AA72" t="str">
            <v>Sithe</v>
          </cell>
          <cell r="AB72" t="str">
            <v>Bronx Zoo</v>
          </cell>
          <cell r="AC72" t="str">
            <v>Warbasse</v>
          </cell>
          <cell r="AD72" t="str">
            <v>East River 6</v>
          </cell>
          <cell r="AE72" t="str">
            <v>East River 7</v>
          </cell>
          <cell r="AF72" t="str">
            <v>ERRP</v>
          </cell>
          <cell r="AG72" t="str">
            <v>Waterside 6 8 9</v>
          </cell>
          <cell r="AH72" t="str">
            <v>Hudson Ave 10</v>
          </cell>
          <cell r="AI72" t="str">
            <v>Hudson GT</v>
          </cell>
          <cell r="AJ72" t="str">
            <v>59 St GT</v>
          </cell>
          <cell r="AK72" t="str">
            <v>74 ST GT</v>
          </cell>
          <cell r="AL72" t="str">
            <v>NYISO</v>
          </cell>
          <cell r="AM72" t="str">
            <v>Own Generation</v>
          </cell>
          <cell r="AN72" t="str">
            <v>Total NUG</v>
          </cell>
          <cell r="AO72" t="str">
            <v>Firm Purchases</v>
          </cell>
          <cell r="AP72" t="str">
            <v>Total Purchases</v>
          </cell>
          <cell r="AQ72" t="str">
            <v>Total Sendout (FSC)</v>
          </cell>
        </row>
        <row r="73">
          <cell r="B73">
            <v>36161</v>
          </cell>
        </row>
        <row r="74">
          <cell r="B74">
            <v>36192</v>
          </cell>
        </row>
        <row r="75">
          <cell r="B75">
            <v>36220</v>
          </cell>
        </row>
        <row r="76">
          <cell r="B76">
            <v>36251</v>
          </cell>
        </row>
        <row r="77">
          <cell r="B77">
            <v>36281</v>
          </cell>
        </row>
        <row r="78">
          <cell r="B78">
            <v>36312</v>
          </cell>
        </row>
        <row r="79">
          <cell r="B79">
            <v>36342</v>
          </cell>
        </row>
        <row r="80">
          <cell r="B80">
            <v>36373</v>
          </cell>
        </row>
        <row r="81">
          <cell r="B81">
            <v>36404</v>
          </cell>
        </row>
        <row r="82">
          <cell r="B82">
            <v>36434</v>
          </cell>
        </row>
        <row r="83">
          <cell r="B83">
            <v>36465</v>
          </cell>
        </row>
        <row r="84">
          <cell r="B84">
            <v>36495</v>
          </cell>
        </row>
        <row r="85">
          <cell r="B85">
            <v>36526</v>
          </cell>
        </row>
        <row r="86">
          <cell r="B86">
            <v>36557</v>
          </cell>
        </row>
        <row r="87">
          <cell r="B87">
            <v>36586</v>
          </cell>
        </row>
        <row r="88">
          <cell r="B88">
            <v>36617</v>
          </cell>
        </row>
        <row r="89">
          <cell r="B89">
            <v>36647</v>
          </cell>
        </row>
        <row r="90">
          <cell r="B90">
            <v>36678</v>
          </cell>
        </row>
        <row r="91">
          <cell r="B91">
            <v>36708</v>
          </cell>
        </row>
        <row r="92">
          <cell r="B92">
            <v>36739</v>
          </cell>
        </row>
        <row r="93">
          <cell r="B93">
            <v>36770</v>
          </cell>
        </row>
        <row r="94">
          <cell r="B94">
            <v>36800</v>
          </cell>
        </row>
        <row r="95">
          <cell r="B95">
            <v>36831</v>
          </cell>
        </row>
        <row r="96">
          <cell r="B96">
            <v>36861</v>
          </cell>
        </row>
        <row r="97">
          <cell r="B97">
            <v>36892</v>
          </cell>
          <cell r="S97">
            <v>36.4</v>
          </cell>
        </row>
        <row r="98">
          <cell r="B98">
            <v>36923</v>
          </cell>
          <cell r="S98">
            <v>36.4</v>
          </cell>
        </row>
        <row r="99">
          <cell r="B99">
            <v>36951</v>
          </cell>
          <cell r="S99">
            <v>36.4</v>
          </cell>
        </row>
        <row r="100">
          <cell r="B100">
            <v>36982</v>
          </cell>
          <cell r="S100">
            <v>36.4</v>
          </cell>
        </row>
        <row r="101">
          <cell r="B101">
            <v>37012</v>
          </cell>
          <cell r="S101">
            <v>36.4</v>
          </cell>
        </row>
        <row r="102">
          <cell r="B102">
            <v>37043</v>
          </cell>
          <cell r="S102">
            <v>46.8</v>
          </cell>
        </row>
        <row r="103">
          <cell r="B103">
            <v>37073</v>
          </cell>
          <cell r="S103">
            <v>46.8</v>
          </cell>
        </row>
        <row r="104">
          <cell r="B104">
            <v>37104</v>
          </cell>
          <cell r="S104">
            <v>46.8</v>
          </cell>
        </row>
        <row r="105">
          <cell r="B105">
            <v>37135</v>
          </cell>
          <cell r="S105">
            <v>36.4</v>
          </cell>
        </row>
        <row r="106">
          <cell r="B106">
            <v>37165</v>
          </cell>
          <cell r="S106">
            <v>36.4</v>
          </cell>
        </row>
        <row r="107">
          <cell r="B107">
            <v>37196</v>
          </cell>
          <cell r="S107">
            <v>36.4</v>
          </cell>
        </row>
        <row r="108">
          <cell r="B108">
            <v>37226</v>
          </cell>
          <cell r="S108">
            <v>36.4</v>
          </cell>
        </row>
        <row r="109">
          <cell r="B109">
            <v>37257</v>
          </cell>
          <cell r="S109">
            <v>36.4</v>
          </cell>
          <cell r="T109">
            <v>37.554379975949999</v>
          </cell>
          <cell r="U109">
            <v>27.851589853798519</v>
          </cell>
          <cell r="X109">
            <v>28.673183613765413</v>
          </cell>
          <cell r="Z109">
            <v>19.094553366563225</v>
          </cell>
          <cell r="AB109">
            <v>28.673183613765413</v>
          </cell>
          <cell r="AC109">
            <v>41.987290326078593</v>
          </cell>
        </row>
        <row r="110">
          <cell r="B110">
            <v>37288</v>
          </cell>
          <cell r="S110">
            <v>36.4</v>
          </cell>
          <cell r="T110">
            <v>29.689465843095004</v>
          </cell>
          <cell r="U110">
            <v>23.25763902474792</v>
          </cell>
          <cell r="X110">
            <v>25.331623629106947</v>
          </cell>
          <cell r="Z110">
            <v>19.116275631885181</v>
          </cell>
          <cell r="AB110">
            <v>25.331623629106947</v>
          </cell>
          <cell r="AC110">
            <v>34.974455021643735</v>
          </cell>
        </row>
        <row r="111">
          <cell r="B111">
            <v>37316</v>
          </cell>
          <cell r="S111">
            <v>36.4</v>
          </cell>
          <cell r="T111">
            <v>43.379640366450012</v>
          </cell>
          <cell r="U111">
            <v>31.74160860087725</v>
          </cell>
          <cell r="X111">
            <v>31.128709304459218</v>
          </cell>
          <cell r="Z111">
            <v>22.063749626028052</v>
          </cell>
          <cell r="AB111">
            <v>31.128709304459218</v>
          </cell>
          <cell r="AC111">
            <v>45.674066253593267</v>
          </cell>
        </row>
        <row r="112">
          <cell r="B112">
            <v>37347</v>
          </cell>
          <cell r="S112">
            <v>36.4</v>
          </cell>
          <cell r="T112">
            <v>51.519598633500003</v>
          </cell>
          <cell r="U112">
            <v>36.784218752158104</v>
          </cell>
          <cell r="X112">
            <v>34.575635692338317</v>
          </cell>
          <cell r="Z112">
            <v>23.801939502507405</v>
          </cell>
          <cell r="AB112">
            <v>34.575635692338317</v>
          </cell>
          <cell r="AC112">
            <v>49.369258761258131</v>
          </cell>
        </row>
        <row r="113">
          <cell r="B113">
            <v>37377</v>
          </cell>
          <cell r="S113">
            <v>36.4</v>
          </cell>
          <cell r="T113">
            <v>55.924075355549988</v>
          </cell>
          <cell r="U113">
            <v>39.408396172182542</v>
          </cell>
          <cell r="X113">
            <v>36.444908783193121</v>
          </cell>
          <cell r="Y113" t="e">
            <v>#REF!</v>
          </cell>
          <cell r="Z113">
            <v>24.638449085906963</v>
          </cell>
          <cell r="AA113" t="e">
            <v>#REF!</v>
          </cell>
          <cell r="AB113">
            <v>36.444908783193121</v>
          </cell>
          <cell r="AC113">
            <v>50.675508766411284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</row>
        <row r="114">
          <cell r="B114">
            <v>37408</v>
          </cell>
          <cell r="S114">
            <v>46.8</v>
          </cell>
          <cell r="T114">
            <v>42.813194317530005</v>
          </cell>
          <cell r="U114">
            <v>31.450829984764667</v>
          </cell>
          <cell r="X114">
            <v>30.886444026104414</v>
          </cell>
          <cell r="Y114" t="e">
            <v>#REF!</v>
          </cell>
          <cell r="Z114">
            <v>21.931570437585897</v>
          </cell>
          <cell r="AA114" t="e">
            <v>#REF!</v>
          </cell>
          <cell r="AB114">
            <v>30.886444026104414</v>
          </cell>
          <cell r="AC114">
            <v>45.340420088187294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</row>
        <row r="115">
          <cell r="B115">
            <v>37438</v>
          </cell>
          <cell r="S115">
            <v>46.8</v>
          </cell>
          <cell r="T115">
            <v>39.8940753786</v>
          </cell>
          <cell r="U115">
            <v>29.743099590819117</v>
          </cell>
          <cell r="X115">
            <v>29.646305136494252</v>
          </cell>
          <cell r="Y115" t="e">
            <v>#REF!</v>
          </cell>
          <cell r="Z115">
            <v>21.228624040262744</v>
          </cell>
          <cell r="AA115" t="e">
            <v>#REF!</v>
          </cell>
          <cell r="AB115">
            <v>29.646305136494252</v>
          </cell>
          <cell r="AC115">
            <v>43.484440223480334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</row>
        <row r="116">
          <cell r="B116">
            <v>37469</v>
          </cell>
          <cell r="S116">
            <v>46.8</v>
          </cell>
          <cell r="T116">
            <v>40.136623872000001</v>
          </cell>
          <cell r="U116">
            <v>29.920572167252683</v>
          </cell>
          <cell r="X116">
            <v>29.747927830615563</v>
          </cell>
          <cell r="Y116" t="e">
            <v>#REF!</v>
          </cell>
          <cell r="Z116">
            <v>21.287315822526189</v>
          </cell>
          <cell r="AA116" t="e">
            <v>#REF!</v>
          </cell>
          <cell r="AB116">
            <v>29.747927830615563</v>
          </cell>
          <cell r="AC116">
            <v>43.639477461885804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</row>
        <row r="117">
          <cell r="B117">
            <v>37500</v>
          </cell>
          <cell r="S117">
            <v>36.4</v>
          </cell>
          <cell r="T117">
            <v>39.510155201890804</v>
          </cell>
          <cell r="U117">
            <v>29.569746428222725</v>
          </cell>
          <cell r="X117">
            <v>29.481157669616127</v>
          </cell>
          <cell r="Y117" t="e">
            <v>#REF!</v>
          </cell>
          <cell r="Z117">
            <v>21.13074124710721</v>
          </cell>
          <cell r="AA117" t="e">
            <v>#REF!</v>
          </cell>
          <cell r="AB117">
            <v>29.481157669616127</v>
          </cell>
          <cell r="AC117">
            <v>43.203060429787378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</row>
        <row r="118">
          <cell r="B118">
            <v>37530</v>
          </cell>
          <cell r="S118">
            <v>36.4</v>
          </cell>
          <cell r="T118">
            <v>46.934705429561426</v>
          </cell>
          <cell r="U118">
            <v>34.11369776238044</v>
          </cell>
          <cell r="X118">
            <v>32.627352748116373</v>
          </cell>
          <cell r="Y118" t="e">
            <v>#REF!</v>
          </cell>
          <cell r="Z118">
            <v>22.855319269681821</v>
          </cell>
          <cell r="AA118" t="e">
            <v>#REF!</v>
          </cell>
          <cell r="AB118">
            <v>32.627352748116373</v>
          </cell>
          <cell r="AC118">
            <v>47.498775463217932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</row>
        <row r="119">
          <cell r="B119">
            <v>37561</v>
          </cell>
          <cell r="S119">
            <v>36.4</v>
          </cell>
          <cell r="T119">
            <v>51.879437947485123</v>
          </cell>
          <cell r="U119">
            <v>37.150039490262152</v>
          </cell>
          <cell r="X119">
            <v>34.72230866076201</v>
          </cell>
          <cell r="Y119" t="e">
            <v>#REF!</v>
          </cell>
          <cell r="Z119">
            <v>23.877041223003495</v>
          </cell>
          <cell r="AA119" t="e">
            <v>#REF!</v>
          </cell>
          <cell r="AB119">
            <v>34.72230866076201</v>
          </cell>
          <cell r="AC119">
            <v>49.516981335199361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</row>
        <row r="120">
          <cell r="B120">
            <v>37591</v>
          </cell>
          <cell r="S120">
            <v>36.4</v>
          </cell>
          <cell r="T120">
            <v>52.061543097669407</v>
          </cell>
          <cell r="U120">
            <v>37.290901838175301</v>
          </cell>
          <cell r="X120">
            <v>34.798302773057465</v>
          </cell>
          <cell r="Y120" t="e">
            <v>#REF!</v>
          </cell>
          <cell r="Z120">
            <v>23.913765350894799</v>
          </cell>
          <cell r="AA120" t="e">
            <v>#REF!</v>
          </cell>
          <cell r="AB120">
            <v>34.798302773057465</v>
          </cell>
          <cell r="AC120">
            <v>49.584501596332075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</row>
        <row r="121">
          <cell r="B121">
            <v>37622</v>
          </cell>
          <cell r="G121" t="e">
            <v>#REF!</v>
          </cell>
          <cell r="S121">
            <v>36.4</v>
          </cell>
          <cell r="T121">
            <v>63.348268308346739</v>
          </cell>
          <cell r="U121">
            <v>44.204585281899398</v>
          </cell>
          <cell r="X121">
            <v>39.58087605944332</v>
          </cell>
          <cell r="Y121" t="e">
            <v>#REF!</v>
          </cell>
          <cell r="Z121">
            <v>25.942537585832596</v>
          </cell>
          <cell r="AA121" t="e">
            <v>#REF!</v>
          </cell>
          <cell r="AB121">
            <v>39.58087605944332</v>
          </cell>
          <cell r="AC121">
            <v>52.144284322075343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</row>
        <row r="122">
          <cell r="B122">
            <v>37653</v>
          </cell>
          <cell r="G122" t="e">
            <v>#REF!</v>
          </cell>
          <cell r="S122">
            <v>36.4</v>
          </cell>
          <cell r="T122">
            <v>62.741077947938429</v>
          </cell>
          <cell r="U122">
            <v>43.88727808696185</v>
          </cell>
          <cell r="X122">
            <v>39.321407981985274</v>
          </cell>
          <cell r="Y122" t="e">
            <v>#REF!</v>
          </cell>
          <cell r="Z122">
            <v>25.845783236076997</v>
          </cell>
          <cell r="AA122" t="e">
            <v>#REF!</v>
          </cell>
          <cell r="AB122">
            <v>39.321407981985274</v>
          </cell>
          <cell r="AC122">
            <v>52.089861803103481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</row>
        <row r="123">
          <cell r="B123">
            <v>37681</v>
          </cell>
          <cell r="G123" t="e">
            <v>#REF!</v>
          </cell>
          <cell r="S123">
            <v>36.4</v>
          </cell>
          <cell r="T123">
            <v>59.799680080472214</v>
          </cell>
          <cell r="U123">
            <v>42.150954395271363</v>
          </cell>
          <cell r="X123">
            <v>38.07242469233065</v>
          </cell>
          <cell r="Y123" t="e">
            <v>#REF!</v>
          </cell>
          <cell r="Z123">
            <v>25.34977947905384</v>
          </cell>
          <cell r="AA123" t="e">
            <v>#REF!</v>
          </cell>
          <cell r="AB123">
            <v>38.07242469233065</v>
          </cell>
          <cell r="AC123">
            <v>51.64418286030714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</row>
        <row r="124">
          <cell r="B124">
            <v>37712</v>
          </cell>
          <cell r="G124" t="e">
            <v>#REF!</v>
          </cell>
          <cell r="S124">
            <v>36.4</v>
          </cell>
          <cell r="T124">
            <v>55.372928530833661</v>
          </cell>
          <cell r="U124">
            <v>39.511688358416173</v>
          </cell>
          <cell r="X124">
            <v>36.193770050680051</v>
          </cell>
          <cell r="Y124" t="e">
            <v>#REF!</v>
          </cell>
          <cell r="Z124">
            <v>24.555729228294979</v>
          </cell>
          <cell r="AA124" t="e">
            <v>#REF!</v>
          </cell>
          <cell r="AB124">
            <v>36.193770050680051</v>
          </cell>
          <cell r="AC124">
            <v>50.648235934168738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</row>
        <row r="125">
          <cell r="B125">
            <v>37742</v>
          </cell>
          <cell r="G125" t="e">
            <v>#REF!</v>
          </cell>
          <cell r="S125">
            <v>36.4</v>
          </cell>
          <cell r="T125">
            <v>53.82635609826734</v>
          </cell>
          <cell r="U125">
            <v>38.623574078709645</v>
          </cell>
          <cell r="X125">
            <v>35.536069167454485</v>
          </cell>
          <cell r="Y125" t="e">
            <v>#REF!</v>
          </cell>
          <cell r="Z125">
            <v>24.264830521653188</v>
          </cell>
          <cell r="AA125" t="e">
            <v>#REF!</v>
          </cell>
          <cell r="AB125">
            <v>35.536069167454485</v>
          </cell>
          <cell r="AC125">
            <v>50.208022327330575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</row>
        <row r="126">
          <cell r="B126">
            <v>37773</v>
          </cell>
          <cell r="G126" t="e">
            <v>#REF!</v>
          </cell>
          <cell r="S126">
            <v>46.8</v>
          </cell>
          <cell r="T126">
            <v>53.644153160877863</v>
          </cell>
          <cell r="U126">
            <v>38.565051604918125</v>
          </cell>
          <cell r="X126">
            <v>35.456744028295795</v>
          </cell>
          <cell r="Y126" t="e">
            <v>#REF!</v>
          </cell>
          <cell r="Z126">
            <v>24.231476322053226</v>
          </cell>
          <cell r="AA126" t="e">
            <v>#REF!</v>
          </cell>
          <cell r="AB126">
            <v>35.456744028295795</v>
          </cell>
          <cell r="AC126">
            <v>50.161379803911274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</row>
        <row r="127">
          <cell r="B127">
            <v>37803</v>
          </cell>
          <cell r="G127" t="e">
            <v>#REF!</v>
          </cell>
          <cell r="S127">
            <v>46.8</v>
          </cell>
          <cell r="T127">
            <v>53.805674665481121</v>
          </cell>
          <cell r="U127">
            <v>38.715604025484666</v>
          </cell>
          <cell r="X127">
            <v>35.523125473233797</v>
          </cell>
          <cell r="Y127" t="e">
            <v>#REF!</v>
          </cell>
          <cell r="Z127">
            <v>24.264286886908145</v>
          </cell>
          <cell r="AA127" t="e">
            <v>#REF!</v>
          </cell>
          <cell r="AB127">
            <v>35.523125473233797</v>
          </cell>
          <cell r="AC127">
            <v>50.222581029572673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</row>
        <row r="128">
          <cell r="B128">
            <v>37834</v>
          </cell>
          <cell r="G128" t="e">
            <v>#REF!</v>
          </cell>
          <cell r="S128">
            <v>46.8</v>
          </cell>
          <cell r="T128">
            <v>53.977442715255286</v>
          </cell>
          <cell r="U128">
            <v>38.872488442811289</v>
          </cell>
          <cell r="X128">
            <v>35.593846425853336</v>
          </cell>
          <cell r="Y128" t="e">
            <v>#REF!</v>
          </cell>
          <cell r="Z128">
            <v>24.299033406929563</v>
          </cell>
          <cell r="AA128" t="e">
            <v>#REF!</v>
          </cell>
          <cell r="AB128">
            <v>35.593846425853336</v>
          </cell>
          <cell r="AC128">
            <v>50.286809925224553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</row>
        <row r="129">
          <cell r="B129">
            <v>37865</v>
          </cell>
          <cell r="G129" t="e">
            <v>#REF!</v>
          </cell>
          <cell r="S129">
            <v>36.4</v>
          </cell>
          <cell r="T129">
            <v>53.795663215891999</v>
          </cell>
          <cell r="U129">
            <v>38.814530753579426</v>
          </cell>
          <cell r="X129">
            <v>35.514688247461443</v>
          </cell>
          <cell r="Y129" t="e">
            <v>#REF!</v>
          </cell>
          <cell r="Z129">
            <v>24.265691435908622</v>
          </cell>
          <cell r="AA129" t="e">
            <v>#REF!</v>
          </cell>
          <cell r="AB129">
            <v>35.514688247461443</v>
          </cell>
          <cell r="AC129">
            <v>50.24001365185191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</row>
        <row r="130">
          <cell r="B130">
            <v>37895</v>
          </cell>
          <cell r="G130" t="e">
            <v>#REF!</v>
          </cell>
          <cell r="S130">
            <v>36.4</v>
          </cell>
          <cell r="T130">
            <v>53.664552424247475</v>
          </cell>
          <cell r="U130">
            <v>38.787480752340223</v>
          </cell>
          <cell r="X130">
            <v>35.457005216254437</v>
          </cell>
          <cell r="Y130" t="e">
            <v>#REF!</v>
          </cell>
          <cell r="Z130">
            <v>24.241948373115523</v>
          </cell>
          <cell r="AA130" t="e">
            <v>#REF!</v>
          </cell>
          <cell r="AB130">
            <v>35.457005216254437</v>
          </cell>
          <cell r="AC130">
            <v>50.208125998385277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</row>
        <row r="131">
          <cell r="B131">
            <v>37926</v>
          </cell>
          <cell r="G131" t="e">
            <v>#REF!</v>
          </cell>
          <cell r="S131">
            <v>36.4</v>
          </cell>
          <cell r="T131">
            <v>55.302028513243677</v>
          </cell>
          <cell r="U131">
            <v>39.835773847893194</v>
          </cell>
          <cell r="X131">
            <v>36.149052652318353</v>
          </cell>
          <cell r="Y131" t="e">
            <v>#REF!</v>
          </cell>
          <cell r="Z131">
            <v>24.556686487798057</v>
          </cell>
          <cell r="AA131" t="e">
            <v>#REF!</v>
          </cell>
          <cell r="AB131">
            <v>36.149052652318353</v>
          </cell>
          <cell r="AC131">
            <v>50.717663493856172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</row>
        <row r="132">
          <cell r="B132">
            <v>37956</v>
          </cell>
          <cell r="G132" t="e">
            <v>#REF!</v>
          </cell>
          <cell r="S132">
            <v>36.4</v>
          </cell>
          <cell r="T132">
            <v>56.838592887119361</v>
          </cell>
          <cell r="U132">
            <v>40.822819351381597</v>
          </cell>
          <cell r="X132">
            <v>36.798317646796058</v>
          </cell>
          <cell r="Y132" t="e">
            <v>#REF!</v>
          </cell>
          <cell r="Z132">
            <v>24.844918165178253</v>
          </cell>
          <cell r="AA132" t="e">
            <v>#REF!</v>
          </cell>
          <cell r="AB132">
            <v>36.798317646796058</v>
          </cell>
          <cell r="AC132">
            <v>51.147774453986173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</row>
        <row r="133">
          <cell r="B133">
            <v>37987</v>
          </cell>
          <cell r="G133" t="e">
            <v>#REF!</v>
          </cell>
          <cell r="S133">
            <v>36.4</v>
          </cell>
          <cell r="T133">
            <v>57.525268883064044</v>
          </cell>
          <cell r="U133">
            <v>41.29988672814838</v>
          </cell>
          <cell r="X133">
            <v>37.087031543461684</v>
          </cell>
          <cell r="Y133" t="e">
            <v>#REF!</v>
          </cell>
          <cell r="Z133">
            <v>24.973204518387174</v>
          </cell>
          <cell r="AA133" t="e">
            <v>#REF!</v>
          </cell>
          <cell r="AB133">
            <v>37.087031543461684</v>
          </cell>
          <cell r="AC133">
            <v>51.335973850423983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</row>
        <row r="134">
          <cell r="B134">
            <v>38018</v>
          </cell>
          <cell r="G134" t="e">
            <v>#REF!</v>
          </cell>
          <cell r="S134">
            <v>36.4</v>
          </cell>
          <cell r="T134">
            <v>56.393153788087368</v>
          </cell>
          <cell r="U134">
            <v>40.671322841452564</v>
          </cell>
          <cell r="X134">
            <v>36.604722976082307</v>
          </cell>
          <cell r="Y134" t="e">
            <v>#REF!</v>
          </cell>
          <cell r="Z134">
            <v>24.767545046741802</v>
          </cell>
          <cell r="AA134" t="e">
            <v>#REF!</v>
          </cell>
          <cell r="AB134">
            <v>36.604722976082307</v>
          </cell>
          <cell r="AC134">
            <v>51.063164003617707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</row>
        <row r="135">
          <cell r="B135">
            <v>38047</v>
          </cell>
          <cell r="G135" t="e">
            <v>#REF!</v>
          </cell>
          <cell r="S135">
            <v>36.4</v>
          </cell>
          <cell r="T135">
            <v>54.402260947221478</v>
          </cell>
          <cell r="U135">
            <v>39.520783101996528</v>
          </cell>
          <cell r="X135">
            <v>35.758358250884662</v>
          </cell>
          <cell r="Y135" t="e">
            <v>#REF!</v>
          </cell>
          <cell r="Z135">
            <v>24.393124898178293</v>
          </cell>
          <cell r="AA135" t="e">
            <v>#REF!</v>
          </cell>
          <cell r="AB135">
            <v>35.758358250884662</v>
          </cell>
          <cell r="AC135">
            <v>50.497728337977172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</row>
        <row r="136">
          <cell r="B136">
            <v>38078</v>
          </cell>
          <cell r="G136" t="e">
            <v>#REF!</v>
          </cell>
          <cell r="S136">
            <v>36.4</v>
          </cell>
          <cell r="T136">
            <v>51.19890179091383</v>
          </cell>
          <cell r="U136">
            <v>37.633237308191802</v>
          </cell>
          <cell r="X136">
            <v>34.398002632789691</v>
          </cell>
          <cell r="Y136" t="e">
            <v>#REF!</v>
          </cell>
          <cell r="Z136">
            <v>23.759211507639215</v>
          </cell>
          <cell r="AA136" t="e">
            <v>#REF!</v>
          </cell>
          <cell r="AB136">
            <v>34.398002632789691</v>
          </cell>
          <cell r="AC136">
            <v>49.376602522791778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</row>
        <row r="137">
          <cell r="B137">
            <v>38108</v>
          </cell>
          <cell r="G137" t="e">
            <v>#REF!</v>
          </cell>
          <cell r="S137">
            <v>36.4</v>
          </cell>
          <cell r="T137">
            <v>50.421020493779181</v>
          </cell>
          <cell r="U137">
            <v>37.220430777606637</v>
          </cell>
          <cell r="X137">
            <v>34.065843782913383</v>
          </cell>
          <cell r="Y137" t="e">
            <v>#REF!</v>
          </cell>
          <cell r="Z137">
            <v>23.599783570135404</v>
          </cell>
          <cell r="AA137" t="e">
            <v>#REF!</v>
          </cell>
          <cell r="AB137">
            <v>34.065843782913383</v>
          </cell>
          <cell r="AC137">
            <v>49.067298281398664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</row>
        <row r="138">
          <cell r="B138">
            <v>38139</v>
          </cell>
          <cell r="G138" t="e">
            <v>#REF!</v>
          </cell>
          <cell r="S138">
            <v>46.8</v>
          </cell>
          <cell r="T138">
            <v>50.249645582351654</v>
          </cell>
          <cell r="U138">
            <v>37.176491665252676</v>
          </cell>
          <cell r="X138">
            <v>33.990788112734222</v>
          </cell>
          <cell r="Y138" t="e">
            <v>#REF!</v>
          </cell>
          <cell r="Z138">
            <v>23.564698160580306</v>
          </cell>
          <cell r="AA138" t="e">
            <v>#REF!</v>
          </cell>
          <cell r="AB138">
            <v>33.990788112734222</v>
          </cell>
          <cell r="AC138">
            <v>48.999207726956008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</row>
        <row r="139">
          <cell r="B139">
            <v>38169</v>
          </cell>
          <cell r="G139" t="e">
            <v>#REF!</v>
          </cell>
          <cell r="S139">
            <v>46.8</v>
          </cell>
          <cell r="T139">
            <v>50.38161548658686</v>
          </cell>
          <cell r="U139">
            <v>37.317108450629519</v>
          </cell>
          <cell r="X139">
            <v>34.044320159094049</v>
          </cell>
          <cell r="Y139" t="e">
            <v>#REF!</v>
          </cell>
          <cell r="Z139">
            <v>23.592733424803374</v>
          </cell>
          <cell r="AA139" t="e">
            <v>#REF!</v>
          </cell>
          <cell r="AB139">
            <v>34.044320159094049</v>
          </cell>
          <cell r="AC139">
            <v>49.058015155123577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</row>
        <row r="140">
          <cell r="B140">
            <v>38200</v>
          </cell>
          <cell r="G140" t="e">
            <v>#REF!</v>
          </cell>
          <cell r="S140">
            <v>46.8</v>
          </cell>
          <cell r="T140">
            <v>50.564295634113897</v>
          </cell>
          <cell r="U140">
            <v>37.488688291899749</v>
          </cell>
          <cell r="X140">
            <v>34.119343730032121</v>
          </cell>
          <cell r="Y140" t="e">
            <v>#REF!</v>
          </cell>
          <cell r="Z140">
            <v>23.631298552585797</v>
          </cell>
          <cell r="AA140" t="e">
            <v>#REF!</v>
          </cell>
          <cell r="AB140">
            <v>34.119343730032121</v>
          </cell>
          <cell r="AC140">
            <v>49.137954429050922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</row>
        <row r="141">
          <cell r="B141">
            <v>38231</v>
          </cell>
          <cell r="G141" t="e">
            <v>#REF!</v>
          </cell>
          <cell r="S141">
            <v>36.4</v>
          </cell>
          <cell r="T141">
            <v>50.494524456737523</v>
          </cell>
          <cell r="U141">
            <v>37.506919671007061</v>
          </cell>
          <cell r="X141">
            <v>34.087343363119402</v>
          </cell>
          <cell r="Y141" t="e">
            <v>#REF!</v>
          </cell>
          <cell r="Z141">
            <v>23.617290625929147</v>
          </cell>
          <cell r="AA141" t="e">
            <v>#REF!</v>
          </cell>
          <cell r="AB141">
            <v>34.087343363119402</v>
          </cell>
          <cell r="AC141">
            <v>49.112146567882476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</row>
        <row r="142">
          <cell r="B142">
            <v>38261</v>
          </cell>
          <cell r="G142" t="e">
            <v>#REF!</v>
          </cell>
          <cell r="S142">
            <v>36.4</v>
          </cell>
          <cell r="T142">
            <v>50.677572335190092</v>
          </cell>
          <cell r="U142">
            <v>37.678989910198652</v>
          </cell>
          <cell r="X142">
            <v>34.162511929625929</v>
          </cell>
          <cell r="Y142" t="e">
            <v>#REF!</v>
          </cell>
          <cell r="Z142">
            <v>23.655930843421125</v>
          </cell>
          <cell r="AA142" t="e">
            <v>#REF!</v>
          </cell>
          <cell r="AB142">
            <v>34.162511929625929</v>
          </cell>
          <cell r="AC142">
            <v>49.19238767154151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</row>
        <row r="143">
          <cell r="B143">
            <v>38292</v>
          </cell>
          <cell r="G143" t="e">
            <v>#REF!</v>
          </cell>
          <cell r="S143">
            <v>36.4</v>
          </cell>
          <cell r="T143">
            <v>52.427141599133797</v>
          </cell>
          <cell r="U143">
            <v>38.80358517202793</v>
          </cell>
          <cell r="X143">
            <v>34.901750634521669</v>
          </cell>
          <cell r="Y143" t="e">
            <v>#REF!</v>
          </cell>
          <cell r="Z143">
            <v>24.015309823349853</v>
          </cell>
          <cell r="AA143" t="e">
            <v>#REF!</v>
          </cell>
          <cell r="AB143">
            <v>34.901750634521669</v>
          </cell>
          <cell r="AC143">
            <v>49.892704542774297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</row>
        <row r="144">
          <cell r="B144">
            <v>38322</v>
          </cell>
          <cell r="G144" t="e">
            <v>#REF!</v>
          </cell>
          <cell r="S144">
            <v>36.4</v>
          </cell>
          <cell r="T144">
            <v>54.176895764412706</v>
          </cell>
          <cell r="U144">
            <v>39.928427006067132</v>
          </cell>
          <cell r="X144">
            <v>35.641062245644044</v>
          </cell>
          <cell r="Y144" t="e">
            <v>#REF!</v>
          </cell>
          <cell r="Z144">
            <v>24.364469870757233</v>
          </cell>
          <cell r="AA144" t="e">
            <v>#REF!</v>
          </cell>
          <cell r="AB144">
            <v>35.641062245644044</v>
          </cell>
          <cell r="AC144">
            <v>50.524491636908984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</row>
        <row r="145">
          <cell r="B145">
            <v>38353</v>
          </cell>
          <cell r="G145" t="e">
            <v>#REF!</v>
          </cell>
          <cell r="T145">
            <v>54.865768315304805</v>
          </cell>
          <cell r="U145">
            <v>40.4084237375463</v>
          </cell>
          <cell r="X145">
            <v>35.930642239532069</v>
          </cell>
          <cell r="Y145" t="e">
            <v>#REF!</v>
          </cell>
          <cell r="Z145">
            <v>24.500255051616406</v>
          </cell>
          <cell r="AA145" t="e">
            <v>#REF!</v>
          </cell>
          <cell r="AB145">
            <v>35.930642239532069</v>
          </cell>
          <cell r="AC145">
            <v>50.762130220998259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</row>
        <row r="146">
          <cell r="B146">
            <v>38384</v>
          </cell>
          <cell r="G146" t="e">
            <v>#REF!</v>
          </cell>
          <cell r="T146">
            <v>53.735854717524163</v>
          </cell>
          <cell r="U146">
            <v>39.78279575758669</v>
          </cell>
          <cell r="X146">
            <v>35.449201718093853</v>
          </cell>
          <cell r="Y146" t="e">
            <v>#REF!</v>
          </cell>
          <cell r="Z146">
            <v>24.280436205852922</v>
          </cell>
          <cell r="AA146" t="e">
            <v>#REF!</v>
          </cell>
          <cell r="AB146">
            <v>35.449201718093853</v>
          </cell>
          <cell r="AC146">
            <v>50.39252148906283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</row>
        <row r="147">
          <cell r="B147">
            <v>38412</v>
          </cell>
          <cell r="G147" t="e">
            <v>#REF!</v>
          </cell>
          <cell r="T147">
            <v>52.050330307723009</v>
          </cell>
          <cell r="U147">
            <v>38.819510556242804</v>
          </cell>
          <cell r="X147">
            <v>34.732222616940732</v>
          </cell>
          <cell r="Y147" t="e">
            <v>#REF!</v>
          </cell>
          <cell r="Z147">
            <v>23.942334155993972</v>
          </cell>
          <cell r="AA147" t="e">
            <v>#REF!</v>
          </cell>
          <cell r="AB147">
            <v>34.732222616940732</v>
          </cell>
          <cell r="AC147">
            <v>49.772711191147501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</row>
        <row r="148">
          <cell r="B148">
            <v>38443</v>
          </cell>
          <cell r="G148" t="e">
            <v>#REF!</v>
          </cell>
          <cell r="T148">
            <v>49.354452533993864</v>
          </cell>
          <cell r="U148">
            <v>37.242100591772704</v>
          </cell>
          <cell r="X148">
            <v>33.586931663721465</v>
          </cell>
          <cell r="Y148" t="e">
            <v>#REF!</v>
          </cell>
          <cell r="Z148">
            <v>23.376883516213585</v>
          </cell>
          <cell r="AA148" t="e">
            <v>#REF!</v>
          </cell>
          <cell r="AB148">
            <v>33.586931663721465</v>
          </cell>
          <cell r="AC148">
            <v>48.616267298459142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</row>
        <row r="149">
          <cell r="B149">
            <v>38473</v>
          </cell>
          <cell r="G149" t="e">
            <v>#REF!</v>
          </cell>
          <cell r="T149">
            <v>48.73036861787164</v>
          </cell>
          <cell r="U149">
            <v>36.924405744643231</v>
          </cell>
          <cell r="X149">
            <v>33.319904544789757</v>
          </cell>
          <cell r="Y149" t="e">
            <v>#REF!</v>
          </cell>
          <cell r="Z149">
            <v>23.241271610589383</v>
          </cell>
          <cell r="AA149" t="e">
            <v>#REF!</v>
          </cell>
          <cell r="AB149">
            <v>33.319904544789757</v>
          </cell>
          <cell r="AC149">
            <v>48.317646427847535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</row>
        <row r="150">
          <cell r="B150">
            <v>38504</v>
          </cell>
          <cell r="G150" t="e">
            <v>#REF!</v>
          </cell>
          <cell r="T150">
            <v>48.914904061335776</v>
          </cell>
          <cell r="U150">
            <v>37.098459636529164</v>
          </cell>
          <cell r="X150">
            <v>33.395659655205037</v>
          </cell>
          <cell r="Y150" t="e">
            <v>#REF!</v>
          </cell>
          <cell r="Z150">
            <v>23.281120790204199</v>
          </cell>
          <cell r="AA150" t="e">
            <v>#REF!</v>
          </cell>
          <cell r="AB150">
            <v>33.395659655205037</v>
          </cell>
          <cell r="AC150">
            <v>48.405138919767396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</row>
        <row r="151">
          <cell r="B151">
            <v>38534</v>
          </cell>
          <cell r="G151" t="e">
            <v>#REF!</v>
          </cell>
          <cell r="T151">
            <v>49.402789318562313</v>
          </cell>
          <cell r="U151">
            <v>37.457076051991393</v>
          </cell>
          <cell r="X151">
            <v>33.600004452899988</v>
          </cell>
          <cell r="Y151" t="e">
            <v>#REF!</v>
          </cell>
          <cell r="Z151">
            <v>23.38669489886917</v>
          </cell>
          <cell r="AA151" t="e">
            <v>#REF!</v>
          </cell>
          <cell r="AB151">
            <v>33.600004452899988</v>
          </cell>
          <cell r="AC151">
            <v>48.636876376170591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</row>
        <row r="152">
          <cell r="B152">
            <v>38565</v>
          </cell>
          <cell r="G152" t="e">
            <v>#REF!</v>
          </cell>
          <cell r="T152">
            <v>49.587700851176116</v>
          </cell>
          <cell r="U152">
            <v>37.631631421960243</v>
          </cell>
          <cell r="X152">
            <v>33.675907854514769</v>
          </cell>
          <cell r="Y152" t="e">
            <v>#REF!</v>
          </cell>
          <cell r="Z152">
            <v>23.426389311114384</v>
          </cell>
          <cell r="AA152" t="e">
            <v>#REF!</v>
          </cell>
          <cell r="AB152">
            <v>33.675907854514769</v>
          </cell>
          <cell r="AC152">
            <v>48.723139289616434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</row>
        <row r="153">
          <cell r="B153">
            <v>38596</v>
          </cell>
          <cell r="G153" t="e">
            <v>#REF!</v>
          </cell>
          <cell r="T153">
            <v>49.469639082752934</v>
          </cell>
          <cell r="U153">
            <v>37.62212630793077</v>
          </cell>
          <cell r="X153">
            <v>33.623370027064418</v>
          </cell>
          <cell r="Y153" t="e">
            <v>#REF!</v>
          </cell>
          <cell r="Z153">
            <v>23.400582982541028</v>
          </cell>
          <cell r="AA153" t="e">
            <v>#REF!</v>
          </cell>
          <cell r="AB153">
            <v>33.623370027064418</v>
          </cell>
          <cell r="AC153">
            <v>48.666447374792945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</row>
        <row r="154">
          <cell r="B154">
            <v>38626</v>
          </cell>
          <cell r="G154" t="e">
            <v>#REF!</v>
          </cell>
          <cell r="T154">
            <v>49.776193191021541</v>
          </cell>
          <cell r="U154">
            <v>37.870910227827295</v>
          </cell>
          <cell r="X154">
            <v>33.750828637939819</v>
          </cell>
          <cell r="Y154" t="e">
            <v>#REF!</v>
          </cell>
          <cell r="Z154">
            <v>23.466565591900846</v>
          </cell>
          <cell r="AA154" t="e">
            <v>#REF!</v>
          </cell>
          <cell r="AB154">
            <v>33.750828637939819</v>
          </cell>
          <cell r="AC154">
            <v>48.810235305980235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</row>
        <row r="155">
          <cell r="B155">
            <v>38657</v>
          </cell>
          <cell r="G155" t="e">
            <v>#REF!</v>
          </cell>
          <cell r="T155">
            <v>51.538114335165943</v>
          </cell>
          <cell r="U155">
            <v>39.004644765490589</v>
          </cell>
          <cell r="X155">
            <v>34.495236979908434</v>
          </cell>
          <cell r="Y155" t="e">
            <v>#REF!</v>
          </cell>
          <cell r="Z155">
            <v>23.840718115246577</v>
          </cell>
          <cell r="AA155" t="e">
            <v>#REF!</v>
          </cell>
          <cell r="AB155">
            <v>34.495236979908434</v>
          </cell>
          <cell r="AC155">
            <v>49.598120654836606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</row>
        <row r="156">
          <cell r="B156">
            <v>38687</v>
          </cell>
          <cell r="G156" t="e">
            <v>#REF!</v>
          </cell>
          <cell r="T156">
            <v>53.441701026127426</v>
          </cell>
          <cell r="U156">
            <v>40.224644872702562</v>
          </cell>
          <cell r="X156">
            <v>35.299694179448558</v>
          </cell>
          <cell r="Y156" t="e">
            <v>#REF!</v>
          </cell>
          <cell r="Z156">
            <v>24.23254614146931</v>
          </cell>
          <cell r="AA156" t="e">
            <v>#REF!</v>
          </cell>
          <cell r="AB156">
            <v>35.299694179448558</v>
          </cell>
          <cell r="AC156">
            <v>50.366561503454122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</row>
        <row r="157">
          <cell r="B157">
            <v>38718</v>
          </cell>
          <cell r="G157" t="e">
            <v>#REF!</v>
          </cell>
          <cell r="T157">
            <v>54.13597111141717</v>
          </cell>
          <cell r="U157">
            <v>40.711886914579793</v>
          </cell>
          <cell r="X157">
            <v>35.591402410353908</v>
          </cell>
          <cell r="Y157" t="e">
            <v>#REF!</v>
          </cell>
          <cell r="Z157">
            <v>24.373086481882854</v>
          </cell>
          <cell r="AA157" t="e">
            <v>#REF!</v>
          </cell>
          <cell r="AB157">
            <v>35.591402410353908</v>
          </cell>
          <cell r="AC157">
            <v>50.631863951929553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</row>
        <row r="158">
          <cell r="B158">
            <v>38749</v>
          </cell>
          <cell r="G158" t="e">
            <v>#REF!</v>
          </cell>
          <cell r="T158">
            <v>53.112528514830259</v>
          </cell>
          <cell r="U158">
            <v>40.154967524450356</v>
          </cell>
          <cell r="X158">
            <v>35.154936345881374</v>
          </cell>
          <cell r="Y158" t="e">
            <v>#REF!</v>
          </cell>
          <cell r="Z158">
            <v>24.1673328953366</v>
          </cell>
          <cell r="AA158" t="e">
            <v>#REF!</v>
          </cell>
          <cell r="AB158">
            <v>35.154936345881374</v>
          </cell>
          <cell r="AC158">
            <v>50.253555322699796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</row>
        <row r="159">
          <cell r="B159">
            <v>38777</v>
          </cell>
          <cell r="G159" t="e">
            <v>#REF!</v>
          </cell>
          <cell r="T159">
            <v>51.786129624184476</v>
          </cell>
          <cell r="U159">
            <v>39.414010305398818</v>
          </cell>
          <cell r="X159">
            <v>34.590035758161186</v>
          </cell>
          <cell r="Y159" t="e">
            <v>#REF!</v>
          </cell>
          <cell r="Z159">
            <v>23.893668496411522</v>
          </cell>
          <cell r="AA159" t="e">
            <v>#REF!</v>
          </cell>
          <cell r="AB159">
            <v>34.590035758161186</v>
          </cell>
          <cell r="AC159">
            <v>49.716103101729672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</row>
        <row r="160">
          <cell r="B160">
            <v>38808</v>
          </cell>
          <cell r="G160" t="e">
            <v>#REF!</v>
          </cell>
          <cell r="T160">
            <v>49.600977955164844</v>
          </cell>
          <cell r="U160">
            <v>38.151110441735469</v>
          </cell>
          <cell r="X160">
            <v>33.661088857264083</v>
          </cell>
          <cell r="Y160" t="e">
            <v>#REF!</v>
          </cell>
          <cell r="Z160">
            <v>23.425953713013637</v>
          </cell>
          <cell r="AA160" t="e">
            <v>#REF!</v>
          </cell>
          <cell r="AB160">
            <v>33.661088857264083</v>
          </cell>
          <cell r="AC160">
            <v>48.717336765392702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</row>
        <row r="161">
          <cell r="B161">
            <v>38838</v>
          </cell>
          <cell r="G161" t="e">
            <v>#REF!</v>
          </cell>
          <cell r="T161">
            <v>49.477534400976261</v>
          </cell>
          <cell r="U161">
            <v>38.141808127283063</v>
          </cell>
          <cell r="X161">
            <v>33.606129687035725</v>
          </cell>
          <cell r="Y161" t="e">
            <v>#REF!</v>
          </cell>
          <cell r="Z161">
            <v>23.398264803059085</v>
          </cell>
          <cell r="AA161" t="e">
            <v>#REF!</v>
          </cell>
          <cell r="AB161">
            <v>33.606129687035725</v>
          </cell>
          <cell r="AC161">
            <v>48.654058592128251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</row>
        <row r="162">
          <cell r="B162">
            <v>38869</v>
          </cell>
          <cell r="G162" t="e">
            <v>#REF!</v>
          </cell>
          <cell r="T162">
            <v>49.970727336746059</v>
          </cell>
          <cell r="U162">
            <v>38.507549826330504</v>
          </cell>
          <cell r="X162">
            <v>33.812567291764346</v>
          </cell>
          <cell r="Y162" t="e">
            <v>#REF!</v>
          </cell>
          <cell r="Z162">
            <v>23.505474070698895</v>
          </cell>
          <cell r="AA162" t="e">
            <v>#REF!</v>
          </cell>
          <cell r="AB162">
            <v>33.812567291764346</v>
          </cell>
          <cell r="AC162">
            <v>48.892530618328557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</row>
        <row r="163">
          <cell r="B163">
            <v>38899</v>
          </cell>
          <cell r="G163" t="e">
            <v>#REF!</v>
          </cell>
          <cell r="T163">
            <v>50.464127885426649</v>
          </cell>
          <cell r="U163">
            <v>38.873568314707917</v>
          </cell>
          <cell r="X163">
            <v>34.01908675784842</v>
          </cell>
          <cell r="Y163" t="e">
            <v>#REF!</v>
          </cell>
          <cell r="Z163">
            <v>23.612035509198108</v>
          </cell>
          <cell r="AA163" t="e">
            <v>#REF!</v>
          </cell>
          <cell r="AB163">
            <v>34.01908675784842</v>
          </cell>
          <cell r="AC163">
            <v>49.126587317288504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</row>
        <row r="164">
          <cell r="B164">
            <v>38930</v>
          </cell>
          <cell r="G164" t="e">
            <v>#REF!</v>
          </cell>
          <cell r="T164">
            <v>50.957736531448155</v>
          </cell>
          <cell r="U164">
            <v>39.23986423453227</v>
          </cell>
          <cell r="X164">
            <v>34.225688276297817</v>
          </cell>
          <cell r="Y164" t="e">
            <v>#REF!</v>
          </cell>
          <cell r="Z164">
            <v>23.717956770715052</v>
          </cell>
          <cell r="AA164" t="e">
            <v>#REF!</v>
          </cell>
          <cell r="AB164">
            <v>34.225688276297817</v>
          </cell>
          <cell r="AC164">
            <v>49.35627641670407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</row>
        <row r="165">
          <cell r="B165">
            <v>38961</v>
          </cell>
          <cell r="G165" t="e">
            <v>#REF!</v>
          </cell>
          <cell r="T165">
            <v>51.097864783121054</v>
          </cell>
          <cell r="U165">
            <v>39.391407487318212</v>
          </cell>
          <cell r="X165">
            <v>34.282437142734715</v>
          </cell>
          <cell r="Y165" t="e">
            <v>#REF!</v>
          </cell>
          <cell r="Z165">
            <v>23.747709249403947</v>
          </cell>
          <cell r="AA165" t="e">
            <v>#REF!</v>
          </cell>
          <cell r="AB165">
            <v>34.282437142734715</v>
          </cell>
          <cell r="AC165">
            <v>49.42084691169206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</row>
        <row r="166">
          <cell r="B166">
            <v>38991</v>
          </cell>
          <cell r="G166" t="e">
            <v>#REF!</v>
          </cell>
          <cell r="T166">
            <v>51.298834500488759</v>
          </cell>
          <cell r="U166">
            <v>39.580091873201184</v>
          </cell>
          <cell r="X166">
            <v>34.364971569894678</v>
          </cell>
          <cell r="Y166" t="e">
            <v>#REF!</v>
          </cell>
          <cell r="Z166">
            <v>23.790454988573128</v>
          </cell>
          <cell r="AA166" t="e">
            <v>#REF!</v>
          </cell>
          <cell r="AB166">
            <v>34.364971569894678</v>
          </cell>
          <cell r="AC166">
            <v>49.513166769859367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</row>
        <row r="167">
          <cell r="B167">
            <v>39022</v>
          </cell>
          <cell r="G167" t="e">
            <v>#REF!</v>
          </cell>
          <cell r="T167">
            <v>53.288669460230352</v>
          </cell>
          <cell r="U167">
            <v>40.856496807318116</v>
          </cell>
          <cell r="X167">
            <v>35.205830812627731</v>
          </cell>
          <cell r="Y167" t="e">
            <v>#REF!</v>
          </cell>
          <cell r="Z167">
            <v>24.208514252564218</v>
          </cell>
          <cell r="AA167" t="e">
            <v>#REF!</v>
          </cell>
          <cell r="AB167">
            <v>35.205830812627731</v>
          </cell>
          <cell r="AC167">
            <v>50.374007681042748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</row>
        <row r="168">
          <cell r="B168">
            <v>39052</v>
          </cell>
          <cell r="G168" t="e">
            <v>#REF!</v>
          </cell>
          <cell r="T168">
            <v>54.743128300813133</v>
          </cell>
          <cell r="U168">
            <v>41.807563775435476</v>
          </cell>
          <cell r="X168">
            <v>35.819728605399384</v>
          </cell>
          <cell r="Y168" t="e">
            <v>#REF!</v>
          </cell>
          <cell r="Z168">
            <v>24.505539554311493</v>
          </cell>
          <cell r="AA168" t="e">
            <v>#REF!</v>
          </cell>
          <cell r="AB168">
            <v>35.819728605399384</v>
          </cell>
          <cell r="AC168">
            <v>50.946805547183153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</row>
        <row r="169">
          <cell r="B169">
            <v>39083</v>
          </cell>
          <cell r="G169" t="e">
            <v>#REF!</v>
          </cell>
          <cell r="T169">
            <v>55.470208924695363</v>
          </cell>
          <cell r="U169">
            <v>42.316562452893905</v>
          </cell>
          <cell r="X169">
            <v>36.125271912291687</v>
          </cell>
          <cell r="Y169" t="e">
            <v>#REF!</v>
          </cell>
          <cell r="Z169">
            <v>24.651969852012726</v>
          </cell>
          <cell r="AA169" t="e">
            <v>#REF!</v>
          </cell>
          <cell r="AB169">
            <v>36.125271912291687</v>
          </cell>
          <cell r="AC169">
            <v>51.220646492037368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</row>
        <row r="170">
          <cell r="B170">
            <v>39114</v>
          </cell>
          <cell r="G170" t="e">
            <v>#REF!</v>
          </cell>
          <cell r="T170">
            <v>54.55032048227887</v>
          </cell>
          <cell r="U170">
            <v>41.824413561375906</v>
          </cell>
          <cell r="X170">
            <v>35.732630197837558</v>
          </cell>
          <cell r="Y170" t="e">
            <v>#REF!</v>
          </cell>
          <cell r="Z170">
            <v>24.468156038685322</v>
          </cell>
          <cell r="AA170" t="e">
            <v>#REF!</v>
          </cell>
          <cell r="AB170">
            <v>35.732630197837558</v>
          </cell>
          <cell r="AC170">
            <v>50.88936695411153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</row>
        <row r="171">
          <cell r="B171">
            <v>39142</v>
          </cell>
          <cell r="G171" t="e">
            <v>#REF!</v>
          </cell>
          <cell r="T171">
            <v>53.226427586011731</v>
          </cell>
          <cell r="U171">
            <v>41.086797218610727</v>
          </cell>
          <cell r="X171">
            <v>35.16871771868859</v>
          </cell>
          <cell r="Y171" t="e">
            <v>#REF!</v>
          </cell>
          <cell r="Z171">
            <v>24.196826102113256</v>
          </cell>
          <cell r="AA171" t="e">
            <v>#REF!</v>
          </cell>
          <cell r="AB171">
            <v>35.16871771868859</v>
          </cell>
          <cell r="AC171">
            <v>50.366180560789559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</row>
        <row r="172">
          <cell r="B172">
            <v>39173</v>
          </cell>
          <cell r="G172" t="e">
            <v>#REF!</v>
          </cell>
          <cell r="T172">
            <v>51.549057726190981</v>
          </cell>
          <cell r="U172">
            <v>40.134432756207033</v>
          </cell>
          <cell r="X172">
            <v>34.454953940282728</v>
          </cell>
          <cell r="Y172" t="e">
            <v>#REF!</v>
          </cell>
          <cell r="Z172">
            <v>23.841979693581973</v>
          </cell>
          <cell r="AA172" t="e">
            <v>#REF!</v>
          </cell>
          <cell r="AB172">
            <v>34.454953940282728</v>
          </cell>
          <cell r="AC172">
            <v>49.628820644803916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</row>
        <row r="173">
          <cell r="B173">
            <v>39203</v>
          </cell>
          <cell r="G173" t="e">
            <v>#REF!</v>
          </cell>
          <cell r="T173">
            <v>51.64034526101522</v>
          </cell>
          <cell r="U173">
            <v>40.257505282431062</v>
          </cell>
          <cell r="X173">
            <v>34.490948432678636</v>
          </cell>
          <cell r="Y173" t="e">
            <v>#REF!</v>
          </cell>
          <cell r="Z173">
            <v>23.861150055273427</v>
          </cell>
          <cell r="AA173" t="e">
            <v>#REF!</v>
          </cell>
          <cell r="AB173">
            <v>34.490948432678636</v>
          </cell>
          <cell r="AC173">
            <v>49.670922718328811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</row>
        <row r="174">
          <cell r="B174">
            <v>39234</v>
          </cell>
          <cell r="G174" t="e">
            <v>#REF!</v>
          </cell>
          <cell r="T174">
            <v>52.085534777337386</v>
          </cell>
          <cell r="U174">
            <v>40.595892486111438</v>
          </cell>
          <cell r="X174">
            <v>34.676961808056802</v>
          </cell>
          <cell r="Y174" t="e">
            <v>#REF!</v>
          </cell>
          <cell r="Z174">
            <v>23.956148447315602</v>
          </cell>
          <cell r="AA174" t="e">
            <v>#REF!</v>
          </cell>
          <cell r="AB174">
            <v>34.676961808056802</v>
          </cell>
          <cell r="AC174">
            <v>49.875654277957523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</row>
        <row r="175">
          <cell r="B175">
            <v>39264</v>
          </cell>
          <cell r="G175" t="e">
            <v>#REF!</v>
          </cell>
          <cell r="T175">
            <v>52.50062159686739</v>
          </cell>
          <cell r="U175">
            <v>40.91613307742945</v>
          </cell>
          <cell r="X175">
            <v>34.850207804053902</v>
          </cell>
          <cell r="Y175" t="e">
            <v>#REF!</v>
          </cell>
          <cell r="Z175">
            <v>24.044239681806442</v>
          </cell>
          <cell r="AA175" t="e">
            <v>#REF!</v>
          </cell>
          <cell r="AB175">
            <v>34.850207804053902</v>
          </cell>
          <cell r="AC175">
            <v>50.063610997644489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</row>
        <row r="176">
          <cell r="B176">
            <v>39295</v>
          </cell>
          <cell r="G176" t="e">
            <v>#REF!</v>
          </cell>
          <cell r="T176">
            <v>52.946238613874833</v>
          </cell>
          <cell r="U176">
            <v>41.255090129591544</v>
          </cell>
          <cell r="X176">
            <v>35.036389742097235</v>
          </cell>
          <cell r="Y176" t="e">
            <v>#REF!</v>
          </cell>
          <cell r="Z176">
            <v>24.138339381354257</v>
          </cell>
          <cell r="AA176" t="e">
            <v>#REF!</v>
          </cell>
          <cell r="AB176">
            <v>35.036389742097235</v>
          </cell>
          <cell r="AC176">
            <v>50.262133560976594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</row>
        <row r="177">
          <cell r="B177">
            <v>39326</v>
          </cell>
          <cell r="G177" t="e">
            <v>#REF!</v>
          </cell>
          <cell r="T177">
            <v>53.038381152391707</v>
          </cell>
          <cell r="U177">
            <v>41.379302355847905</v>
          </cell>
          <cell r="X177">
            <v>35.072721360739031</v>
          </cell>
          <cell r="Y177" t="e">
            <v>#REF!</v>
          </cell>
          <cell r="Z177">
            <v>24.157636166256598</v>
          </cell>
          <cell r="AA177" t="e">
            <v>#REF!</v>
          </cell>
          <cell r="AB177">
            <v>35.072721360739031</v>
          </cell>
          <cell r="AC177">
            <v>50.304629964662773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</row>
        <row r="178">
          <cell r="B178">
            <v>39356</v>
          </cell>
          <cell r="G178" t="e">
            <v>#REF!</v>
          </cell>
          <cell r="T178">
            <v>53.383373673915123</v>
          </cell>
          <cell r="U178">
            <v>41.657394548858221</v>
          </cell>
          <cell r="X178">
            <v>35.216234107324347</v>
          </cell>
          <cell r="Y178" t="e">
            <v>#REF!</v>
          </cell>
          <cell r="Z178">
            <v>24.230114591707576</v>
          </cell>
          <cell r="AA178" t="e">
            <v>#REF!</v>
          </cell>
          <cell r="AB178">
            <v>35.216234107324347</v>
          </cell>
          <cell r="AC178">
            <v>50.456721102831871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</row>
        <row r="179">
          <cell r="B179">
            <v>39387</v>
          </cell>
          <cell r="G179" t="e">
            <v>#REF!</v>
          </cell>
          <cell r="T179">
            <v>54.991756615110006</v>
          </cell>
          <cell r="U179">
            <v>42.703740922364219</v>
          </cell>
          <cell r="X179">
            <v>35.895313596325302</v>
          </cell>
          <cell r="Y179" t="e">
            <v>#REF!</v>
          </cell>
          <cell r="Z179">
            <v>24.56317376199263</v>
          </cell>
          <cell r="AA179" t="e">
            <v>#REF!</v>
          </cell>
          <cell r="AB179">
            <v>35.895313596325302</v>
          </cell>
          <cell r="AC179">
            <v>51.121680452827704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</row>
        <row r="180">
          <cell r="B180">
            <v>39417</v>
          </cell>
          <cell r="G180" t="e">
            <v>#REF!</v>
          </cell>
          <cell r="T180">
            <v>56.600355560061843</v>
          </cell>
          <cell r="U180">
            <v>43.750375206749744</v>
          </cell>
          <cell r="X180">
            <v>36.574478255175585</v>
          </cell>
          <cell r="Y180" t="e">
            <v>#REF!</v>
          </cell>
          <cell r="Z180">
            <v>24.887638916297728</v>
          </cell>
          <cell r="AA180" t="e">
            <v>#REF!</v>
          </cell>
          <cell r="AB180">
            <v>36.574478255175585</v>
          </cell>
          <cell r="AC180">
            <v>51.729047425487742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</row>
        <row r="181">
          <cell r="B181">
            <v>39448</v>
          </cell>
          <cell r="G181" t="e">
            <v>#REF!</v>
          </cell>
          <cell r="T181">
            <v>57.198631077779396</v>
          </cell>
          <cell r="U181">
            <v>44.182924521160892</v>
          </cell>
          <cell r="X181">
            <v>36.82534286593819</v>
          </cell>
          <cell r="Y181" t="e">
            <v>#REF!</v>
          </cell>
          <cell r="Z181">
            <v>25.006906404305671</v>
          </cell>
          <cell r="AA181" t="e">
            <v>#REF!</v>
          </cell>
          <cell r="AB181">
            <v>36.82534286593819</v>
          </cell>
          <cell r="AC181">
            <v>51.947745189964174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</row>
        <row r="182">
          <cell r="B182">
            <v>39479</v>
          </cell>
          <cell r="G182" t="e">
            <v>#REF!</v>
          </cell>
          <cell r="T182">
            <v>56.281313705947468</v>
          </cell>
          <cell r="U182">
            <v>43.694202760721296</v>
          </cell>
          <cell r="X182">
            <v>36.433714919473125</v>
          </cell>
          <cell r="Y182" t="e">
            <v>#REF!</v>
          </cell>
          <cell r="Z182">
            <v>24.825761918717276</v>
          </cell>
          <cell r="AA182" t="e">
            <v>#REF!</v>
          </cell>
          <cell r="AB182">
            <v>36.433714919473125</v>
          </cell>
          <cell r="AC182">
            <v>51.633001152764329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</row>
        <row r="183">
          <cell r="B183">
            <v>39508</v>
          </cell>
          <cell r="G183" t="e">
            <v>#REF!</v>
          </cell>
          <cell r="T183">
            <v>54.858943885929598</v>
          </cell>
          <cell r="U183">
            <v>42.898584145382351</v>
          </cell>
          <cell r="X183">
            <v>35.827980032105202</v>
          </cell>
          <cell r="Y183" t="e">
            <v>#REF!</v>
          </cell>
          <cell r="Z183">
            <v>24.537346365700401</v>
          </cell>
          <cell r="AA183" t="e">
            <v>#REF!</v>
          </cell>
          <cell r="AB183">
            <v>35.827980032105202</v>
          </cell>
          <cell r="AC183">
            <v>51.092571267024795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</row>
        <row r="184">
          <cell r="B184">
            <v>39539</v>
          </cell>
          <cell r="G184" t="e">
            <v>#REF!</v>
          </cell>
          <cell r="T184">
            <v>53.436792092770844</v>
          </cell>
          <cell r="U184">
            <v>42.10325612223361</v>
          </cell>
          <cell r="X184">
            <v>35.222331112291748</v>
          </cell>
          <cell r="Y184" t="e">
            <v>#REF!</v>
          </cell>
          <cell r="Z184">
            <v>24.240203521514591</v>
          </cell>
          <cell r="AA184" t="e">
            <v>#REF!</v>
          </cell>
          <cell r="AB184">
            <v>35.222331112291748</v>
          </cell>
          <cell r="AC184">
            <v>50.493714900919002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</row>
        <row r="185">
          <cell r="B185">
            <v>39569</v>
          </cell>
          <cell r="G185" t="e">
            <v>#REF!</v>
          </cell>
          <cell r="T185">
            <v>53.227506757200565</v>
          </cell>
          <cell r="U185">
            <v>42.045467624122352</v>
          </cell>
          <cell r="X185">
            <v>35.130830860623739</v>
          </cell>
          <cell r="Y185" t="e">
            <v>#REF!</v>
          </cell>
          <cell r="Z185">
            <v>24.195336967916425</v>
          </cell>
          <cell r="AA185" t="e">
            <v>#REF!</v>
          </cell>
          <cell r="AB185">
            <v>35.130830860623739</v>
          </cell>
          <cell r="AC185">
            <v>50.401357034660137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</row>
        <row r="186">
          <cell r="B186">
            <v>39600</v>
          </cell>
          <cell r="G186" t="e">
            <v>#REF!</v>
          </cell>
          <cell r="T186">
            <v>53.624764428135109</v>
          </cell>
          <cell r="U186">
            <v>42.356595197540727</v>
          </cell>
          <cell r="X186">
            <v>35.296448228160166</v>
          </cell>
          <cell r="Y186" t="e">
            <v>#REF!</v>
          </cell>
          <cell r="Z186">
            <v>24.279340637572179</v>
          </cell>
          <cell r="AA186" t="e">
            <v>#REF!</v>
          </cell>
          <cell r="AB186">
            <v>35.296448228160166</v>
          </cell>
          <cell r="AC186">
            <v>50.580408282434767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</row>
        <row r="187">
          <cell r="B187">
            <v>39630</v>
          </cell>
          <cell r="G187" t="e">
            <v>#REF!</v>
          </cell>
          <cell r="T187">
            <v>54.022241655680673</v>
          </cell>
          <cell r="U187">
            <v>42.668015390553258</v>
          </cell>
          <cell r="X187">
            <v>35.462152166429178</v>
          </cell>
          <cell r="Y187" t="e">
            <v>#REF!</v>
          </cell>
          <cell r="Z187">
            <v>24.363010193441074</v>
          </cell>
          <cell r="AA187" t="e">
            <v>#REF!</v>
          </cell>
          <cell r="AB187">
            <v>35.462152166429178</v>
          </cell>
          <cell r="AC187">
            <v>50.757119504619496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</row>
        <row r="188">
          <cell r="B188">
            <v>39661</v>
          </cell>
          <cell r="G188" t="e">
            <v>#REF!</v>
          </cell>
          <cell r="T188">
            <v>54.419938952136008</v>
          </cell>
          <cell r="U188">
            <v>42.979728882108539</v>
          </cell>
          <cell r="X188">
            <v>35.627942877429156</v>
          </cell>
          <cell r="Y188" t="e">
            <v>#REF!</v>
          </cell>
          <cell r="Z188">
            <v>24.446348899471442</v>
          </cell>
          <cell r="AA188" t="e">
            <v>#REF!</v>
          </cell>
          <cell r="AB188">
            <v>35.627942877429156</v>
          </cell>
          <cell r="AC188">
            <v>50.931510978354169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</row>
        <row r="189">
          <cell r="B189">
            <v>39692</v>
          </cell>
          <cell r="G189" t="e">
            <v>#REF!</v>
          </cell>
          <cell r="T189">
            <v>54.514694850495253</v>
          </cell>
          <cell r="U189">
            <v>43.107424288080921</v>
          </cell>
          <cell r="X189">
            <v>35.665304938629795</v>
          </cell>
          <cell r="Y189" t="e">
            <v>#REF!</v>
          </cell>
          <cell r="Z189">
            <v>24.466030598829839</v>
          </cell>
          <cell r="AA189" t="e">
            <v>#REF!</v>
          </cell>
          <cell r="AB189">
            <v>35.665304938629795</v>
          </cell>
          <cell r="AC189">
            <v>50.975212671113404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</row>
        <row r="190">
          <cell r="B190">
            <v>39722</v>
          </cell>
          <cell r="G190" t="e">
            <v>#REF!</v>
          </cell>
          <cell r="T190">
            <v>54.86230682970065</v>
          </cell>
          <cell r="U190">
            <v>43.389007742447767</v>
          </cell>
          <cell r="X190">
            <v>35.809850532139897</v>
          </cell>
          <cell r="Y190" t="e">
            <v>#REF!</v>
          </cell>
          <cell r="Z190">
            <v>24.538544141648881</v>
          </cell>
          <cell r="AA190" t="e">
            <v>#REF!</v>
          </cell>
          <cell r="AB190">
            <v>35.809850532139897</v>
          </cell>
          <cell r="AC190">
            <v>51.126174159447451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</row>
        <row r="191">
          <cell r="B191">
            <v>39753</v>
          </cell>
          <cell r="G191" t="e">
            <v>#REF!</v>
          </cell>
          <cell r="T191">
            <v>56.473315340645442</v>
          </cell>
          <cell r="U191">
            <v>44.438853477754591</v>
          </cell>
          <cell r="X191">
            <v>36.489965278041808</v>
          </cell>
          <cell r="Y191" t="e">
            <v>#REF!</v>
          </cell>
          <cell r="Z191">
            <v>24.86994111800454</v>
          </cell>
          <cell r="AA191" t="e">
            <v>#REF!</v>
          </cell>
          <cell r="AB191">
            <v>36.489965278041808</v>
          </cell>
          <cell r="AC191">
            <v>51.778658895335454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</row>
        <row r="192">
          <cell r="B192">
            <v>39783</v>
          </cell>
          <cell r="G192" t="e">
            <v>#REF!</v>
          </cell>
          <cell r="T192">
            <v>58.084545981676627</v>
          </cell>
          <cell r="U192">
            <v>45.488995243232807</v>
          </cell>
          <cell r="X192">
            <v>37.170167609392486</v>
          </cell>
          <cell r="Y192" t="e">
            <v>#REF!</v>
          </cell>
          <cell r="Z192">
            <v>25.1928382502456</v>
          </cell>
          <cell r="AA192" t="e">
            <v>#REF!</v>
          </cell>
          <cell r="AB192">
            <v>37.170167609392486</v>
          </cell>
          <cell r="AC192">
            <v>52.374138604632194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</row>
        <row r="193">
          <cell r="B193">
            <v>39814</v>
          </cell>
          <cell r="G193" t="e">
            <v>#REF!</v>
          </cell>
          <cell r="T193">
            <v>58.331770358847699</v>
          </cell>
          <cell r="U193">
            <v>45.71002943482366</v>
          </cell>
          <cell r="X193">
            <v>37.272137418057987</v>
          </cell>
          <cell r="Y193" t="e">
            <v>#REF!</v>
          </cell>
          <cell r="Z193">
            <v>25.242508085071442</v>
          </cell>
          <cell r="AA193" t="e">
            <v>#REF!</v>
          </cell>
          <cell r="AB193">
            <v>37.272137418057987</v>
          </cell>
          <cell r="AC193">
            <v>52.470352284320782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</row>
        <row r="194">
          <cell r="B194">
            <v>39845</v>
          </cell>
          <cell r="G194" t="e">
            <v>#REF!</v>
          </cell>
          <cell r="T194">
            <v>57.417096978671594</v>
          </cell>
          <cell r="U194">
            <v>45.224831450778915</v>
          </cell>
          <cell r="X194">
            <v>36.881551992214533</v>
          </cell>
          <cell r="Y194" t="e">
            <v>#REF!</v>
          </cell>
          <cell r="Z194">
            <v>25.061752083875334</v>
          </cell>
          <cell r="AA194" t="e">
            <v>#REF!</v>
          </cell>
          <cell r="AB194">
            <v>36.881551992214533</v>
          </cell>
          <cell r="AC194">
            <v>52.156827663674441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</row>
        <row r="195">
          <cell r="B195">
            <v>39873</v>
          </cell>
          <cell r="G195" t="e">
            <v>#REF!</v>
          </cell>
          <cell r="T195">
            <v>55.997377319623411</v>
          </cell>
          <cell r="U195">
            <v>44.43274478793326</v>
          </cell>
          <cell r="X195">
            <v>36.276862058016349</v>
          </cell>
          <cell r="Y195" t="e">
            <v>#REF!</v>
          </cell>
          <cell r="Z195">
            <v>24.773725733585984</v>
          </cell>
          <cell r="AA195" t="e">
            <v>#REF!</v>
          </cell>
          <cell r="AB195">
            <v>36.276862058016349</v>
          </cell>
          <cell r="AC195">
            <v>51.617620039793707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</row>
        <row r="196">
          <cell r="B196">
            <v>39904</v>
          </cell>
          <cell r="G196" t="e">
            <v>#REF!</v>
          </cell>
          <cell r="T196">
            <v>54.577881871143276</v>
          </cell>
          <cell r="U196">
            <v>43.6409569124001</v>
          </cell>
          <cell r="X196">
            <v>35.672260529596691</v>
          </cell>
          <cell r="Y196" t="e">
            <v>#REF!</v>
          </cell>
          <cell r="Z196">
            <v>24.47697281191958</v>
          </cell>
          <cell r="AA196" t="e">
            <v>#REF!</v>
          </cell>
          <cell r="AB196">
            <v>35.672260529596691</v>
          </cell>
          <cell r="AC196">
            <v>51.019988787491037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</row>
        <row r="197">
          <cell r="B197">
            <v>39934</v>
          </cell>
          <cell r="G197" t="e">
            <v>#REF!</v>
          </cell>
          <cell r="T197">
            <v>54.371259078389187</v>
          </cell>
          <cell r="U197">
            <v>43.586716776094896</v>
          </cell>
          <cell r="X197">
            <v>35.581810113235719</v>
          </cell>
          <cell r="Y197" t="e">
            <v>#REF!</v>
          </cell>
          <cell r="Z197">
            <v>24.432496902092467</v>
          </cell>
          <cell r="AA197" t="e">
            <v>#REF!</v>
          </cell>
          <cell r="AB197">
            <v>35.581810113235719</v>
          </cell>
          <cell r="AC197">
            <v>50.928858893634171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</row>
        <row r="198">
          <cell r="B198">
            <v>39965</v>
          </cell>
          <cell r="G198" t="e">
            <v>#REF!</v>
          </cell>
          <cell r="T198">
            <v>54.771185504739854</v>
          </cell>
          <cell r="U198">
            <v>43.901400944622381</v>
          </cell>
          <cell r="X198">
            <v>35.74847976569491</v>
          </cell>
          <cell r="Y198" t="e">
            <v>#REF!</v>
          </cell>
          <cell r="Z198">
            <v>24.516891938233851</v>
          </cell>
          <cell r="AA198" t="e">
            <v>#REF!</v>
          </cell>
          <cell r="AB198">
            <v>35.74847976569491</v>
          </cell>
          <cell r="AC198">
            <v>51.10914097907974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</row>
        <row r="199">
          <cell r="B199">
            <v>39995</v>
          </cell>
          <cell r="G199" t="e">
            <v>#REF!</v>
          </cell>
          <cell r="T199">
            <v>55.171337714797502</v>
          </cell>
          <cell r="U199">
            <v>44.216385985204205</v>
          </cell>
          <cell r="X199">
            <v>35.915238444218168</v>
          </cell>
          <cell r="Y199" t="e">
            <v>#REF!</v>
          </cell>
          <cell r="Z199">
            <v>24.600953584769027</v>
          </cell>
          <cell r="AA199" t="e">
            <v>#REF!</v>
          </cell>
          <cell r="AB199">
            <v>35.915238444218168</v>
          </cell>
          <cell r="AC199">
            <v>51.287085910889971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</row>
        <row r="200">
          <cell r="B200">
            <v>40026</v>
          </cell>
          <cell r="G200" t="e">
            <v>#REF!</v>
          </cell>
          <cell r="T200">
            <v>55.571716235390774</v>
          </cell>
          <cell r="U200">
            <v>44.531672595990742</v>
          </cell>
          <cell r="X200">
            <v>36.08208635653299</v>
          </cell>
          <cell r="Y200" t="e">
            <v>#REF!</v>
          </cell>
          <cell r="Z200">
            <v>24.684685107115577</v>
          </cell>
          <cell r="AA200" t="e">
            <v>#REF!</v>
          </cell>
          <cell r="AB200">
            <v>36.08208635653299</v>
          </cell>
          <cell r="AC200">
            <v>51.462713972905945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</row>
        <row r="201">
          <cell r="B201">
            <v>40057</v>
          </cell>
          <cell r="G201" t="e">
            <v>#REF!</v>
          </cell>
          <cell r="T201">
            <v>55.6691596140776</v>
          </cell>
          <cell r="U201">
            <v>44.662949412102861</v>
          </cell>
          <cell r="X201">
            <v>36.12050808585154</v>
          </cell>
          <cell r="Y201" t="e">
            <v>#REF!</v>
          </cell>
          <cell r="Z201">
            <v>24.704760349912483</v>
          </cell>
          <cell r="AA201" t="e">
            <v>#REF!</v>
          </cell>
          <cell r="AB201">
            <v>36.12050808585154</v>
          </cell>
          <cell r="AC201">
            <v>51.507655139319141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</row>
        <row r="202">
          <cell r="B202">
            <v>40087</v>
          </cell>
          <cell r="G202" t="e">
            <v>#REF!</v>
          </cell>
          <cell r="T202">
            <v>56.019465344398029</v>
          </cell>
          <cell r="U202">
            <v>44.948122586809262</v>
          </cell>
          <cell r="X202">
            <v>36.266115820038486</v>
          </cell>
          <cell r="Y202" t="e">
            <v>#REF!</v>
          </cell>
          <cell r="Z202">
            <v>24.777668164767945</v>
          </cell>
          <cell r="AA202" t="e">
            <v>#REF!</v>
          </cell>
          <cell r="AB202">
            <v>36.266115820038486</v>
          </cell>
          <cell r="AC202">
            <v>51.659858993412328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</row>
        <row r="203">
          <cell r="B203">
            <v>40118</v>
          </cell>
          <cell r="G203" t="e">
            <v>#REF!</v>
          </cell>
          <cell r="T203">
            <v>57.633173891877121</v>
          </cell>
          <cell r="U203">
            <v>46.00156637199175</v>
          </cell>
          <cell r="X203">
            <v>36.947295184945496</v>
          </cell>
          <cell r="Y203" t="e">
            <v>#REF!</v>
          </cell>
          <cell r="Z203">
            <v>25.109460143236717</v>
          </cell>
          <cell r="AA203" t="e">
            <v>#REF!</v>
          </cell>
          <cell r="AB203">
            <v>36.947295184945496</v>
          </cell>
          <cell r="AC203">
            <v>52.313588993912916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</row>
        <row r="204">
          <cell r="B204">
            <v>40148</v>
          </cell>
          <cell r="G204" t="e">
            <v>#REF!</v>
          </cell>
          <cell r="T204">
            <v>59.247110869527837</v>
          </cell>
          <cell r="U204">
            <v>47.055314536263133</v>
          </cell>
          <cell r="X204">
            <v>37.628564619412288</v>
          </cell>
          <cell r="Y204" t="e">
            <v>#REF!</v>
          </cell>
          <cell r="Z204">
            <v>25.432753009149557</v>
          </cell>
          <cell r="AA204" t="e">
            <v>#REF!</v>
          </cell>
          <cell r="AB204">
            <v>37.628564619412288</v>
          </cell>
          <cell r="AC204">
            <v>52.910316873439669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</row>
        <row r="205">
          <cell r="B205">
            <v>40179</v>
          </cell>
          <cell r="G205" t="e">
            <v>#REF!</v>
          </cell>
          <cell r="T205">
            <v>59.497047898103901</v>
          </cell>
          <cell r="U205">
            <v>47.279963494991158</v>
          </cell>
          <cell r="X205">
            <v>37.73160402110117</v>
          </cell>
          <cell r="Y205" t="e">
            <v>#REF!</v>
          </cell>
          <cell r="Z205">
            <v>25.482819310691013</v>
          </cell>
          <cell r="AA205" t="e">
            <v>#REF!</v>
          </cell>
          <cell r="AB205">
            <v>37.73160402110117</v>
          </cell>
          <cell r="AC205">
            <v>53.007781635755471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</row>
        <row r="206">
          <cell r="B206">
            <v>40210</v>
          </cell>
          <cell r="G206" t="e">
            <v>#REF!</v>
          </cell>
          <cell r="T206">
            <v>58.585093498852721</v>
          </cell>
          <cell r="U206">
            <v>46.798388665899381</v>
          </cell>
          <cell r="X206">
            <v>37.342090683998151</v>
          </cell>
          <cell r="Y206" t="e">
            <v>#REF!</v>
          </cell>
          <cell r="Z206">
            <v>25.302460510742748</v>
          </cell>
          <cell r="AA206" t="e">
            <v>#REF!</v>
          </cell>
          <cell r="AB206">
            <v>37.342090683998151</v>
          </cell>
          <cell r="AC206">
            <v>52.695511016929146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</row>
        <row r="207">
          <cell r="B207">
            <v>40238</v>
          </cell>
          <cell r="G207" t="e">
            <v>#REF!</v>
          </cell>
          <cell r="T207">
            <v>57.168099165018283</v>
          </cell>
          <cell r="U207">
            <v>46.009933565339637</v>
          </cell>
          <cell r="X207">
            <v>36.73847534008079</v>
          </cell>
          <cell r="Y207" t="e">
            <v>#REF!</v>
          </cell>
          <cell r="Z207">
            <v>25.014832097725037</v>
          </cell>
          <cell r="AA207" t="e">
            <v>#REF!</v>
          </cell>
          <cell r="AB207">
            <v>36.73847534008079</v>
          </cell>
          <cell r="AC207">
            <v>52.157560320872669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</row>
        <row r="208">
          <cell r="B208">
            <v>40269</v>
          </cell>
          <cell r="G208" t="e">
            <v>#REF!</v>
          </cell>
          <cell r="T208">
            <v>55.751335400844084</v>
          </cell>
          <cell r="U208">
            <v>45.221785678987978</v>
          </cell>
          <cell r="X208">
            <v>36.134950909319279</v>
          </cell>
          <cell r="Y208" t="e">
            <v>#REF!</v>
          </cell>
          <cell r="Z208">
            <v>24.718477850848899</v>
          </cell>
          <cell r="AA208" t="e">
            <v>#REF!</v>
          </cell>
          <cell r="AB208">
            <v>36.134950909319279</v>
          </cell>
          <cell r="AC208">
            <v>51.561188929225864</v>
          </cell>
          <cell r="AD208" t="e">
            <v>#REF!</v>
          </cell>
          <cell r="AE208" t="e">
            <v>#REF!</v>
          </cell>
          <cell r="AF208" t="e">
            <v>#REF!</v>
          </cell>
          <cell r="AG208" t="e">
            <v>#REF!</v>
          </cell>
          <cell r="AH208" t="e">
            <v>#REF!</v>
          </cell>
          <cell r="AI208" t="e">
            <v>#REF!</v>
          </cell>
          <cell r="AJ208" t="e">
            <v>#REF!</v>
          </cell>
          <cell r="AK208" t="e">
            <v>#REF!</v>
          </cell>
        </row>
        <row r="209">
          <cell r="B209">
            <v>40299</v>
          </cell>
          <cell r="G209" t="e">
            <v>#REF!</v>
          </cell>
          <cell r="T209">
            <v>55.547450666325965</v>
          </cell>
          <cell r="U209">
            <v>45.171193978368088</v>
          </cell>
          <cell r="X209">
            <v>36.045580103844323</v>
          </cell>
          <cell r="Y209" t="e">
            <v>#REF!</v>
          </cell>
          <cell r="Z209">
            <v>24.674401354828714</v>
          </cell>
          <cell r="AA209" t="e">
            <v>#REF!</v>
          </cell>
          <cell r="AB209">
            <v>36.045580103844323</v>
          </cell>
          <cell r="AC209">
            <v>51.471321835699698</v>
          </cell>
          <cell r="AD209" t="e">
            <v>#REF!</v>
          </cell>
          <cell r="AE209" t="e">
            <v>#REF!</v>
          </cell>
          <cell r="AF209" t="e">
            <v>#REF!</v>
          </cell>
          <cell r="AG209" t="e">
            <v>#REF!</v>
          </cell>
          <cell r="AH209" t="e">
            <v>#REF!</v>
          </cell>
          <cell r="AI209" t="e">
            <v>#REF!</v>
          </cell>
          <cell r="AJ209" t="e">
            <v>#REF!</v>
          </cell>
          <cell r="AK209" t="e">
            <v>#REF!</v>
          </cell>
        </row>
        <row r="210">
          <cell r="B210">
            <v>40330</v>
          </cell>
          <cell r="G210" t="e">
            <v>#REF!</v>
          </cell>
          <cell r="T210">
            <v>55.950121539715148</v>
          </cell>
          <cell r="U210">
            <v>45.489535048738553</v>
          </cell>
          <cell r="X210">
            <v>36.213331886281608</v>
          </cell>
          <cell r="Y210" t="e">
            <v>#REF!</v>
          </cell>
          <cell r="Z210">
            <v>24.759196545294966</v>
          </cell>
          <cell r="AA210" t="e">
            <v>#REF!</v>
          </cell>
          <cell r="AB210">
            <v>36.213331886281608</v>
          </cell>
          <cell r="AC210">
            <v>51.652869668010084</v>
          </cell>
          <cell r="AD210" t="e">
            <v>#REF!</v>
          </cell>
          <cell r="AE210" t="e">
            <v>#REF!</v>
          </cell>
          <cell r="AF210" t="e">
            <v>#REF!</v>
          </cell>
          <cell r="AG210" t="e">
            <v>#REF!</v>
          </cell>
          <cell r="AH210" t="e">
            <v>#REF!</v>
          </cell>
          <cell r="AI210" t="e">
            <v>#REF!</v>
          </cell>
          <cell r="AJ210" t="e">
            <v>#REF!</v>
          </cell>
          <cell r="AK210" t="e">
            <v>#REF!</v>
          </cell>
        </row>
        <row r="211">
          <cell r="B211">
            <v>40360</v>
          </cell>
          <cell r="G211" t="e">
            <v>#REF!</v>
          </cell>
          <cell r="T211">
            <v>56.353024600521067</v>
          </cell>
          <cell r="U211">
            <v>45.808185477020771</v>
          </cell>
          <cell r="X211">
            <v>36.381175219752897</v>
          </cell>
          <cell r="Y211" t="e">
            <v>#REF!</v>
          </cell>
          <cell r="Z211">
            <v>24.843659088177475</v>
          </cell>
          <cell r="AA211" t="e">
            <v>#REF!</v>
          </cell>
          <cell r="AB211">
            <v>36.381175219752897</v>
          </cell>
          <cell r="AC211">
            <v>51.832083300094496</v>
          </cell>
          <cell r="AD211" t="e">
            <v>#REF!</v>
          </cell>
          <cell r="AE211" t="e">
            <v>#REF!</v>
          </cell>
          <cell r="AF211" t="e">
            <v>#REF!</v>
          </cell>
          <cell r="AG211" t="e">
            <v>#REF!</v>
          </cell>
          <cell r="AH211" t="e">
            <v>#REF!</v>
          </cell>
          <cell r="AI211" t="e">
            <v>#REF!</v>
          </cell>
          <cell r="AJ211" t="e">
            <v>#REF!</v>
          </cell>
          <cell r="AK211" t="e">
            <v>#REF!</v>
          </cell>
        </row>
        <row r="212">
          <cell r="B212">
            <v>40391</v>
          </cell>
          <cell r="G212" t="e">
            <v>#REF!</v>
          </cell>
          <cell r="T212">
            <v>56.756160390514367</v>
          </cell>
          <cell r="U212">
            <v>46.127145981110729</v>
          </cell>
          <cell r="X212">
            <v>36.5491103178773</v>
          </cell>
          <cell r="Y212" t="e">
            <v>#REF!</v>
          </cell>
          <cell r="Z212">
            <v>24.927792250401584</v>
          </cell>
          <cell r="AA212" t="e">
            <v>#REF!</v>
          </cell>
          <cell r="AB212">
            <v>36.5491103178773</v>
          </cell>
          <cell r="AC212">
            <v>52.008983022685271</v>
          </cell>
          <cell r="AD212" t="e">
            <v>#REF!</v>
          </cell>
          <cell r="AE212" t="e">
            <v>#REF!</v>
          </cell>
          <cell r="AF212" t="e">
            <v>#REF!</v>
          </cell>
          <cell r="AG212" t="e">
            <v>#REF!</v>
          </cell>
          <cell r="AH212" t="e">
            <v>#REF!</v>
          </cell>
          <cell r="AI212" t="e">
            <v>#REF!</v>
          </cell>
          <cell r="AJ212" t="e">
            <v>#REF!</v>
          </cell>
          <cell r="AK212" t="e">
            <v>#REF!</v>
          </cell>
        </row>
        <row r="213">
          <cell r="B213">
            <v>40422</v>
          </cell>
          <cell r="G213" t="e">
            <v>#REF!</v>
          </cell>
          <cell r="T213">
            <v>56.856367472229799</v>
          </cell>
          <cell r="U213">
            <v>46.262105215920826</v>
          </cell>
          <cell r="X213">
            <v>36.588621769772317</v>
          </cell>
          <cell r="Y213" t="e">
            <v>#REF!</v>
          </cell>
          <cell r="Z213">
            <v>24.948269878117308</v>
          </cell>
          <cell r="AA213" t="e">
            <v>#REF!</v>
          </cell>
          <cell r="AB213">
            <v>36.588621769772317</v>
          </cell>
          <cell r="AC213">
            <v>52.055198816881287</v>
          </cell>
          <cell r="AD213" t="e">
            <v>#REF!</v>
          </cell>
          <cell r="AE213" t="e">
            <v>#REF!</v>
          </cell>
          <cell r="AF213" t="e">
            <v>#REF!</v>
          </cell>
          <cell r="AG213" t="e">
            <v>#REF!</v>
          </cell>
          <cell r="AH213" t="e">
            <v>#REF!</v>
          </cell>
          <cell r="AI213" t="e">
            <v>#REF!</v>
          </cell>
          <cell r="AJ213" t="e">
            <v>#REF!</v>
          </cell>
          <cell r="AK213" t="e">
            <v>#REF!</v>
          </cell>
        </row>
        <row r="214">
          <cell r="B214">
            <v>40452</v>
          </cell>
          <cell r="G214" t="e">
            <v>#REF!</v>
          </cell>
          <cell r="T214">
            <v>57.20944335421926</v>
          </cell>
          <cell r="U214">
            <v>46.550969354557587</v>
          </cell>
          <cell r="X214">
            <v>36.735321769221748</v>
          </cell>
          <cell r="Y214" t="e">
            <v>#REF!</v>
          </cell>
          <cell r="Z214">
            <v>25.021580824447138</v>
          </cell>
          <cell r="AA214" t="e">
            <v>#REF!</v>
          </cell>
          <cell r="AB214">
            <v>36.735321769221748</v>
          </cell>
          <cell r="AC214">
            <v>52.208680272888785</v>
          </cell>
          <cell r="AD214" t="e">
            <v>#REF!</v>
          </cell>
          <cell r="AE214" t="e">
            <v>#REF!</v>
          </cell>
          <cell r="AF214" t="e">
            <v>#REF!</v>
          </cell>
          <cell r="AG214" t="e">
            <v>#REF!</v>
          </cell>
          <cell r="AH214" t="e">
            <v>#REF!</v>
          </cell>
          <cell r="AI214" t="e">
            <v>#REF!</v>
          </cell>
          <cell r="AJ214" t="e">
            <v>#REF!</v>
          </cell>
          <cell r="AK214" t="e">
            <v>#REF!</v>
          </cell>
        </row>
        <row r="215">
          <cell r="B215">
            <v>40483</v>
          </cell>
          <cell r="G215" t="e">
            <v>#REF!</v>
          </cell>
          <cell r="T215">
            <v>58.825928517054599</v>
          </cell>
          <cell r="U215">
            <v>47.608112668786724</v>
          </cell>
          <cell r="X215">
            <v>37.417595948010188</v>
          </cell>
          <cell r="Y215" t="e">
            <v>#REF!</v>
          </cell>
          <cell r="Z215">
            <v>25.353776682463376</v>
          </cell>
          <cell r="AA215" t="e">
            <v>#REF!</v>
          </cell>
          <cell r="AB215">
            <v>37.417595948010188</v>
          </cell>
          <cell r="AC215">
            <v>52.863690856374831</v>
          </cell>
          <cell r="AD215" t="e">
            <v>#REF!</v>
          </cell>
          <cell r="AE215" t="e">
            <v>#REF!</v>
          </cell>
          <cell r="AF215" t="e">
            <v>#REF!</v>
          </cell>
          <cell r="AG215" t="e">
            <v>#REF!</v>
          </cell>
          <cell r="AH215" t="e">
            <v>#REF!</v>
          </cell>
          <cell r="AI215" t="e">
            <v>#REF!</v>
          </cell>
          <cell r="AJ215" t="e">
            <v>#REF!</v>
          </cell>
          <cell r="AK215" t="e">
            <v>#REF!</v>
          </cell>
        </row>
        <row r="216">
          <cell r="B216">
            <v>40513</v>
          </cell>
          <cell r="G216" t="e">
            <v>#REF!</v>
          </cell>
          <cell r="T216">
            <v>60.442648588830728</v>
          </cell>
          <cell r="U216">
            <v>48.665568947151314</v>
          </cell>
          <cell r="X216">
            <v>38.099962750924128</v>
          </cell>
          <cell r="Y216" t="e">
            <v>#REF!</v>
          </cell>
          <cell r="Z216">
            <v>25.677474177517652</v>
          </cell>
          <cell r="AA216" t="e">
            <v>#REF!</v>
          </cell>
          <cell r="AB216">
            <v>38.099962750924128</v>
          </cell>
          <cell r="AC216">
            <v>53.461702306913992</v>
          </cell>
          <cell r="AD216" t="e">
            <v>#REF!</v>
          </cell>
          <cell r="AE216" t="e">
            <v>#REF!</v>
          </cell>
          <cell r="AF216" t="e">
            <v>#REF!</v>
          </cell>
          <cell r="AG216" t="e">
            <v>#REF!</v>
          </cell>
          <cell r="AH216" t="e">
            <v>#REF!</v>
          </cell>
          <cell r="AI216" t="e">
            <v>#REF!</v>
          </cell>
          <cell r="AJ216" t="e">
            <v>#REF!</v>
          </cell>
          <cell r="AK216" t="e">
            <v>#REF!</v>
          </cell>
        </row>
        <row r="217">
          <cell r="B217">
            <v>40544</v>
          </cell>
          <cell r="G217" t="e">
            <v>#REF!</v>
          </cell>
          <cell r="T217">
            <v>60.695375205418486</v>
          </cell>
          <cell r="U217">
            <v>48.893934624995843</v>
          </cell>
          <cell r="X217">
            <v>38.204102081586534</v>
          </cell>
          <cell r="Y217" t="e">
            <v>#REF!</v>
          </cell>
          <cell r="Z217">
            <v>25.72794585931862</v>
          </cell>
          <cell r="AA217" t="e">
            <v>#REF!</v>
          </cell>
          <cell r="AB217">
            <v>38.204102081586534</v>
          </cell>
          <cell r="AC217">
            <v>53.560453635241245</v>
          </cell>
          <cell r="AD217" t="e">
            <v>#REF!</v>
          </cell>
          <cell r="AE217" t="e">
            <v>#REF!</v>
          </cell>
          <cell r="AF217" t="e">
            <v>#REF!</v>
          </cell>
          <cell r="AG217" t="e">
            <v>#REF!</v>
          </cell>
          <cell r="AH217" t="e">
            <v>#REF!</v>
          </cell>
          <cell r="AI217" t="e">
            <v>#REF!</v>
          </cell>
          <cell r="AJ217" t="e">
            <v>#REF!</v>
          </cell>
          <cell r="AK217" t="e">
            <v>#REF!</v>
          </cell>
        </row>
        <row r="218">
          <cell r="B218">
            <v>40575</v>
          </cell>
          <cell r="G218" t="e">
            <v>#REF!</v>
          </cell>
          <cell r="T218">
            <v>59.786216903217721</v>
          </cell>
          <cell r="U218">
            <v>48.416085140067139</v>
          </cell>
          <cell r="X218">
            <v>37.815691239957985</v>
          </cell>
          <cell r="Y218" t="e">
            <v>#REF!</v>
          </cell>
          <cell r="Z218">
            <v>25.547993192275364</v>
          </cell>
          <cell r="AA218" t="e">
            <v>#REF!</v>
          </cell>
          <cell r="AB218">
            <v>37.815691239957985</v>
          </cell>
          <cell r="AC218">
            <v>53.249472584413702</v>
          </cell>
          <cell r="AD218" t="e">
            <v>#REF!</v>
          </cell>
          <cell r="AE218" t="e">
            <v>#REF!</v>
          </cell>
          <cell r="AF218" t="e">
            <v>#REF!</v>
          </cell>
          <cell r="AG218" t="e">
            <v>#REF!</v>
          </cell>
          <cell r="AH218" t="e">
            <v>#REF!</v>
          </cell>
          <cell r="AI218" t="e">
            <v>#REF!</v>
          </cell>
          <cell r="AJ218" t="e">
            <v>#REF!</v>
          </cell>
          <cell r="AK218" t="e">
            <v>#REF!</v>
          </cell>
        </row>
        <row r="219">
          <cell r="B219">
            <v>40603</v>
          </cell>
          <cell r="G219" t="e">
            <v>#REF!</v>
          </cell>
          <cell r="T219">
            <v>58.372025190660146</v>
          </cell>
          <cell r="U219">
            <v>47.63136402878699</v>
          </cell>
          <cell r="X219">
            <v>37.213180964004522</v>
          </cell>
          <cell r="Y219" t="e">
            <v>#REF!</v>
          </cell>
          <cell r="Z219">
            <v>25.260771666338904</v>
          </cell>
          <cell r="AA219" t="e">
            <v>#REF!</v>
          </cell>
          <cell r="AB219">
            <v>37.213180964004522</v>
          </cell>
          <cell r="AC219">
            <v>52.712814465348032</v>
          </cell>
          <cell r="AD219" t="e">
            <v>#REF!</v>
          </cell>
          <cell r="AE219" t="e">
            <v>#REF!</v>
          </cell>
          <cell r="AF219" t="e">
            <v>#REF!</v>
          </cell>
          <cell r="AG219" t="e">
            <v>#REF!</v>
          </cell>
          <cell r="AH219" t="e">
            <v>#REF!</v>
          </cell>
          <cell r="AI219" t="e">
            <v>#REF!</v>
          </cell>
          <cell r="AJ219" t="e">
            <v>#REF!</v>
          </cell>
          <cell r="AK219" t="e">
            <v>#REF!</v>
          </cell>
        </row>
        <row r="220">
          <cell r="B220">
            <v>40634</v>
          </cell>
          <cell r="G220" t="e">
            <v>#REF!</v>
          </cell>
          <cell r="T220">
            <v>56.95807058721244</v>
          </cell>
          <cell r="U220">
            <v>46.846958796948087</v>
          </cell>
          <cell r="X220">
            <v>36.61076417969884</v>
          </cell>
          <cell r="Y220" t="e">
            <v>#REF!</v>
          </cell>
          <cell r="Z220">
            <v>24.96482506225427</v>
          </cell>
          <cell r="AA220" t="e">
            <v>#REF!</v>
          </cell>
          <cell r="AB220">
            <v>36.61076417969884</v>
          </cell>
          <cell r="AC220">
            <v>52.117738666704994</v>
          </cell>
          <cell r="AD220" t="e">
            <v>#REF!</v>
          </cell>
          <cell r="AE220" t="e">
            <v>#REF!</v>
          </cell>
          <cell r="AF220" t="e">
            <v>#REF!</v>
          </cell>
          <cell r="AG220" t="e">
            <v>#REF!</v>
          </cell>
          <cell r="AH220" t="e">
            <v>#REF!</v>
          </cell>
          <cell r="AI220" t="e">
            <v>#REF!</v>
          </cell>
          <cell r="AJ220" t="e">
            <v>#REF!</v>
          </cell>
          <cell r="AK220" t="e">
            <v>#REF!</v>
          </cell>
        </row>
        <row r="221">
          <cell r="B221">
            <v>40664</v>
          </cell>
          <cell r="G221" t="e">
            <v>#REF!</v>
          </cell>
          <cell r="T221">
            <v>56.757001568129169</v>
          </cell>
          <cell r="U221">
            <v>46.800118436237675</v>
          </cell>
          <cell r="X221">
            <v>36.522503605188113</v>
          </cell>
          <cell r="Y221" t="e">
            <v>#REF!</v>
          </cell>
          <cell r="Z221">
            <v>24.921156966273209</v>
          </cell>
          <cell r="AA221" t="e">
            <v>#REF!</v>
          </cell>
          <cell r="AB221">
            <v>36.522503605188113</v>
          </cell>
          <cell r="AC221">
            <v>52.02917018923295</v>
          </cell>
          <cell r="AD221" t="e">
            <v>#REF!</v>
          </cell>
          <cell r="AE221" t="e">
            <v>#REF!</v>
          </cell>
          <cell r="AF221" t="e">
            <v>#REF!</v>
          </cell>
          <cell r="AG221" t="e">
            <v>#REF!</v>
          </cell>
          <cell r="AH221" t="e">
            <v>#REF!</v>
          </cell>
          <cell r="AI221" t="e">
            <v>#REF!</v>
          </cell>
          <cell r="AJ221" t="e">
            <v>#REF!</v>
          </cell>
          <cell r="AK221" t="e">
            <v>#REF!</v>
          </cell>
        </row>
        <row r="222">
          <cell r="B222">
            <v>40695</v>
          </cell>
          <cell r="G222" t="e">
            <v>#REF!</v>
          </cell>
          <cell r="T222">
            <v>57.162494726955906</v>
          </cell>
          <cell r="U222">
            <v>47.122219552124982</v>
          </cell>
          <cell r="X222">
            <v>36.69136820912852</v>
          </cell>
          <cell r="Y222" t="e">
            <v>#REF!</v>
          </cell>
          <cell r="Z222">
            <v>25.006361315566867</v>
          </cell>
          <cell r="AA222" t="e">
            <v>#REF!</v>
          </cell>
          <cell r="AB222">
            <v>36.69136820912852</v>
          </cell>
          <cell r="AC222">
            <v>52.212019667701583</v>
          </cell>
          <cell r="AD222" t="e">
            <v>#REF!</v>
          </cell>
          <cell r="AE222" t="e">
            <v>#REF!</v>
          </cell>
          <cell r="AF222" t="e">
            <v>#REF!</v>
          </cell>
          <cell r="AG222" t="e">
            <v>#REF!</v>
          </cell>
          <cell r="AH222" t="e">
            <v>#REF!</v>
          </cell>
          <cell r="AI222" t="e">
            <v>#REF!</v>
          </cell>
          <cell r="AJ222" t="e">
            <v>#REF!</v>
          </cell>
          <cell r="AK222" t="e">
            <v>#REF!</v>
          </cell>
        </row>
        <row r="223">
          <cell r="B223">
            <v>40725</v>
          </cell>
          <cell r="G223" t="e">
            <v>#REF!</v>
          </cell>
          <cell r="T223">
            <v>57.568226658532048</v>
          </cell>
          <cell r="U223">
            <v>47.444638751788986</v>
          </cell>
          <cell r="X223">
            <v>36.860326960686457</v>
          </cell>
          <cell r="Y223" t="e">
            <v>#REF!</v>
          </cell>
          <cell r="Z223">
            <v>25.091233777609066</v>
          </cell>
          <cell r="AA223" t="e">
            <v>#REF!</v>
          </cell>
          <cell r="AB223">
            <v>36.860326960686457</v>
          </cell>
          <cell r="AC223">
            <v>52.392537983118608</v>
          </cell>
          <cell r="AD223" t="e">
            <v>#REF!</v>
          </cell>
          <cell r="AE223" t="e">
            <v>#REF!</v>
          </cell>
          <cell r="AF223" t="e">
            <v>#REF!</v>
          </cell>
          <cell r="AG223" t="e">
            <v>#REF!</v>
          </cell>
          <cell r="AH223" t="e">
            <v>#REF!</v>
          </cell>
          <cell r="AI223" t="e">
            <v>#REF!</v>
          </cell>
          <cell r="AJ223" t="e">
            <v>#REF!</v>
          </cell>
          <cell r="AK223" t="e">
            <v>#REF!</v>
          </cell>
        </row>
        <row r="224">
          <cell r="B224">
            <v>40756</v>
          </cell>
          <cell r="G224" t="e">
            <v>#REF!</v>
          </cell>
          <cell r="T224">
            <v>57.97419791999404</v>
          </cell>
          <cell r="U224">
            <v>47.767376773430492</v>
          </cell>
          <cell r="X224">
            <v>37.029380079539706</v>
          </cell>
          <cell r="Y224" t="e">
            <v>#REF!</v>
          </cell>
          <cell r="Z224">
            <v>25.175777620872495</v>
          </cell>
          <cell r="AA224" t="e">
            <v>#REF!</v>
          </cell>
          <cell r="AB224">
            <v>37.029380079539706</v>
          </cell>
          <cell r="AC224">
            <v>52.570745433303109</v>
          </cell>
          <cell r="AD224" t="e">
            <v>#REF!</v>
          </cell>
          <cell r="AE224" t="e">
            <v>#REF!</v>
          </cell>
          <cell r="AF224" t="e">
            <v>#REF!</v>
          </cell>
          <cell r="AG224" t="e">
            <v>#REF!</v>
          </cell>
          <cell r="AH224" t="e">
            <v>#REF!</v>
          </cell>
          <cell r="AI224" t="e">
            <v>#REF!</v>
          </cell>
          <cell r="AJ224" t="e">
            <v>#REF!</v>
          </cell>
          <cell r="AK224" t="e">
            <v>#REF!</v>
          </cell>
        </row>
        <row r="225">
          <cell r="B225">
            <v>40787</v>
          </cell>
          <cell r="G225" t="e">
            <v>#REF!</v>
          </cell>
          <cell r="T225">
            <v>58.077247089278281</v>
          </cell>
          <cell r="U225">
            <v>47.90612229231413</v>
          </cell>
          <cell r="X225">
            <v>37.070012160878598</v>
          </cell>
          <cell r="Y225" t="e">
            <v>#REF!</v>
          </cell>
          <cell r="Z225">
            <v>25.196666693057853</v>
          </cell>
          <cell r="AA225" t="e">
            <v>#REF!</v>
          </cell>
          <cell r="AB225">
            <v>37.070012160878598</v>
          </cell>
          <cell r="AC225">
            <v>52.618272006457225</v>
          </cell>
          <cell r="AD225" t="e">
            <v>#REF!</v>
          </cell>
          <cell r="AE225" t="e">
            <v>#REF!</v>
          </cell>
          <cell r="AF225" t="e">
            <v>#REF!</v>
          </cell>
          <cell r="AG225" t="e">
            <v>#REF!</v>
          </cell>
          <cell r="AH225" t="e">
            <v>#REF!</v>
          </cell>
          <cell r="AI225" t="e">
            <v>#REF!</v>
          </cell>
          <cell r="AJ225" t="e">
            <v>#REF!</v>
          </cell>
          <cell r="AK225" t="e">
            <v>#REF!</v>
          </cell>
        </row>
        <row r="226">
          <cell r="B226">
            <v>40817</v>
          </cell>
          <cell r="G226" t="e">
            <v>#REF!</v>
          </cell>
          <cell r="T226">
            <v>58.433171690374166</v>
          </cell>
          <cell r="U226">
            <v>48.198781501945959</v>
          </cell>
          <cell r="X226">
            <v>37.217835404573954</v>
          </cell>
          <cell r="Y226" t="e">
            <v>#REF!</v>
          </cell>
          <cell r="Z226">
            <v>25.27038984884167</v>
          </cell>
          <cell r="AA226" t="e">
            <v>#REF!</v>
          </cell>
          <cell r="AB226">
            <v>37.217835404573954</v>
          </cell>
          <cell r="AC226">
            <v>52.773067299907069</v>
          </cell>
          <cell r="AD226" t="e">
            <v>#REF!</v>
          </cell>
          <cell r="AE226" t="e">
            <v>#REF!</v>
          </cell>
          <cell r="AF226" t="e">
            <v>#REF!</v>
          </cell>
          <cell r="AG226" t="e">
            <v>#REF!</v>
          </cell>
          <cell r="AH226" t="e">
            <v>#REF!</v>
          </cell>
          <cell r="AI226" t="e">
            <v>#REF!</v>
          </cell>
          <cell r="AJ226" t="e">
            <v>#REF!</v>
          </cell>
          <cell r="AK226" t="e">
            <v>#REF!</v>
          </cell>
        </row>
        <row r="227">
          <cell r="B227">
            <v>40848</v>
          </cell>
          <cell r="G227" t="e">
            <v>#REF!</v>
          </cell>
          <cell r="T227">
            <v>60.052512219327198</v>
          </cell>
          <cell r="U227">
            <v>49.259728694538829</v>
          </cell>
          <cell r="X227">
            <v>37.901235448511542</v>
          </cell>
          <cell r="Y227" t="e">
            <v>#REF!</v>
          </cell>
          <cell r="Z227">
            <v>25.60299868285367</v>
          </cell>
          <cell r="AA227" t="e">
            <v>#REF!</v>
          </cell>
          <cell r="AB227">
            <v>37.901235448511542</v>
          </cell>
          <cell r="AC227">
            <v>53.42939478645615</v>
          </cell>
          <cell r="AD227" t="e">
            <v>#REF!</v>
          </cell>
          <cell r="AE227" t="e">
            <v>#REF!</v>
          </cell>
          <cell r="AF227" t="e">
            <v>#REF!</v>
          </cell>
          <cell r="AG227" t="e">
            <v>#REF!</v>
          </cell>
          <cell r="AH227" t="e">
            <v>#REF!</v>
          </cell>
          <cell r="AI227" t="e">
            <v>#REF!</v>
          </cell>
          <cell r="AJ227" t="e">
            <v>#REF!</v>
          </cell>
          <cell r="AK227" t="e">
            <v>#REF!</v>
          </cell>
        </row>
        <row r="228">
          <cell r="B228">
            <v>40878</v>
          </cell>
          <cell r="G228" t="e">
            <v>#REF!</v>
          </cell>
          <cell r="T228">
            <v>61.672094319741959</v>
          </cell>
          <cell r="U228">
            <v>50.320997679130599</v>
          </cell>
          <cell r="X228">
            <v>38.584730743593319</v>
          </cell>
          <cell r="Y228" t="e">
            <v>#REF!</v>
          </cell>
          <cell r="Z228">
            <v>25.927109922006224</v>
          </cell>
          <cell r="AA228" t="e">
            <v>#REF!</v>
          </cell>
          <cell r="AB228">
            <v>38.584730743593319</v>
          </cell>
          <cell r="AC228">
            <v>54.028726212832169</v>
          </cell>
          <cell r="AD228" t="e">
            <v>#REF!</v>
          </cell>
          <cell r="AE228" t="e">
            <v>#REF!</v>
          </cell>
          <cell r="AF228" t="e">
            <v>#REF!</v>
          </cell>
          <cell r="AG228" t="e">
            <v>#REF!</v>
          </cell>
          <cell r="AH228" t="e">
            <v>#REF!</v>
          </cell>
          <cell r="AI228" t="e">
            <v>#REF!</v>
          </cell>
          <cell r="AJ228" t="e">
            <v>#REF!</v>
          </cell>
          <cell r="AK228" t="e">
            <v>#REF!</v>
          </cell>
        </row>
        <row r="229">
          <cell r="B229">
            <v>40909</v>
          </cell>
          <cell r="G229" t="e">
            <v>#REF!</v>
          </cell>
          <cell r="T229">
            <v>61.92768964303518</v>
          </cell>
          <cell r="U229">
            <v>50.553184911608227</v>
          </cell>
          <cell r="X229">
            <v>38.690001199571952</v>
          </cell>
          <cell r="Y229" t="e">
            <v>#REF!</v>
          </cell>
          <cell r="Z229">
            <v>25.977996117572154</v>
          </cell>
          <cell r="AA229" t="e">
            <v>#REF!</v>
          </cell>
          <cell r="AB229">
            <v>38.690001199571952</v>
          </cell>
          <cell r="AC229">
            <v>54.128800596939897</v>
          </cell>
          <cell r="AD229" t="e">
            <v>#REF!</v>
          </cell>
          <cell r="AE229" t="e">
            <v>#REF!</v>
          </cell>
          <cell r="AF229" t="e">
            <v>#REF!</v>
          </cell>
          <cell r="AG229" t="e">
            <v>#REF!</v>
          </cell>
          <cell r="AH229" t="e">
            <v>#REF!</v>
          </cell>
          <cell r="AI229" t="e">
            <v>#REF!</v>
          </cell>
          <cell r="AJ229" t="e">
            <v>#REF!</v>
          </cell>
          <cell r="AK229" t="e">
            <v>#REF!</v>
          </cell>
        </row>
        <row r="230">
          <cell r="B230">
            <v>40940</v>
          </cell>
          <cell r="G230" t="e">
            <v>#REF!</v>
          </cell>
          <cell r="T230">
            <v>61.021406741188855</v>
          </cell>
          <cell r="U230">
            <v>50.079165850308975</v>
          </cell>
          <cell r="X230">
            <v>38.302724122552036</v>
          </cell>
          <cell r="Y230" t="e">
            <v>#REF!</v>
          </cell>
          <cell r="Z230">
            <v>25.798458735528069</v>
          </cell>
          <cell r="AA230" t="e">
            <v>#REF!</v>
          </cell>
          <cell r="AB230">
            <v>38.302724122552036</v>
          </cell>
          <cell r="AC230">
            <v>53.819145689022996</v>
          </cell>
          <cell r="AD230" t="e">
            <v>#REF!</v>
          </cell>
          <cell r="AE230" t="e">
            <v>#REF!</v>
          </cell>
          <cell r="AF230" t="e">
            <v>#REF!</v>
          </cell>
          <cell r="AG230" t="e">
            <v>#REF!</v>
          </cell>
          <cell r="AH230" t="e">
            <v>#REF!</v>
          </cell>
          <cell r="AI230" t="e">
            <v>#REF!</v>
          </cell>
          <cell r="AJ230" t="e">
            <v>#REF!</v>
          </cell>
          <cell r="AK230" t="e">
            <v>#REF!</v>
          </cell>
        </row>
        <row r="231">
          <cell r="B231">
            <v>40969</v>
          </cell>
          <cell r="G231" t="e">
            <v>#REF!</v>
          </cell>
          <cell r="T231">
            <v>59.610097138253217</v>
          </cell>
          <cell r="U231">
            <v>49.298284052292964</v>
          </cell>
          <cell r="X231">
            <v>37.701350256657967</v>
          </cell>
          <cell r="Y231" t="e">
            <v>#REF!</v>
          </cell>
          <cell r="Z231">
            <v>25.5116532673959</v>
          </cell>
          <cell r="AA231" t="e">
            <v>#REF!</v>
          </cell>
          <cell r="AB231">
            <v>37.701350256657967</v>
          </cell>
          <cell r="AC231">
            <v>53.283816807201404</v>
          </cell>
          <cell r="AD231" t="e">
            <v>#REF!</v>
          </cell>
          <cell r="AE231" t="e">
            <v>#REF!</v>
          </cell>
          <cell r="AF231" t="e">
            <v>#REF!</v>
          </cell>
          <cell r="AG231" t="e">
            <v>#REF!</v>
          </cell>
          <cell r="AH231" t="e">
            <v>#REF!</v>
          </cell>
          <cell r="AI231" t="e">
            <v>#REF!</v>
          </cell>
          <cell r="AJ231" t="e">
            <v>#REF!</v>
          </cell>
          <cell r="AK231" t="e">
            <v>#REF!</v>
          </cell>
        </row>
        <row r="232">
          <cell r="B232">
            <v>41000</v>
          </cell>
          <cell r="G232" t="e">
            <v>#REF!</v>
          </cell>
          <cell r="T232">
            <v>58.199031369349896</v>
          </cell>
          <cell r="U232">
            <v>48.517727044039368</v>
          </cell>
          <cell r="X232">
            <v>37.100072534035135</v>
          </cell>
          <cell r="Y232" t="e">
            <v>#REF!</v>
          </cell>
          <cell r="Z232">
            <v>25.216123495495001</v>
          </cell>
          <cell r="AA232" t="e">
            <v>#REF!</v>
          </cell>
          <cell r="AB232">
            <v>37.100072534035135</v>
          </cell>
          <cell r="AC232">
            <v>52.690073347356012</v>
          </cell>
          <cell r="AD232" t="e">
            <v>#REF!</v>
          </cell>
          <cell r="AE232" t="e">
            <v>#REF!</v>
          </cell>
          <cell r="AF232" t="e">
            <v>#REF!</v>
          </cell>
          <cell r="AG232" t="e">
            <v>#REF!</v>
          </cell>
          <cell r="AH232" t="e">
            <v>#REF!</v>
          </cell>
          <cell r="AI232" t="e">
            <v>#REF!</v>
          </cell>
          <cell r="AJ232" t="e">
            <v>#REF!</v>
          </cell>
          <cell r="AK232" t="e">
            <v>#REF!</v>
          </cell>
        </row>
        <row r="233">
          <cell r="B233">
            <v>41030</v>
          </cell>
          <cell r="G233" t="e">
            <v>#REF!</v>
          </cell>
          <cell r="T233">
            <v>58.000857925424931</v>
          </cell>
          <cell r="U233">
            <v>48.474743837970088</v>
          </cell>
          <cell r="X233">
            <v>37.012953679017862</v>
          </cell>
          <cell r="Y233" t="e">
            <v>#REF!</v>
          </cell>
          <cell r="Z233">
            <v>25.172873007654854</v>
          </cell>
          <cell r="AA233" t="e">
            <v>#REF!</v>
          </cell>
          <cell r="AB233">
            <v>37.012953679017862</v>
          </cell>
          <cell r="AC233">
            <v>52.602840317472165</v>
          </cell>
          <cell r="AD233" t="e">
            <v>#REF!</v>
          </cell>
          <cell r="AE233" t="e">
            <v>#REF!</v>
          </cell>
          <cell r="AF233" t="e">
            <v>#REF!</v>
          </cell>
          <cell r="AG233" t="e">
            <v>#REF!</v>
          </cell>
          <cell r="AH233" t="e">
            <v>#REF!</v>
          </cell>
          <cell r="AI233" t="e">
            <v>#REF!</v>
          </cell>
          <cell r="AJ233" t="e">
            <v>#REF!</v>
          </cell>
          <cell r="AK233" t="e">
            <v>#REF!</v>
          </cell>
        </row>
        <row r="234">
          <cell r="B234">
            <v>41061</v>
          </cell>
          <cell r="G234" t="e">
            <v>#REF!</v>
          </cell>
          <cell r="T234">
            <v>58.409253415752019</v>
          </cell>
          <cell r="U234">
            <v>48.800711060337314</v>
          </cell>
          <cell r="X234">
            <v>37.182962666463872</v>
          </cell>
          <cell r="Y234" t="e">
            <v>#REF!</v>
          </cell>
          <cell r="Z234">
            <v>25.258495742627741</v>
          </cell>
          <cell r="AA234" t="e">
            <v>#REF!</v>
          </cell>
          <cell r="AB234">
            <v>37.182962666463872</v>
          </cell>
          <cell r="AC234">
            <v>52.787028359573362</v>
          </cell>
          <cell r="AD234" t="e">
            <v>#REF!</v>
          </cell>
          <cell r="AE234" t="e">
            <v>#REF!</v>
          </cell>
          <cell r="AF234" t="e">
            <v>#REF!</v>
          </cell>
          <cell r="AG234" t="e">
            <v>#REF!</v>
          </cell>
          <cell r="AH234" t="e">
            <v>#REF!</v>
          </cell>
          <cell r="AI234" t="e">
            <v>#REF!</v>
          </cell>
          <cell r="AJ234" t="e">
            <v>#REF!</v>
          </cell>
          <cell r="AK234" t="e">
            <v>#REF!</v>
          </cell>
        </row>
        <row r="235">
          <cell r="B235">
            <v>41091</v>
          </cell>
          <cell r="G235" t="e">
            <v>#REF!</v>
          </cell>
          <cell r="T235">
            <v>58.817894450935363</v>
          </cell>
          <cell r="U235">
            <v>49.127005339151438</v>
          </cell>
          <cell r="X235">
            <v>37.353068471755591</v>
          </cell>
          <cell r="Y235" t="e">
            <v>#REF!</v>
          </cell>
          <cell r="Z235">
            <v>25.343787369472039</v>
          </cell>
          <cell r="AA235" t="e">
            <v>#REF!</v>
          </cell>
          <cell r="AB235">
            <v>37.353068471755591</v>
          </cell>
          <cell r="AC235">
            <v>52.968888361938085</v>
          </cell>
          <cell r="AD235" t="e">
            <v>#REF!</v>
          </cell>
          <cell r="AE235" t="e">
            <v>#REF!</v>
          </cell>
          <cell r="AF235" t="e">
            <v>#REF!</v>
          </cell>
          <cell r="AG235" t="e">
            <v>#REF!</v>
          </cell>
          <cell r="AH235" t="e">
            <v>#REF!</v>
          </cell>
          <cell r="AI235" t="e">
            <v>#REF!</v>
          </cell>
          <cell r="AJ235" t="e">
            <v>#REF!</v>
          </cell>
          <cell r="AK235" t="e">
            <v>#REF!</v>
          </cell>
        </row>
        <row r="236">
          <cell r="B236">
            <v>41122</v>
          </cell>
          <cell r="G236" t="e">
            <v>#REF!</v>
          </cell>
          <cell r="T236">
            <v>59.226781603912954</v>
          </cell>
          <cell r="U236">
            <v>49.453627433493203</v>
          </cell>
          <cell r="X236">
            <v>37.523271320801321</v>
          </cell>
          <cell r="Y236" t="e">
            <v>#REF!</v>
          </cell>
          <cell r="Z236">
            <v>25.428751158248442</v>
          </cell>
          <cell r="AA236" t="e">
            <v>#REF!</v>
          </cell>
          <cell r="AB236">
            <v>37.523271320801321</v>
          </cell>
          <cell r="AC236">
            <v>53.148440629673168</v>
          </cell>
          <cell r="AD236" t="e">
            <v>#REF!</v>
          </cell>
          <cell r="AE236" t="e">
            <v>#REF!</v>
          </cell>
          <cell r="AF236" t="e">
            <v>#REF!</v>
          </cell>
          <cell r="AG236" t="e">
            <v>#REF!</v>
          </cell>
          <cell r="AH236" t="e">
            <v>#REF!</v>
          </cell>
          <cell r="AI236" t="e">
            <v>#REF!</v>
          </cell>
          <cell r="AJ236" t="e">
            <v>#REF!</v>
          </cell>
          <cell r="AK236" t="e">
            <v>#REF!</v>
          </cell>
        </row>
        <row r="237">
          <cell r="B237">
            <v>41153</v>
          </cell>
          <cell r="G237" t="e">
            <v>#REF!</v>
          </cell>
          <cell r="T237">
            <v>59.332753468459671</v>
          </cell>
          <cell r="U237">
            <v>49.596266039555836</v>
          </cell>
          <cell r="X237">
            <v>37.565055815036509</v>
          </cell>
          <cell r="Y237" t="e">
            <v>#REF!</v>
          </cell>
          <cell r="Z237">
            <v>25.450060958249068</v>
          </cell>
          <cell r="AA237" t="e">
            <v>#REF!</v>
          </cell>
          <cell r="AB237">
            <v>37.565055815036509</v>
          </cell>
          <cell r="AC237">
            <v>53.197315158285477</v>
          </cell>
          <cell r="AD237" t="e">
            <v>#REF!</v>
          </cell>
          <cell r="AE237" t="e">
            <v>#REF!</v>
          </cell>
          <cell r="AF237" t="e">
            <v>#REF!</v>
          </cell>
          <cell r="AG237" t="e">
            <v>#REF!</v>
          </cell>
          <cell r="AH237" t="e">
            <v>#REF!</v>
          </cell>
          <cell r="AI237" t="e">
            <v>#REF!</v>
          </cell>
          <cell r="AJ237" t="e">
            <v>#REF!</v>
          </cell>
          <cell r="AK237" t="e">
            <v>#REF!</v>
          </cell>
        </row>
        <row r="238">
          <cell r="B238">
            <v>41183</v>
          </cell>
          <cell r="G238" t="e">
            <v>#REF!</v>
          </cell>
          <cell r="T238">
            <v>59.691607584440327</v>
          </cell>
          <cell r="U238">
            <v>49.892827371822776</v>
          </cell>
          <cell r="X238">
            <v>37.714034160591559</v>
          </cell>
          <cell r="Y238" t="e">
            <v>#REF!</v>
          </cell>
          <cell r="Z238">
            <v>25.524205625745317</v>
          </cell>
          <cell r="AA238" t="e">
            <v>#REF!</v>
          </cell>
          <cell r="AB238">
            <v>37.714034160591559</v>
          </cell>
          <cell r="AC238">
            <v>53.353461552422928</v>
          </cell>
          <cell r="AD238" t="e">
            <v>#REF!</v>
          </cell>
          <cell r="AE238" t="e">
            <v>#REF!</v>
          </cell>
          <cell r="AF238" t="e">
            <v>#REF!</v>
          </cell>
          <cell r="AG238" t="e">
            <v>#REF!</v>
          </cell>
          <cell r="AH238" t="e">
            <v>#REF!</v>
          </cell>
          <cell r="AI238" t="e">
            <v>#REF!</v>
          </cell>
          <cell r="AJ238" t="e">
            <v>#REF!</v>
          </cell>
          <cell r="AK238" t="e">
            <v>#REF!</v>
          </cell>
        </row>
        <row r="239">
          <cell r="B239">
            <v>41214</v>
          </cell>
          <cell r="G239" t="e">
            <v>#REF!</v>
          </cell>
          <cell r="T239">
            <v>61.313884463812848</v>
          </cell>
          <cell r="U239">
            <v>50.957685743533112</v>
          </cell>
          <cell r="X239">
            <v>38.398592001626518</v>
          </cell>
          <cell r="Y239" t="e">
            <v>#REF!</v>
          </cell>
          <cell r="Z239">
            <v>25.857236756965246</v>
          </cell>
          <cell r="AA239" t="e">
            <v>#REF!</v>
          </cell>
          <cell r="AB239">
            <v>38.398592001626518</v>
          </cell>
          <cell r="AC239">
            <v>54.011143292227878</v>
          </cell>
          <cell r="AD239" t="e">
            <v>#REF!</v>
          </cell>
          <cell r="AE239" t="e">
            <v>#REF!</v>
          </cell>
          <cell r="AF239" t="e">
            <v>#REF!</v>
          </cell>
          <cell r="AG239" t="e">
            <v>#REF!</v>
          </cell>
          <cell r="AH239" t="e">
            <v>#REF!</v>
          </cell>
          <cell r="AI239" t="e">
            <v>#REF!</v>
          </cell>
          <cell r="AJ239" t="e">
            <v>#REF!</v>
          </cell>
          <cell r="AK239" t="e">
            <v>#REF!</v>
          </cell>
        </row>
        <row r="240">
          <cell r="B240">
            <v>41244</v>
          </cell>
          <cell r="G240" t="e">
            <v>#REF!</v>
          </cell>
          <cell r="T240">
            <v>62.936409766131405</v>
          </cell>
          <cell r="U240">
            <v>52.022874984799927</v>
          </cell>
          <cell r="X240">
            <v>39.083247795332234</v>
          </cell>
          <cell r="Y240" t="e">
            <v>#REF!</v>
          </cell>
          <cell r="Z240">
            <v>26.181771080423005</v>
          </cell>
          <cell r="AA240" t="e">
            <v>#REF!</v>
          </cell>
          <cell r="AB240">
            <v>39.083247795332234</v>
          </cell>
          <cell r="AC240">
            <v>54.611832131784027</v>
          </cell>
          <cell r="AD240" t="e">
            <v>#REF!</v>
          </cell>
          <cell r="AE240" t="e">
            <v>#REF!</v>
          </cell>
          <cell r="AF240" t="e">
            <v>#REF!</v>
          </cell>
          <cell r="AG240" t="e">
            <v>#REF!</v>
          </cell>
          <cell r="AH240" t="e">
            <v>#REF!</v>
          </cell>
          <cell r="AI240" t="e">
            <v>#REF!</v>
          </cell>
          <cell r="AJ240" t="e">
            <v>#REF!</v>
          </cell>
          <cell r="AK240" t="e">
            <v>#REF!</v>
          </cell>
        </row>
        <row r="241">
          <cell r="B241">
            <v>41275</v>
          </cell>
          <cell r="G241" t="e">
            <v>#REF!</v>
          </cell>
          <cell r="T241">
            <v>63.194955158799551</v>
          </cell>
          <cell r="U241">
            <v>52.258991572634585</v>
          </cell>
          <cell r="X241">
            <v>39.189681457764927</v>
          </cell>
          <cell r="Y241" t="e">
            <v>#REF!</v>
          </cell>
          <cell r="Z241">
            <v>26.233081148996671</v>
          </cell>
          <cell r="AA241" t="e">
            <v>#REF!</v>
          </cell>
          <cell r="AB241">
            <v>39.189681457764927</v>
          </cell>
          <cell r="AC241">
            <v>54.713267096369307</v>
          </cell>
          <cell r="AD241" t="e">
            <v>#REF!</v>
          </cell>
          <cell r="AE241" t="e">
            <v>#REF!</v>
          </cell>
          <cell r="AF241" t="e">
            <v>#REF!</v>
          </cell>
          <cell r="AG241" t="e">
            <v>#REF!</v>
          </cell>
          <cell r="AH241" t="e">
            <v>#REF!</v>
          </cell>
          <cell r="AI241" t="e">
            <v>#REF!</v>
          </cell>
          <cell r="AJ241" t="e">
            <v>#REF!</v>
          </cell>
          <cell r="AK241" t="e">
            <v>#REF!</v>
          </cell>
        </row>
        <row r="242">
          <cell r="B242">
            <v>41306</v>
          </cell>
          <cell r="G242" t="e">
            <v>#REF!</v>
          </cell>
          <cell r="T242">
            <v>62.291629209823327</v>
          </cell>
          <cell r="U242">
            <v>51.788910986547862</v>
          </cell>
          <cell r="X242">
            <v>38.803570301347456</v>
          </cell>
          <cell r="Y242" t="e">
            <v>#REF!</v>
          </cell>
          <cell r="Z242">
            <v>26.053968430271588</v>
          </cell>
          <cell r="AA242" t="e">
            <v>#REF!</v>
          </cell>
          <cell r="AB242">
            <v>38.803570301347456</v>
          </cell>
          <cell r="AC242">
            <v>54.40497594361775</v>
          </cell>
          <cell r="AD242" t="e">
            <v>#REF!</v>
          </cell>
          <cell r="AE242" t="e">
            <v>#REF!</v>
          </cell>
          <cell r="AF242" t="e">
            <v>#REF!</v>
          </cell>
          <cell r="AG242" t="e">
            <v>#REF!</v>
          </cell>
          <cell r="AH242" t="e">
            <v>#REF!</v>
          </cell>
          <cell r="AI242" t="e">
            <v>#REF!</v>
          </cell>
          <cell r="AJ242" t="e">
            <v>#REF!</v>
          </cell>
          <cell r="AK242" t="e">
            <v>#REF!</v>
          </cell>
        </row>
        <row r="243">
          <cell r="B243">
            <v>41334</v>
          </cell>
          <cell r="G243" t="e">
            <v>#REF!</v>
          </cell>
          <cell r="T243">
            <v>60.883283459314491</v>
          </cell>
          <cell r="U243">
            <v>51.011976804822844</v>
          </cell>
          <cell r="X243">
            <v>38.203365076537246</v>
          </cell>
          <cell r="Y243" t="e">
            <v>#REF!</v>
          </cell>
          <cell r="Z243">
            <v>25.767588417381901</v>
          </cell>
          <cell r="AA243" t="e">
            <v>#REF!</v>
          </cell>
          <cell r="AB243">
            <v>38.203365076537246</v>
          </cell>
          <cell r="AC243">
            <v>53.871013999056878</v>
          </cell>
          <cell r="AD243" t="e">
            <v>#REF!</v>
          </cell>
          <cell r="AE243" t="e">
            <v>#REF!</v>
          </cell>
          <cell r="AF243" t="e">
            <v>#REF!</v>
          </cell>
          <cell r="AG243" t="e">
            <v>#REF!</v>
          </cell>
          <cell r="AH243" t="e">
            <v>#REF!</v>
          </cell>
          <cell r="AI243" t="e">
            <v>#REF!</v>
          </cell>
          <cell r="AJ243" t="e">
            <v>#REF!</v>
          </cell>
          <cell r="AK243" t="e">
            <v>#REF!</v>
          </cell>
        </row>
        <row r="244">
          <cell r="B244">
            <v>41365</v>
          </cell>
          <cell r="G244" t="e">
            <v>#REF!</v>
          </cell>
          <cell r="T244">
            <v>59.475188458493662</v>
          </cell>
          <cell r="U244">
            <v>50.235376575211049</v>
          </cell>
          <cell r="X244">
            <v>37.603258721827466</v>
          </cell>
          <cell r="Y244" t="e">
            <v>#REF!</v>
          </cell>
          <cell r="Z244">
            <v>25.472484894262667</v>
          </cell>
          <cell r="AA244" t="e">
            <v>#REF!</v>
          </cell>
          <cell r="AB244">
            <v>37.603258721827466</v>
          </cell>
          <cell r="AC244">
            <v>53.278640665992491</v>
          </cell>
          <cell r="AD244" t="e">
            <v>#REF!</v>
          </cell>
          <cell r="AE244" t="e">
            <v>#REF!</v>
          </cell>
          <cell r="AF244" t="e">
            <v>#REF!</v>
          </cell>
          <cell r="AG244" t="e">
            <v>#REF!</v>
          </cell>
          <cell r="AH244" t="e">
            <v>#REF!</v>
          </cell>
          <cell r="AI244" t="e">
            <v>#REF!</v>
          </cell>
          <cell r="AJ244" t="e">
            <v>#REF!</v>
          </cell>
          <cell r="AK244" t="e">
            <v>#REF!</v>
          </cell>
        </row>
        <row r="245">
          <cell r="B245">
            <v>41395</v>
          </cell>
          <cell r="G245" t="e">
            <v>#REF!</v>
          </cell>
          <cell r="T245">
            <v>59.279992714443381</v>
          </cell>
          <cell r="U245">
            <v>50.196359331456343</v>
          </cell>
          <cell r="X245">
            <v>37.517313967915037</v>
          </cell>
          <cell r="Y245" t="e">
            <v>#REF!</v>
          </cell>
          <cell r="Z245">
            <v>25.429661450362559</v>
          </cell>
          <cell r="AA245" t="e">
            <v>#REF!</v>
          </cell>
          <cell r="AB245">
            <v>37.517313967915037</v>
          </cell>
          <cell r="AC245">
            <v>53.192780959852129</v>
          </cell>
          <cell r="AD245" t="e">
            <v>#REF!</v>
          </cell>
          <cell r="AE245" t="e">
            <v>#REF!</v>
          </cell>
          <cell r="AF245" t="e">
            <v>#REF!</v>
          </cell>
          <cell r="AG245" t="e">
            <v>#REF!</v>
          </cell>
          <cell r="AH245" t="e">
            <v>#REF!</v>
          </cell>
          <cell r="AI245" t="e">
            <v>#REF!</v>
          </cell>
          <cell r="AJ245" t="e">
            <v>#REF!</v>
          </cell>
          <cell r="AK245" t="e">
            <v>#REF!</v>
          </cell>
        </row>
        <row r="246">
          <cell r="B246">
            <v>41426</v>
          </cell>
          <cell r="G246" t="e">
            <v>#REF!</v>
          </cell>
          <cell r="T246">
            <v>59.691372852611501</v>
          </cell>
          <cell r="U246">
            <v>50.526301721182477</v>
          </cell>
          <cell r="X246">
            <v>37.688499796035146</v>
          </cell>
          <cell r="Y246" t="e">
            <v>#REF!</v>
          </cell>
          <cell r="Z246">
            <v>25.515712026056576</v>
          </cell>
          <cell r="AA246" t="e">
            <v>#REF!</v>
          </cell>
          <cell r="AB246">
            <v>37.688499796035146</v>
          </cell>
          <cell r="AC246">
            <v>53.378345530118871</v>
          </cell>
          <cell r="AD246" t="e">
            <v>#REF!</v>
          </cell>
          <cell r="AE246" t="e">
            <v>#REF!</v>
          </cell>
          <cell r="AF246" t="e">
            <v>#REF!</v>
          </cell>
          <cell r="AG246" t="e">
            <v>#REF!</v>
          </cell>
          <cell r="AH246" t="e">
            <v>#REF!</v>
          </cell>
          <cell r="AI246" t="e">
            <v>#REF!</v>
          </cell>
          <cell r="AJ246" t="e">
            <v>#REF!</v>
          </cell>
          <cell r="AK246" t="e">
            <v>#REF!</v>
          </cell>
        </row>
        <row r="247">
          <cell r="B247">
            <v>41456</v>
          </cell>
          <cell r="G247" t="e">
            <v>#REF!</v>
          </cell>
          <cell r="T247">
            <v>60.103005499814181</v>
          </cell>
          <cell r="U247">
            <v>50.856580393821318</v>
          </cell>
          <cell r="X247">
            <v>37.85978518796253</v>
          </cell>
          <cell r="Y247" t="e">
            <v>#REF!</v>
          </cell>
          <cell r="Z247">
            <v>25.60143229202933</v>
          </cell>
          <cell r="AA247" t="e">
            <v>#REF!</v>
          </cell>
          <cell r="AB247">
            <v>37.85978518796253</v>
          </cell>
          <cell r="AC247">
            <v>53.561585272548193</v>
          </cell>
          <cell r="AD247" t="e">
            <v>#REF!</v>
          </cell>
          <cell r="AE247" t="e">
            <v>#REF!</v>
          </cell>
          <cell r="AF247" t="e">
            <v>#REF!</v>
          </cell>
          <cell r="AG247" t="e">
            <v>#REF!</v>
          </cell>
          <cell r="AH247" t="e">
            <v>#REF!</v>
          </cell>
          <cell r="AI247" t="e">
            <v>#REF!</v>
          </cell>
          <cell r="AJ247" t="e">
            <v>#REF!</v>
          </cell>
          <cell r="AK247" t="e">
            <v>#REF!</v>
          </cell>
        </row>
        <row r="248">
          <cell r="B248">
            <v>41487</v>
          </cell>
          <cell r="G248" t="e">
            <v>#REF!</v>
          </cell>
          <cell r="T248">
            <v>60.514891245239163</v>
          </cell>
          <cell r="U248">
            <v>51.18719612992497</v>
          </cell>
          <cell r="X248">
            <v>38.031170376012753</v>
          </cell>
          <cell r="Y248" t="e">
            <v>#REF!</v>
          </cell>
          <cell r="Z248">
            <v>25.686825519971251</v>
          </cell>
          <cell r="AA248" t="e">
            <v>#REF!</v>
          </cell>
          <cell r="AB248">
            <v>38.031170376012753</v>
          </cell>
          <cell r="AC248">
            <v>53.74252049974136</v>
          </cell>
          <cell r="AD248" t="e">
            <v>#REF!</v>
          </cell>
          <cell r="AE248" t="e">
            <v>#REF!</v>
          </cell>
          <cell r="AF248" t="e">
            <v>#REF!</v>
          </cell>
          <cell r="AG248" t="e">
            <v>#REF!</v>
          </cell>
          <cell r="AH248" t="e">
            <v>#REF!</v>
          </cell>
          <cell r="AI248" t="e">
            <v>#REF!</v>
          </cell>
          <cell r="AJ248" t="e">
            <v>#REF!</v>
          </cell>
          <cell r="AK248" t="e">
            <v>#REF!</v>
          </cell>
        </row>
        <row r="249">
          <cell r="B249">
            <v>41518</v>
          </cell>
          <cell r="G249" t="e">
            <v>#REF!</v>
          </cell>
          <cell r="T249">
            <v>60.623868698948975</v>
          </cell>
          <cell r="U249">
            <v>51.333837647208</v>
          </cell>
          <cell r="X249">
            <v>38.074139968043426</v>
          </cell>
          <cell r="Y249" t="e">
            <v>#REF!</v>
          </cell>
          <cell r="Z249">
            <v>25.708565560807742</v>
          </cell>
          <cell r="AA249" t="e">
            <v>#REF!</v>
          </cell>
          <cell r="AB249">
            <v>38.074139968043426</v>
          </cell>
          <cell r="AC249">
            <v>53.792781214717174</v>
          </cell>
          <cell r="AD249" t="e">
            <v>#REF!</v>
          </cell>
          <cell r="AE249" t="e">
            <v>#REF!</v>
          </cell>
          <cell r="AF249" t="e">
            <v>#REF!</v>
          </cell>
          <cell r="AG249" t="e">
            <v>#REF!</v>
          </cell>
          <cell r="AH249" t="e">
            <v>#REF!</v>
          </cell>
          <cell r="AI249" t="e">
            <v>#REF!</v>
          </cell>
          <cell r="AJ249" t="e">
            <v>#REF!</v>
          </cell>
          <cell r="AK249" t="e">
            <v>#REF!</v>
          </cell>
        </row>
        <row r="250">
          <cell r="B250">
            <v>41548</v>
          </cell>
          <cell r="G250" t="e">
            <v>#REF!</v>
          </cell>
          <cell r="T250">
            <v>60.985735417134116</v>
          </cell>
          <cell r="U250">
            <v>51.634411181725376</v>
          </cell>
          <cell r="X250">
            <v>38.224306176622157</v>
          </cell>
          <cell r="Y250" t="e">
            <v>#REF!</v>
          </cell>
          <cell r="Z250">
            <v>25.783141272447025</v>
          </cell>
          <cell r="AA250" t="e">
            <v>#REF!</v>
          </cell>
          <cell r="AB250">
            <v>38.224306176622157</v>
          </cell>
          <cell r="AC250">
            <v>53.950317029652965</v>
          </cell>
          <cell r="AD250" t="e">
            <v>#REF!</v>
          </cell>
          <cell r="AE250" t="e">
            <v>#REF!</v>
          </cell>
          <cell r="AF250" t="e">
            <v>#REF!</v>
          </cell>
          <cell r="AG250" t="e">
            <v>#REF!</v>
          </cell>
          <cell r="AH250" t="e">
            <v>#REF!</v>
          </cell>
          <cell r="AI250" t="e">
            <v>#REF!</v>
          </cell>
          <cell r="AJ250" t="e">
            <v>#REF!</v>
          </cell>
          <cell r="AK250" t="e">
            <v>#REF!</v>
          </cell>
        </row>
        <row r="251">
          <cell r="B251">
            <v>41579</v>
          </cell>
          <cell r="G251" t="e">
            <v>#REF!</v>
          </cell>
          <cell r="T251">
            <v>62.611031928116262</v>
          </cell>
          <cell r="U251">
            <v>52.70329106833799</v>
          </cell>
          <cell r="X251">
            <v>38.910054652361204</v>
          </cell>
          <cell r="Y251" t="e">
            <v>#REF!</v>
          </cell>
          <cell r="Z251">
            <v>26.116604252757508</v>
          </cell>
          <cell r="AA251" t="e">
            <v>#REF!</v>
          </cell>
          <cell r="AB251">
            <v>38.910054652361204</v>
          </cell>
          <cell r="AC251">
            <v>54.60939143223812</v>
          </cell>
          <cell r="AD251" t="e">
            <v>#REF!</v>
          </cell>
          <cell r="AE251" t="e">
            <v>#REF!</v>
          </cell>
          <cell r="AF251" t="e">
            <v>#REF!</v>
          </cell>
          <cell r="AG251" t="e">
            <v>#REF!</v>
          </cell>
          <cell r="AH251" t="e">
            <v>#REF!</v>
          </cell>
          <cell r="AI251" t="e">
            <v>#REF!</v>
          </cell>
          <cell r="AJ251" t="e">
            <v>#REF!</v>
          </cell>
          <cell r="AK251" t="e">
            <v>#REF!</v>
          </cell>
        </row>
        <row r="252">
          <cell r="B252">
            <v>41609</v>
          </cell>
          <cell r="G252" t="e">
            <v>#REF!</v>
          </cell>
          <cell r="T252">
            <v>64.236583907851539</v>
          </cell>
          <cell r="U252">
            <v>53.772511158831072</v>
          </cell>
          <cell r="X252">
            <v>39.595903858918625</v>
          </cell>
          <cell r="Y252" t="e">
            <v>#REF!</v>
          </cell>
          <cell r="Z252">
            <v>26.441571231897271</v>
          </cell>
          <cell r="AA252" t="e">
            <v>#REF!</v>
          </cell>
          <cell r="AB252">
            <v>39.595903858918625</v>
          </cell>
          <cell r="AC252">
            <v>55.211476184120968</v>
          </cell>
          <cell r="AD252" t="e">
            <v>#REF!</v>
          </cell>
          <cell r="AE252" t="e">
            <v>#REF!</v>
          </cell>
          <cell r="AF252" t="e">
            <v>#REF!</v>
          </cell>
          <cell r="AG252" t="e">
            <v>#REF!</v>
          </cell>
          <cell r="AH252" t="e">
            <v>#REF!</v>
          </cell>
          <cell r="AI252" t="e">
            <v>#REF!</v>
          </cell>
          <cell r="AJ252" t="e">
            <v>#REF!</v>
          </cell>
          <cell r="AK252" t="e">
            <v>#REF!</v>
          </cell>
        </row>
        <row r="253">
          <cell r="B253">
            <v>41640</v>
          </cell>
          <cell r="G253" t="e">
            <v>#REF!</v>
          </cell>
          <cell r="T253">
            <v>64.49816304018367</v>
          </cell>
          <cell r="U253">
            <v>54.012667951938688</v>
          </cell>
          <cell r="X253">
            <v>39.703533718833015</v>
          </cell>
          <cell r="Y253" t="e">
            <v>#REF!</v>
          </cell>
          <cell r="Z253">
            <v>26.493314764391865</v>
          </cell>
          <cell r="AA253" t="e">
            <v>#REF!</v>
          </cell>
          <cell r="AB253">
            <v>39.703533718833015</v>
          </cell>
          <cell r="AC253">
            <v>55.314310318161702</v>
          </cell>
          <cell r="AD253" t="e">
            <v>#REF!</v>
          </cell>
          <cell r="AE253" t="e">
            <v>#REF!</v>
          </cell>
          <cell r="AF253" t="e">
            <v>#REF!</v>
          </cell>
          <cell r="AG253" t="e">
            <v>#REF!</v>
          </cell>
          <cell r="AH253" t="e">
            <v>#REF!</v>
          </cell>
          <cell r="AI253" t="e">
            <v>#REF!</v>
          </cell>
          <cell r="AJ253" t="e">
            <v>#REF!</v>
          </cell>
          <cell r="AK253" t="e">
            <v>#REF!</v>
          </cell>
        </row>
        <row r="254">
          <cell r="B254">
            <v>41671</v>
          </cell>
          <cell r="G254" t="e">
            <v>#REF!</v>
          </cell>
          <cell r="T254">
            <v>63.597877909597344</v>
          </cell>
          <cell r="U254">
            <v>53.546636948944915</v>
          </cell>
          <cell r="X254">
            <v>39.318621551024705</v>
          </cell>
          <cell r="Y254" t="e">
            <v>#REF!</v>
          </cell>
          <cell r="Z254">
            <v>26.314636319477689</v>
          </cell>
          <cell r="AA254" t="e">
            <v>#REF!</v>
          </cell>
          <cell r="AB254">
            <v>39.318621551024705</v>
          </cell>
          <cell r="AC254">
            <v>55.007421599594309</v>
          </cell>
          <cell r="AD254" t="e">
            <v>#REF!</v>
          </cell>
          <cell r="AE254" t="e">
            <v>#REF!</v>
          </cell>
          <cell r="AF254" t="e">
            <v>#REF!</v>
          </cell>
          <cell r="AG254" t="e">
            <v>#REF!</v>
          </cell>
          <cell r="AH254" t="e">
            <v>#REF!</v>
          </cell>
          <cell r="AI254" t="e">
            <v>#REF!</v>
          </cell>
          <cell r="AJ254" t="e">
            <v>#REF!</v>
          </cell>
          <cell r="AK254" t="e">
            <v>#REF!</v>
          </cell>
        </row>
        <row r="255">
          <cell r="B255">
            <v>41699</v>
          </cell>
          <cell r="G255" t="e">
            <v>#REF!</v>
          </cell>
          <cell r="T255">
            <v>62.19258007272132</v>
          </cell>
          <cell r="U255">
            <v>52.773761749956847</v>
          </cell>
          <cell r="X255">
            <v>38.719618112463735</v>
          </cell>
          <cell r="Y255" t="e">
            <v>#REF!</v>
          </cell>
          <cell r="Z255">
            <v>26.028691391943511</v>
          </cell>
          <cell r="AA255" t="e">
            <v>#REF!</v>
          </cell>
          <cell r="AB255">
            <v>38.719618112463735</v>
          </cell>
          <cell r="AC255">
            <v>54.474865361564056</v>
          </cell>
          <cell r="AD255" t="e">
            <v>#REF!</v>
          </cell>
          <cell r="AE255" t="e">
            <v>#REF!</v>
          </cell>
          <cell r="AF255" t="e">
            <v>#REF!</v>
          </cell>
          <cell r="AG255" t="e">
            <v>#REF!</v>
          </cell>
          <cell r="AH255" t="e">
            <v>#REF!</v>
          </cell>
          <cell r="AI255" t="e">
            <v>#REF!</v>
          </cell>
          <cell r="AJ255" t="e">
            <v>#REF!</v>
          </cell>
          <cell r="AK255" t="e">
            <v>#REF!</v>
          </cell>
        </row>
        <row r="256">
          <cell r="B256">
            <v>41730</v>
          </cell>
          <cell r="G256" t="e">
            <v>#REF!</v>
          </cell>
          <cell r="T256">
            <v>60.78754009733175</v>
          </cell>
          <cell r="U256">
            <v>52.001229924600921</v>
          </cell>
          <cell r="X256">
            <v>38.120716348171122</v>
          </cell>
          <cell r="Y256" t="e">
            <v>#REF!</v>
          </cell>
          <cell r="Z256">
            <v>25.73402376738261</v>
          </cell>
          <cell r="AA256" t="e">
            <v>#REF!</v>
          </cell>
          <cell r="AB256">
            <v>38.120716348171122</v>
          </cell>
          <cell r="AC256">
            <v>53.883901015012178</v>
          </cell>
          <cell r="AD256" t="e">
            <v>#REF!</v>
          </cell>
          <cell r="AE256" t="e">
            <v>#REF!</v>
          </cell>
          <cell r="AF256" t="e">
            <v>#REF!</v>
          </cell>
          <cell r="AG256" t="e">
            <v>#REF!</v>
          </cell>
          <cell r="AH256" t="e">
            <v>#REF!</v>
          </cell>
          <cell r="AI256" t="e">
            <v>#REF!</v>
          </cell>
          <cell r="AJ256" t="e">
            <v>#REF!</v>
          </cell>
          <cell r="AK256" t="e">
            <v>#REF!</v>
          </cell>
        </row>
        <row r="257">
          <cell r="B257">
            <v>41760</v>
          </cell>
          <cell r="G257" t="e">
            <v>#REF!</v>
          </cell>
          <cell r="T257">
            <v>60.59540650710543</v>
          </cell>
          <cell r="U257">
            <v>51.9662905285468</v>
          </cell>
          <cell r="X257">
            <v>38.035978995386827</v>
          </cell>
          <cell r="Y257" t="e">
            <v>#REF!</v>
          </cell>
          <cell r="Z257">
            <v>25.691637036905476</v>
          </cell>
          <cell r="AA257" t="e">
            <v>#REF!</v>
          </cell>
          <cell r="AB257">
            <v>38.035978995386827</v>
          </cell>
          <cell r="AC257">
            <v>53.799453583019528</v>
          </cell>
          <cell r="AD257" t="e">
            <v>#REF!</v>
          </cell>
          <cell r="AE257" t="e">
            <v>#REF!</v>
          </cell>
          <cell r="AF257" t="e">
            <v>#REF!</v>
          </cell>
          <cell r="AG257" t="e">
            <v>#REF!</v>
          </cell>
          <cell r="AH257" t="e">
            <v>#REF!</v>
          </cell>
          <cell r="AI257" t="e">
            <v>#REF!</v>
          </cell>
          <cell r="AJ257" t="e">
            <v>#REF!</v>
          </cell>
          <cell r="AK257" t="e">
            <v>#REF!</v>
          </cell>
        </row>
        <row r="258">
          <cell r="B258">
            <v>41791</v>
          </cell>
          <cell r="G258" t="e">
            <v>#REF!</v>
          </cell>
          <cell r="T258">
            <v>61.009855944123103</v>
          </cell>
          <cell r="U258">
            <v>52.300320231395311</v>
          </cell>
          <cell r="X258">
            <v>38.208375041904361</v>
          </cell>
          <cell r="Y258" t="e">
            <v>#REF!</v>
          </cell>
          <cell r="Z258">
            <v>25.778125142552511</v>
          </cell>
          <cell r="AA258" t="e">
            <v>#REF!</v>
          </cell>
          <cell r="AB258">
            <v>38.208375041904361</v>
          </cell>
          <cell r="AC258">
            <v>53.986433722740323</v>
          </cell>
          <cell r="AD258" t="e">
            <v>#REF!</v>
          </cell>
          <cell r="AE258" t="e">
            <v>#REF!</v>
          </cell>
          <cell r="AF258" t="e">
            <v>#REF!</v>
          </cell>
          <cell r="AG258" t="e">
            <v>#REF!</v>
          </cell>
          <cell r="AH258" t="e">
            <v>#REF!</v>
          </cell>
          <cell r="AI258" t="e">
            <v>#REF!</v>
          </cell>
          <cell r="AJ258" t="e">
            <v>#REF!</v>
          </cell>
          <cell r="AK258" t="e">
            <v>#REF!</v>
          </cell>
        </row>
        <row r="259">
          <cell r="B259">
            <v>41821</v>
          </cell>
          <cell r="G259" t="e">
            <v>#REF!</v>
          </cell>
          <cell r="T259">
            <v>61.424565051872641</v>
          </cell>
          <cell r="U259">
            <v>52.634695704606401</v>
          </cell>
          <cell r="X259">
            <v>38.380873476072118</v>
          </cell>
          <cell r="Y259" t="e">
            <v>#REF!</v>
          </cell>
          <cell r="Z259">
            <v>25.864283756677356</v>
          </cell>
          <cell r="AA259" t="e">
            <v>#REF!</v>
          </cell>
          <cell r="AB259">
            <v>38.380873476072118</v>
          </cell>
          <cell r="AC259">
            <v>54.1710923376191</v>
          </cell>
          <cell r="AD259" t="e">
            <v>#REF!</v>
          </cell>
          <cell r="AE259" t="e">
            <v>#REF!</v>
          </cell>
          <cell r="AF259" t="e">
            <v>#REF!</v>
          </cell>
          <cell r="AG259" t="e">
            <v>#REF!</v>
          </cell>
          <cell r="AH259" t="e">
            <v>#REF!</v>
          </cell>
          <cell r="AI259" t="e">
            <v>#REF!</v>
          </cell>
          <cell r="AJ259" t="e">
            <v>#REF!</v>
          </cell>
          <cell r="AK259" t="e">
            <v>#REF!</v>
          </cell>
        </row>
        <row r="260">
          <cell r="B260">
            <v>41852</v>
          </cell>
          <cell r="G260" t="e">
            <v>#REF!</v>
          </cell>
          <cell r="T260">
            <v>61.839534436252414</v>
          </cell>
          <cell r="U260">
            <v>52.969417750811665</v>
          </cell>
          <cell r="X260">
            <v>38.553474536794589</v>
          </cell>
          <cell r="Y260" t="e">
            <v>#REF!</v>
          </cell>
          <cell r="Z260">
            <v>25.950116152643087</v>
          </cell>
          <cell r="AA260" t="e">
            <v>#REF!</v>
          </cell>
          <cell r="AB260">
            <v>38.553474536794589</v>
          </cell>
          <cell r="AC260">
            <v>54.353449747964113</v>
          </cell>
          <cell r="AD260" t="e">
            <v>#REF!</v>
          </cell>
          <cell r="AE260" t="e">
            <v>#REF!</v>
          </cell>
          <cell r="AF260" t="e">
            <v>#REF!</v>
          </cell>
          <cell r="AG260" t="e">
            <v>#REF!</v>
          </cell>
          <cell r="AH260" t="e">
            <v>#REF!</v>
          </cell>
          <cell r="AI260" t="e">
            <v>#REF!</v>
          </cell>
          <cell r="AJ260" t="e">
            <v>#REF!</v>
          </cell>
          <cell r="AK260" t="e">
            <v>#REF!</v>
          </cell>
        </row>
        <row r="261">
          <cell r="B261">
            <v>41883</v>
          </cell>
          <cell r="G261" t="e">
            <v>#REF!</v>
          </cell>
          <cell r="T261">
            <v>61.95160272407459</v>
          </cell>
          <cell r="U261">
            <v>53.120175109856689</v>
          </cell>
          <cell r="X261">
            <v>38.597662838533751</v>
          </cell>
          <cell r="Y261" t="e">
            <v>#REF!</v>
          </cell>
          <cell r="Z261">
            <v>25.972296183051366</v>
          </cell>
          <cell r="AA261" t="e">
            <v>#REF!</v>
          </cell>
          <cell r="AB261">
            <v>38.597662838533751</v>
          </cell>
          <cell r="AC261">
            <v>54.405135964519104</v>
          </cell>
          <cell r="AD261" t="e">
            <v>#REF!</v>
          </cell>
          <cell r="AE261" t="e">
            <v>#REF!</v>
          </cell>
          <cell r="AF261" t="e">
            <v>#REF!</v>
          </cell>
          <cell r="AG261" t="e">
            <v>#REF!</v>
          </cell>
          <cell r="AH261" t="e">
            <v>#REF!</v>
          </cell>
          <cell r="AI261" t="e">
            <v>#REF!</v>
          </cell>
          <cell r="AJ261" t="e">
            <v>#REF!</v>
          </cell>
          <cell r="AK261" t="e">
            <v>#REF!</v>
          </cell>
        </row>
        <row r="262">
          <cell r="B262">
            <v>41913</v>
          </cell>
          <cell r="G262" t="e">
            <v>#REF!</v>
          </cell>
          <cell r="T262">
            <v>62.316567488318348</v>
          </cell>
          <cell r="U262">
            <v>53.424874039978903</v>
          </cell>
          <cell r="X262">
            <v>38.74905060047697</v>
          </cell>
          <cell r="Y262" t="e">
            <v>#REF!</v>
          </cell>
          <cell r="Z262">
            <v>26.047312707490331</v>
          </cell>
          <cell r="AA262" t="e">
            <v>#REF!</v>
          </cell>
          <cell r="AB262">
            <v>38.74905060047697</v>
          </cell>
          <cell r="AC262">
            <v>54.564100607204423</v>
          </cell>
          <cell r="AD262" t="e">
            <v>#REF!</v>
          </cell>
          <cell r="AE262" t="e">
            <v>#REF!</v>
          </cell>
          <cell r="AF262" t="e">
            <v>#REF!</v>
          </cell>
          <cell r="AG262" t="e">
            <v>#REF!</v>
          </cell>
          <cell r="AH262" t="e">
            <v>#REF!</v>
          </cell>
          <cell r="AI262" t="e">
            <v>#REF!</v>
          </cell>
          <cell r="AJ262" t="e">
            <v>#REF!</v>
          </cell>
          <cell r="AK262" t="e">
            <v>#REF!</v>
          </cell>
        </row>
        <row r="263">
          <cell r="B263">
            <v>41944</v>
          </cell>
          <cell r="G263" t="e">
            <v>#REF!</v>
          </cell>
          <cell r="T263">
            <v>63.944969274133257</v>
          </cell>
          <cell r="U263">
            <v>54.497888898273438</v>
          </cell>
          <cell r="X263">
            <v>39.436023479871658</v>
          </cell>
          <cell r="Y263" t="e">
            <v>#REF!</v>
          </cell>
          <cell r="Z263">
            <v>26.38121732551193</v>
          </cell>
          <cell r="AA263" t="e">
            <v>#REF!</v>
          </cell>
          <cell r="AB263">
            <v>39.436023479871658</v>
          </cell>
          <cell r="AC263">
            <v>55.224607171470552</v>
          </cell>
          <cell r="AD263" t="e">
            <v>#REF!</v>
          </cell>
          <cell r="AE263" t="e">
            <v>#REF!</v>
          </cell>
          <cell r="AF263" t="e">
            <v>#REF!</v>
          </cell>
          <cell r="AG263" t="e">
            <v>#REF!</v>
          </cell>
          <cell r="AH263" t="e">
            <v>#REF!</v>
          </cell>
          <cell r="AI263" t="e">
            <v>#REF!</v>
          </cell>
          <cell r="AJ263" t="e">
            <v>#REF!</v>
          </cell>
          <cell r="AK263" t="e">
            <v>#REF!</v>
          </cell>
        </row>
        <row r="264">
          <cell r="B264">
            <v>41974</v>
          </cell>
          <cell r="G264" t="e">
            <v>#REF!</v>
          </cell>
          <cell r="T264">
            <v>65.573633774342554</v>
          </cell>
          <cell r="U264">
            <v>55.571253558811563</v>
          </cell>
          <cell r="X264">
            <v>40.12309994702661</v>
          </cell>
          <cell r="Y264" t="e">
            <v>#REF!</v>
          </cell>
          <cell r="Z264">
            <v>26.706626768961453</v>
          </cell>
          <cell r="AA264" t="e">
            <v>#REF!</v>
          </cell>
          <cell r="AB264">
            <v>40.12309994702661</v>
          </cell>
          <cell r="AC264">
            <v>55.828127426744928</v>
          </cell>
          <cell r="AD264" t="e">
            <v>#REF!</v>
          </cell>
          <cell r="AE264" t="e">
            <v>#REF!</v>
          </cell>
          <cell r="AF264" t="e">
            <v>#REF!</v>
          </cell>
          <cell r="AG264" t="e">
            <v>#REF!</v>
          </cell>
          <cell r="AH264" t="e">
            <v>#REF!</v>
          </cell>
          <cell r="AI264" t="e">
            <v>#REF!</v>
          </cell>
          <cell r="AJ264" t="e">
            <v>#REF!</v>
          </cell>
          <cell r="AK264" t="e">
            <v>#REF!</v>
          </cell>
        </row>
        <row r="265">
          <cell r="B265">
            <v>42005</v>
          </cell>
          <cell r="G265" t="e">
            <v>#REF!</v>
          </cell>
          <cell r="Y265" t="e">
            <v>#REF!</v>
          </cell>
        </row>
        <row r="266">
          <cell r="B266">
            <v>42036</v>
          </cell>
          <cell r="G266" t="e">
            <v>#REF!</v>
          </cell>
          <cell r="Y266" t="e">
            <v>#REF!</v>
          </cell>
        </row>
        <row r="267">
          <cell r="B267">
            <v>42064</v>
          </cell>
          <cell r="G267" t="e">
            <v>#REF!</v>
          </cell>
          <cell r="Y267" t="e">
            <v>#REF!</v>
          </cell>
        </row>
        <row r="268">
          <cell r="B268">
            <v>42095</v>
          </cell>
          <cell r="G268" t="e">
            <v>#REF!</v>
          </cell>
          <cell r="Y268" t="e">
            <v>#REF!</v>
          </cell>
        </row>
        <row r="269">
          <cell r="B269">
            <v>42125</v>
          </cell>
          <cell r="G269" t="e">
            <v>#REF!</v>
          </cell>
          <cell r="Y269" t="e">
            <v>#REF!</v>
          </cell>
        </row>
        <row r="270">
          <cell r="B270">
            <v>42156</v>
          </cell>
          <cell r="G270" t="e">
            <v>#REF!</v>
          </cell>
          <cell r="Y270" t="e">
            <v>#REF!</v>
          </cell>
        </row>
        <row r="271">
          <cell r="B271">
            <v>42186</v>
          </cell>
          <cell r="G271" t="e">
            <v>#REF!</v>
          </cell>
          <cell r="Y271" t="e">
            <v>#REF!</v>
          </cell>
        </row>
        <row r="272">
          <cell r="B272">
            <v>42217</v>
          </cell>
          <cell r="G272" t="e">
            <v>#REF!</v>
          </cell>
          <cell r="Y272" t="e">
            <v>#REF!</v>
          </cell>
        </row>
        <row r="273">
          <cell r="B273">
            <v>42248</v>
          </cell>
          <cell r="G273" t="e">
            <v>#REF!</v>
          </cell>
          <cell r="Y273" t="e">
            <v>#REF!</v>
          </cell>
        </row>
        <row r="274">
          <cell r="B274">
            <v>42278</v>
          </cell>
          <cell r="G274" t="e">
            <v>#REF!</v>
          </cell>
          <cell r="Y274" t="e">
            <v>#REF!</v>
          </cell>
        </row>
        <row r="275">
          <cell r="B275">
            <v>42309</v>
          </cell>
          <cell r="G275" t="e">
            <v>#REF!</v>
          </cell>
          <cell r="Y275" t="e">
            <v>#REF!</v>
          </cell>
        </row>
        <row r="276">
          <cell r="B276">
            <v>42339</v>
          </cell>
          <cell r="G276" t="e">
            <v>#REF!</v>
          </cell>
          <cell r="Y276" t="e">
            <v>#REF!</v>
          </cell>
        </row>
        <row r="277">
          <cell r="B277">
            <v>42370</v>
          </cell>
          <cell r="G277" t="e">
            <v>#REF!</v>
          </cell>
          <cell r="Y277" t="e">
            <v>#REF!</v>
          </cell>
        </row>
        <row r="278">
          <cell r="B278">
            <v>42401</v>
          </cell>
          <cell r="G278" t="e">
            <v>#REF!</v>
          </cell>
          <cell r="Y278" t="e">
            <v>#REF!</v>
          </cell>
        </row>
        <row r="279">
          <cell r="B279">
            <v>42430</v>
          </cell>
          <cell r="G279" t="e">
            <v>#REF!</v>
          </cell>
          <cell r="Y279" t="e">
            <v>#REF!</v>
          </cell>
        </row>
        <row r="280">
          <cell r="B280">
            <v>42461</v>
          </cell>
          <cell r="G280" t="e">
            <v>#REF!</v>
          </cell>
          <cell r="Y280" t="e">
            <v>#REF!</v>
          </cell>
        </row>
        <row r="281">
          <cell r="B281">
            <v>42491</v>
          </cell>
          <cell r="G281" t="e">
            <v>#REF!</v>
          </cell>
          <cell r="Y281" t="e">
            <v>#REF!</v>
          </cell>
        </row>
        <row r="282">
          <cell r="B282">
            <v>42522</v>
          </cell>
          <cell r="G282" t="e">
            <v>#REF!</v>
          </cell>
          <cell r="Y282" t="e">
            <v>#REF!</v>
          </cell>
        </row>
        <row r="283">
          <cell r="B283">
            <v>42552</v>
          </cell>
          <cell r="G283" t="e">
            <v>#REF!</v>
          </cell>
          <cell r="Y283" t="e">
            <v>#REF!</v>
          </cell>
        </row>
        <row r="284">
          <cell r="B284">
            <v>42583</v>
          </cell>
          <cell r="G284" t="e">
            <v>#REF!</v>
          </cell>
          <cell r="Y284" t="e">
            <v>#REF!</v>
          </cell>
        </row>
        <row r="285">
          <cell r="B285">
            <v>42614</v>
          </cell>
          <cell r="G285" t="e">
            <v>#REF!</v>
          </cell>
          <cell r="Y285" t="e">
            <v>#REF!</v>
          </cell>
        </row>
        <row r="286">
          <cell r="B286">
            <v>42644</v>
          </cell>
          <cell r="G286" t="e">
            <v>#REF!</v>
          </cell>
          <cell r="Y286" t="e">
            <v>#REF!</v>
          </cell>
        </row>
        <row r="287">
          <cell r="B287">
            <v>42675</v>
          </cell>
          <cell r="G287" t="e">
            <v>#REF!</v>
          </cell>
          <cell r="Y287" t="e">
            <v>#REF!</v>
          </cell>
        </row>
        <row r="288">
          <cell r="B288">
            <v>42705</v>
          </cell>
          <cell r="G288" t="e">
            <v>#REF!</v>
          </cell>
          <cell r="Y288" t="e">
            <v>#REF!</v>
          </cell>
        </row>
        <row r="289">
          <cell r="B289">
            <v>42736</v>
          </cell>
          <cell r="G289" t="e">
            <v>#REF!</v>
          </cell>
          <cell r="Y289" t="e">
            <v>#REF!</v>
          </cell>
        </row>
        <row r="290">
          <cell r="B290">
            <v>42767</v>
          </cell>
          <cell r="G290" t="e">
            <v>#REF!</v>
          </cell>
          <cell r="Y290" t="e">
            <v>#REF!</v>
          </cell>
        </row>
        <row r="291">
          <cell r="B291">
            <v>42795</v>
          </cell>
          <cell r="G291" t="e">
            <v>#REF!</v>
          </cell>
          <cell r="Y291" t="e">
            <v>#REF!</v>
          </cell>
        </row>
        <row r="292">
          <cell r="B292">
            <v>42826</v>
          </cell>
          <cell r="G292" t="e">
            <v>#REF!</v>
          </cell>
          <cell r="Y292" t="e">
            <v>#REF!</v>
          </cell>
        </row>
        <row r="293">
          <cell r="B293">
            <v>42856</v>
          </cell>
          <cell r="G293" t="e">
            <v>#REF!</v>
          </cell>
          <cell r="Y293" t="e">
            <v>#REF!</v>
          </cell>
        </row>
        <row r="294">
          <cell r="B294">
            <v>42887</v>
          </cell>
          <cell r="G294" t="e">
            <v>#REF!</v>
          </cell>
          <cell r="Y294" t="e">
            <v>#REF!</v>
          </cell>
        </row>
        <row r="295">
          <cell r="B295">
            <v>42917</v>
          </cell>
          <cell r="G295" t="e">
            <v>#REF!</v>
          </cell>
          <cell r="Y295" t="e">
            <v>#REF!</v>
          </cell>
        </row>
        <row r="296">
          <cell r="B296">
            <v>42948</v>
          </cell>
          <cell r="G296" t="e">
            <v>#REF!</v>
          </cell>
          <cell r="Y296" t="e">
            <v>#REF!</v>
          </cell>
        </row>
        <row r="297">
          <cell r="B297">
            <v>42979</v>
          </cell>
          <cell r="G297" t="e">
            <v>#REF!</v>
          </cell>
          <cell r="Y297" t="e">
            <v>#REF!</v>
          </cell>
        </row>
        <row r="298">
          <cell r="B298">
            <v>43009</v>
          </cell>
          <cell r="G298" t="e">
            <v>#REF!</v>
          </cell>
          <cell r="Y298" t="e">
            <v>#REF!</v>
          </cell>
        </row>
        <row r="299">
          <cell r="B299">
            <v>43040</v>
          </cell>
          <cell r="G299" t="e">
            <v>#REF!</v>
          </cell>
          <cell r="Y299" t="e">
            <v>#REF!</v>
          </cell>
        </row>
        <row r="300">
          <cell r="B300">
            <v>43070</v>
          </cell>
          <cell r="G300" t="e">
            <v>#REF!</v>
          </cell>
          <cell r="Y300" t="e">
            <v>#REF!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"/>
      <sheetName val="FIRM"/>
      <sheetName val="SPOT"/>
      <sheetName val="NUGS"/>
      <sheetName val="NYISO"/>
      <sheetName val="Misc."/>
      <sheetName val="Module1"/>
      <sheetName val="Module2"/>
      <sheetName val="Module3"/>
      <sheetName val="GAS"/>
    </sheetNames>
    <sheetDataSet>
      <sheetData sheetId="0"/>
      <sheetData sheetId="1">
        <row r="53">
          <cell r="A53">
            <v>1</v>
          </cell>
          <cell r="B53">
            <v>36892</v>
          </cell>
          <cell r="C53">
            <v>0</v>
          </cell>
          <cell r="D53">
            <v>497984</v>
          </cell>
          <cell r="E53">
            <v>287500</v>
          </cell>
          <cell r="F53">
            <v>200000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90300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3095546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-36412</v>
          </cell>
          <cell r="BB53">
            <v>0</v>
          </cell>
          <cell r="BC53">
            <v>0</v>
          </cell>
          <cell r="BD53">
            <v>0</v>
          </cell>
          <cell r="BE53">
            <v>70400</v>
          </cell>
          <cell r="BF53">
            <v>6969600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</row>
        <row r="54">
          <cell r="A54">
            <v>2</v>
          </cell>
          <cell r="B54">
            <v>36923</v>
          </cell>
          <cell r="C54">
            <v>0</v>
          </cell>
          <cell r="D54">
            <v>901956</v>
          </cell>
          <cell r="E54">
            <v>575000</v>
          </cell>
          <cell r="F54">
            <v>400000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180600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6230509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-80387</v>
          </cell>
          <cell r="BB54">
            <v>0</v>
          </cell>
          <cell r="BC54">
            <v>0</v>
          </cell>
          <cell r="BD54">
            <v>0</v>
          </cell>
          <cell r="BE54">
            <v>134400</v>
          </cell>
          <cell r="BF54">
            <v>12665600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</row>
        <row r="55">
          <cell r="A55">
            <v>3</v>
          </cell>
          <cell r="B55">
            <v>36951</v>
          </cell>
          <cell r="C55">
            <v>0</v>
          </cell>
          <cell r="D55">
            <v>1407824</v>
          </cell>
          <cell r="E55">
            <v>862500</v>
          </cell>
          <cell r="F55">
            <v>600000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188300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9530854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-49087</v>
          </cell>
          <cell r="BB55">
            <v>0</v>
          </cell>
          <cell r="BC55">
            <v>0</v>
          </cell>
          <cell r="BD55">
            <v>0</v>
          </cell>
          <cell r="BE55">
            <v>204800</v>
          </cell>
          <cell r="BF55">
            <v>17576000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</row>
        <row r="56">
          <cell r="A56">
            <v>4</v>
          </cell>
          <cell r="B56">
            <v>36982</v>
          </cell>
          <cell r="C56">
            <v>0</v>
          </cell>
          <cell r="D56">
            <v>1895383</v>
          </cell>
          <cell r="E56">
            <v>1150000</v>
          </cell>
          <cell r="F56">
            <v>800000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1163632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188300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12946404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-49087</v>
          </cell>
          <cell r="BB56">
            <v>0</v>
          </cell>
          <cell r="BC56">
            <v>0</v>
          </cell>
          <cell r="BD56">
            <v>0</v>
          </cell>
          <cell r="BE56">
            <v>272000</v>
          </cell>
          <cell r="BF56">
            <v>21809600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</row>
        <row r="57">
          <cell r="A57">
            <v>5</v>
          </cell>
          <cell r="B57">
            <v>37012</v>
          </cell>
          <cell r="C57">
            <v>0</v>
          </cell>
          <cell r="D57">
            <v>2425703</v>
          </cell>
          <cell r="E57">
            <v>1437500</v>
          </cell>
          <cell r="F57">
            <v>1000000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2327264</v>
          </cell>
          <cell r="L57">
            <v>0</v>
          </cell>
          <cell r="M57">
            <v>0</v>
          </cell>
          <cell r="N57">
            <v>0</v>
          </cell>
          <cell r="O57">
            <v>35200</v>
          </cell>
          <cell r="P57">
            <v>2182400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620930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16456388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-481717</v>
          </cell>
          <cell r="BB57">
            <v>0</v>
          </cell>
          <cell r="BC57">
            <v>0</v>
          </cell>
          <cell r="BD57">
            <v>0</v>
          </cell>
          <cell r="BE57">
            <v>307200</v>
          </cell>
          <cell r="BF57">
            <v>24484800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3200</v>
          </cell>
          <cell r="BL57">
            <v>166400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-1600</v>
          </cell>
          <cell r="BR57">
            <v>-99200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</row>
        <row r="58">
          <cell r="A58">
            <v>6</v>
          </cell>
          <cell r="B58">
            <v>37043</v>
          </cell>
          <cell r="C58">
            <v>0</v>
          </cell>
          <cell r="D58">
            <v>2895908</v>
          </cell>
          <cell r="E58">
            <v>1725000</v>
          </cell>
          <cell r="F58">
            <v>1200000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3490896</v>
          </cell>
          <cell r="L58">
            <v>0</v>
          </cell>
          <cell r="M58">
            <v>0</v>
          </cell>
          <cell r="N58">
            <v>0</v>
          </cell>
          <cell r="O58">
            <v>68800</v>
          </cell>
          <cell r="P58">
            <v>4870400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1053560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18065258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-914347</v>
          </cell>
          <cell r="BB58">
            <v>0</v>
          </cell>
          <cell r="BC58">
            <v>0</v>
          </cell>
          <cell r="BD58">
            <v>0</v>
          </cell>
          <cell r="BE58">
            <v>340800</v>
          </cell>
          <cell r="BF58">
            <v>27676800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3200</v>
          </cell>
          <cell r="BL58">
            <v>166400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-1600</v>
          </cell>
          <cell r="BR58">
            <v>-99200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</row>
        <row r="59">
          <cell r="A59">
            <v>7</v>
          </cell>
          <cell r="B59">
            <v>37073</v>
          </cell>
          <cell r="C59">
            <v>0</v>
          </cell>
          <cell r="D59">
            <v>3488015</v>
          </cell>
          <cell r="E59">
            <v>2012500</v>
          </cell>
          <cell r="F59">
            <v>1400000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4654528</v>
          </cell>
          <cell r="L59">
            <v>0</v>
          </cell>
          <cell r="M59">
            <v>0</v>
          </cell>
          <cell r="N59">
            <v>0</v>
          </cell>
          <cell r="O59">
            <v>102400</v>
          </cell>
          <cell r="P59">
            <v>8633600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1486190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22088545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-1346977</v>
          </cell>
          <cell r="BB59">
            <v>0</v>
          </cell>
          <cell r="BC59">
            <v>0</v>
          </cell>
          <cell r="BD59">
            <v>0</v>
          </cell>
          <cell r="BE59">
            <v>374400</v>
          </cell>
          <cell r="BF59">
            <v>32750400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3200</v>
          </cell>
          <cell r="BL59">
            <v>166400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-1600</v>
          </cell>
          <cell r="BR59">
            <v>-99200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</row>
        <row r="60">
          <cell r="A60">
            <v>8</v>
          </cell>
          <cell r="B60">
            <v>37104</v>
          </cell>
          <cell r="C60">
            <v>0</v>
          </cell>
          <cell r="D60">
            <v>4312400</v>
          </cell>
          <cell r="E60">
            <v>2300000</v>
          </cell>
          <cell r="F60">
            <v>1600000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5818160</v>
          </cell>
          <cell r="L60">
            <v>0</v>
          </cell>
          <cell r="M60">
            <v>0</v>
          </cell>
          <cell r="N60">
            <v>0</v>
          </cell>
          <cell r="O60">
            <v>139200</v>
          </cell>
          <cell r="P60">
            <v>12755200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1918820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23920900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-1779607</v>
          </cell>
          <cell r="BB60">
            <v>0</v>
          </cell>
          <cell r="BC60">
            <v>0</v>
          </cell>
          <cell r="BD60">
            <v>0</v>
          </cell>
          <cell r="BE60">
            <v>411200</v>
          </cell>
          <cell r="BF60">
            <v>37534400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3200</v>
          </cell>
          <cell r="BL60">
            <v>166400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-1600</v>
          </cell>
          <cell r="BR60">
            <v>-99200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</row>
        <row r="61">
          <cell r="A61">
            <v>9</v>
          </cell>
          <cell r="B61">
            <v>37135</v>
          </cell>
          <cell r="C61">
            <v>0</v>
          </cell>
          <cell r="D61">
            <v>4702163</v>
          </cell>
          <cell r="E61">
            <v>2587500</v>
          </cell>
          <cell r="F61">
            <v>1800000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6981792</v>
          </cell>
          <cell r="L61">
            <v>0</v>
          </cell>
          <cell r="M61">
            <v>0</v>
          </cell>
          <cell r="N61">
            <v>0</v>
          </cell>
          <cell r="O61">
            <v>169600</v>
          </cell>
          <cell r="P61">
            <v>14640000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2351450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560340</v>
          </cell>
          <cell r="AN61">
            <v>20417015</v>
          </cell>
          <cell r="AO61">
            <v>1805000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26614205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-2212237</v>
          </cell>
          <cell r="BB61">
            <v>0</v>
          </cell>
          <cell r="BC61">
            <v>0</v>
          </cell>
          <cell r="BD61">
            <v>0</v>
          </cell>
          <cell r="BE61">
            <v>441600</v>
          </cell>
          <cell r="BF61">
            <v>39723200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3200</v>
          </cell>
          <cell r="BL61">
            <v>166400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-1600</v>
          </cell>
          <cell r="BR61">
            <v>-99200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</row>
        <row r="62">
          <cell r="A62">
            <v>10</v>
          </cell>
          <cell r="B62">
            <v>37165</v>
          </cell>
          <cell r="C62">
            <v>0</v>
          </cell>
          <cell r="D62">
            <v>4973431</v>
          </cell>
          <cell r="E62">
            <v>2875000</v>
          </cell>
          <cell r="F62">
            <v>2000000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8145424</v>
          </cell>
          <cell r="L62">
            <v>0</v>
          </cell>
          <cell r="M62">
            <v>0</v>
          </cell>
          <cell r="N62">
            <v>0</v>
          </cell>
          <cell r="O62">
            <v>204800</v>
          </cell>
          <cell r="P62">
            <v>16576000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2784080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1164030</v>
          </cell>
          <cell r="AN62">
            <v>42393263</v>
          </cell>
          <cell r="AO62">
            <v>3299793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30254873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-2644867</v>
          </cell>
          <cell r="BB62">
            <v>0</v>
          </cell>
          <cell r="BC62">
            <v>0</v>
          </cell>
          <cell r="BD62">
            <v>0</v>
          </cell>
          <cell r="BE62">
            <v>478400</v>
          </cell>
          <cell r="BF62">
            <v>42262400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3200</v>
          </cell>
          <cell r="BL62">
            <v>166400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-1600</v>
          </cell>
          <cell r="BR62">
            <v>-99200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</row>
        <row r="63">
          <cell r="A63">
            <v>11</v>
          </cell>
          <cell r="B63">
            <v>37196</v>
          </cell>
          <cell r="C63">
            <v>0</v>
          </cell>
          <cell r="D63">
            <v>5263281</v>
          </cell>
          <cell r="E63">
            <v>3150489</v>
          </cell>
          <cell r="F63">
            <v>2200000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8145424</v>
          </cell>
          <cell r="L63">
            <v>0</v>
          </cell>
          <cell r="M63">
            <v>0</v>
          </cell>
          <cell r="N63">
            <v>0</v>
          </cell>
          <cell r="O63">
            <v>204800</v>
          </cell>
          <cell r="P63">
            <v>16576000</v>
          </cell>
          <cell r="Q63">
            <v>680000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748000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2899888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98500</v>
          </cell>
          <cell r="AJ63">
            <v>0</v>
          </cell>
          <cell r="AK63">
            <v>0</v>
          </cell>
          <cell r="AL63">
            <v>0</v>
          </cell>
          <cell r="AM63">
            <v>1719980</v>
          </cell>
          <cell r="AN63">
            <v>62980716</v>
          </cell>
          <cell r="AO63">
            <v>4144388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33360622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-4219242</v>
          </cell>
          <cell r="BB63">
            <v>0</v>
          </cell>
          <cell r="BC63">
            <v>0</v>
          </cell>
          <cell r="BD63">
            <v>0</v>
          </cell>
          <cell r="BE63">
            <v>478400</v>
          </cell>
          <cell r="BF63">
            <v>42262400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3200</v>
          </cell>
          <cell r="BL63">
            <v>166400</v>
          </cell>
          <cell r="BM63">
            <v>990000</v>
          </cell>
          <cell r="BN63">
            <v>0</v>
          </cell>
          <cell r="BO63">
            <v>0</v>
          </cell>
          <cell r="BP63">
            <v>0</v>
          </cell>
          <cell r="BQ63">
            <v>-1600</v>
          </cell>
          <cell r="BR63">
            <v>-99200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29250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541000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62000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</row>
        <row r="64">
          <cell r="A64">
            <v>12</v>
          </cell>
          <cell r="B64">
            <v>37226</v>
          </cell>
          <cell r="C64">
            <v>0</v>
          </cell>
          <cell r="D64">
            <v>5518933</v>
          </cell>
          <cell r="E64">
            <v>3437989</v>
          </cell>
          <cell r="F64">
            <v>2400000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8145424</v>
          </cell>
          <cell r="L64">
            <v>0</v>
          </cell>
          <cell r="M64">
            <v>0</v>
          </cell>
          <cell r="N64">
            <v>0</v>
          </cell>
          <cell r="O64">
            <v>236800</v>
          </cell>
          <cell r="P64">
            <v>17896000</v>
          </cell>
          <cell r="Q64">
            <v>1360000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1496000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3015696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197000</v>
          </cell>
          <cell r="AJ64">
            <v>0</v>
          </cell>
          <cell r="AK64">
            <v>0</v>
          </cell>
          <cell r="AL64">
            <v>0</v>
          </cell>
          <cell r="AM64">
            <v>2403025</v>
          </cell>
          <cell r="AN64">
            <v>88083704</v>
          </cell>
          <cell r="AO64">
            <v>5094388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36921597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-5831117</v>
          </cell>
          <cell r="BB64">
            <v>0</v>
          </cell>
          <cell r="BC64">
            <v>0</v>
          </cell>
          <cell r="BD64">
            <v>0</v>
          </cell>
          <cell r="BE64">
            <v>478400</v>
          </cell>
          <cell r="BF64">
            <v>42262400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3200</v>
          </cell>
          <cell r="BL64">
            <v>166400</v>
          </cell>
          <cell r="BM64">
            <v>1980000</v>
          </cell>
          <cell r="BN64">
            <v>0</v>
          </cell>
          <cell r="BO64">
            <v>0</v>
          </cell>
          <cell r="BP64">
            <v>0</v>
          </cell>
          <cell r="BQ64">
            <v>-1600</v>
          </cell>
          <cell r="BR64">
            <v>-99200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58500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1082000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124000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</row>
        <row r="65">
          <cell r="A65">
            <v>13</v>
          </cell>
          <cell r="B65">
            <v>37257</v>
          </cell>
          <cell r="C65">
            <v>0</v>
          </cell>
          <cell r="D65">
            <v>308391</v>
          </cell>
          <cell r="E65">
            <v>276822</v>
          </cell>
          <cell r="F65">
            <v>200000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680000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748000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115808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98500</v>
          </cell>
          <cell r="AJ65">
            <v>0</v>
          </cell>
          <cell r="AK65">
            <v>0</v>
          </cell>
          <cell r="AL65">
            <v>0</v>
          </cell>
          <cell r="AM65">
            <v>731880</v>
          </cell>
          <cell r="AN65">
            <v>26657817</v>
          </cell>
          <cell r="AO65">
            <v>1062838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3236716</v>
          </cell>
          <cell r="AV65">
            <v>5696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-1576875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990000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29250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541000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62000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</row>
        <row r="66">
          <cell r="A66">
            <v>14</v>
          </cell>
          <cell r="B66">
            <v>37288</v>
          </cell>
          <cell r="C66">
            <v>0</v>
          </cell>
          <cell r="D66">
            <v>558133</v>
          </cell>
          <cell r="E66">
            <v>564322</v>
          </cell>
          <cell r="F66">
            <v>400000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16000</v>
          </cell>
          <cell r="P66">
            <v>692000</v>
          </cell>
          <cell r="Q66">
            <v>680000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1496000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231616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197000</v>
          </cell>
          <cell r="AJ66">
            <v>0</v>
          </cell>
          <cell r="AK66">
            <v>0</v>
          </cell>
          <cell r="AL66">
            <v>0</v>
          </cell>
          <cell r="AM66">
            <v>1393800</v>
          </cell>
          <cell r="AN66">
            <v>50760134</v>
          </cell>
          <cell r="AO66">
            <v>2265946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6502981</v>
          </cell>
          <cell r="AV66">
            <v>38448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-2811250</v>
          </cell>
          <cell r="BB66">
            <v>0</v>
          </cell>
          <cell r="BC66">
            <v>0</v>
          </cell>
          <cell r="BD66">
            <v>0</v>
          </cell>
          <cell r="BE66">
            <v>-1800</v>
          </cell>
          <cell r="BF66">
            <v>58696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1980000</v>
          </cell>
          <cell r="BN66">
            <v>0</v>
          </cell>
          <cell r="BO66">
            <v>0</v>
          </cell>
          <cell r="BP66">
            <v>0</v>
          </cell>
          <cell r="BQ66">
            <v>-16000</v>
          </cell>
          <cell r="BR66">
            <v>-692000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58500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1082000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124000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</row>
        <row r="67">
          <cell r="A67">
            <v>15</v>
          </cell>
          <cell r="B67">
            <v>37316</v>
          </cell>
          <cell r="C67">
            <v>0</v>
          </cell>
          <cell r="D67">
            <v>914581</v>
          </cell>
          <cell r="E67">
            <v>848074</v>
          </cell>
          <cell r="F67">
            <v>600000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16000</v>
          </cell>
          <cell r="P67">
            <v>692000</v>
          </cell>
          <cell r="Q67">
            <v>680000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2244000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347424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295500</v>
          </cell>
          <cell r="AJ67">
            <v>0</v>
          </cell>
          <cell r="AK67">
            <v>0</v>
          </cell>
          <cell r="AL67">
            <v>0</v>
          </cell>
          <cell r="AM67">
            <v>2125760</v>
          </cell>
          <cell r="AN67">
            <v>77408778</v>
          </cell>
          <cell r="AO67">
            <v>3575676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9841148</v>
          </cell>
          <cell r="AV67">
            <v>45992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-4045625</v>
          </cell>
          <cell r="BB67">
            <v>0</v>
          </cell>
          <cell r="BC67">
            <v>0</v>
          </cell>
          <cell r="BD67">
            <v>0</v>
          </cell>
          <cell r="BE67">
            <v>-1800</v>
          </cell>
          <cell r="BF67">
            <v>58696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2970000</v>
          </cell>
          <cell r="BN67">
            <v>0</v>
          </cell>
          <cell r="BO67">
            <v>0</v>
          </cell>
          <cell r="BP67">
            <v>0</v>
          </cell>
          <cell r="BQ67">
            <v>-16000</v>
          </cell>
          <cell r="BR67">
            <v>-692000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87750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1623000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186000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74400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150195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-224595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</row>
        <row r="68">
          <cell r="A68">
            <v>16</v>
          </cell>
          <cell r="B68">
            <v>37347</v>
          </cell>
          <cell r="C68">
            <v>0</v>
          </cell>
          <cell r="D68">
            <v>1272765</v>
          </cell>
          <cell r="E68">
            <v>1135234</v>
          </cell>
          <cell r="F68">
            <v>800000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1169597</v>
          </cell>
          <cell r="L68">
            <v>0</v>
          </cell>
          <cell r="M68">
            <v>0</v>
          </cell>
          <cell r="N68">
            <v>0</v>
          </cell>
          <cell r="O68">
            <v>16000</v>
          </cell>
          <cell r="P68">
            <v>692000</v>
          </cell>
          <cell r="Q68">
            <v>680000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2992000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463232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394000</v>
          </cell>
          <cell r="AJ68">
            <v>0</v>
          </cell>
          <cell r="AK68">
            <v>0</v>
          </cell>
          <cell r="AL68">
            <v>0</v>
          </cell>
          <cell r="AM68">
            <v>2833520</v>
          </cell>
          <cell r="AN68">
            <v>103013464</v>
          </cell>
          <cell r="AO68">
            <v>4895946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9841148</v>
          </cell>
          <cell r="AV68">
            <v>77973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-5280000</v>
          </cell>
          <cell r="BB68">
            <v>0</v>
          </cell>
          <cell r="BC68">
            <v>0</v>
          </cell>
          <cell r="BD68">
            <v>0</v>
          </cell>
          <cell r="BE68">
            <v>-1800</v>
          </cell>
          <cell r="BF68">
            <v>58696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3960000</v>
          </cell>
          <cell r="BN68">
            <v>0</v>
          </cell>
          <cell r="BO68">
            <v>0</v>
          </cell>
          <cell r="BP68">
            <v>0</v>
          </cell>
          <cell r="BQ68">
            <v>-16000</v>
          </cell>
          <cell r="BR68">
            <v>-692000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117000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2164000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248000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159150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150195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-309345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</row>
        <row r="69">
          <cell r="A69">
            <v>17</v>
          </cell>
          <cell r="B69">
            <v>37377</v>
          </cell>
          <cell r="C69">
            <v>0</v>
          </cell>
          <cell r="D69">
            <v>1679298</v>
          </cell>
          <cell r="E69">
            <v>1421538</v>
          </cell>
          <cell r="F69">
            <v>1000000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2339194</v>
          </cell>
          <cell r="L69">
            <v>0</v>
          </cell>
          <cell r="M69">
            <v>0</v>
          </cell>
          <cell r="N69">
            <v>0</v>
          </cell>
          <cell r="O69">
            <v>16000</v>
          </cell>
          <cell r="P69">
            <v>692000</v>
          </cell>
          <cell r="Q69">
            <v>680000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2992000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463232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394000</v>
          </cell>
          <cell r="AJ69">
            <v>0</v>
          </cell>
          <cell r="AK69">
            <v>0</v>
          </cell>
          <cell r="AL69">
            <v>0</v>
          </cell>
          <cell r="AM69">
            <v>3558700</v>
          </cell>
          <cell r="AN69">
            <v>129644239</v>
          </cell>
          <cell r="AO69">
            <v>11933460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10486148</v>
          </cell>
          <cell r="AV69">
            <v>77973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-5775905</v>
          </cell>
          <cell r="BB69">
            <v>0</v>
          </cell>
          <cell r="BC69">
            <v>0</v>
          </cell>
          <cell r="BD69">
            <v>0</v>
          </cell>
          <cell r="BE69">
            <v>-1800</v>
          </cell>
          <cell r="BF69">
            <v>58696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4440000</v>
          </cell>
          <cell r="BN69">
            <v>0</v>
          </cell>
          <cell r="BO69">
            <v>0</v>
          </cell>
          <cell r="BP69">
            <v>0</v>
          </cell>
          <cell r="BQ69">
            <v>-16000</v>
          </cell>
          <cell r="BR69">
            <v>-692000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144000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2164000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248000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221150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150195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-371345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95000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</row>
        <row r="70">
          <cell r="A70">
            <v>18</v>
          </cell>
          <cell r="B70">
            <v>37408</v>
          </cell>
          <cell r="C70">
            <v>0</v>
          </cell>
          <cell r="D70">
            <v>2040190</v>
          </cell>
          <cell r="E70">
            <v>1708961</v>
          </cell>
          <cell r="F70">
            <v>1200000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3508791</v>
          </cell>
          <cell r="L70">
            <v>0</v>
          </cell>
          <cell r="M70">
            <v>0</v>
          </cell>
          <cell r="N70">
            <v>0</v>
          </cell>
          <cell r="O70">
            <v>16000</v>
          </cell>
          <cell r="P70">
            <v>692000</v>
          </cell>
          <cell r="Q70">
            <v>680000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3157000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463232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394000</v>
          </cell>
          <cell r="AJ70">
            <v>0</v>
          </cell>
          <cell r="AK70">
            <v>0</v>
          </cell>
          <cell r="AL70">
            <v>0</v>
          </cell>
          <cell r="AM70">
            <v>4264420</v>
          </cell>
          <cell r="AN70">
            <v>162663515</v>
          </cell>
          <cell r="AO70">
            <v>18970974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11131148</v>
          </cell>
          <cell r="AV70">
            <v>77980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-6336645</v>
          </cell>
          <cell r="BB70">
            <v>0</v>
          </cell>
          <cell r="BC70">
            <v>0</v>
          </cell>
          <cell r="BD70">
            <v>0</v>
          </cell>
          <cell r="BE70">
            <v>-1800</v>
          </cell>
          <cell r="BF70">
            <v>58696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4920000</v>
          </cell>
          <cell r="BN70">
            <v>0</v>
          </cell>
          <cell r="BO70">
            <v>0</v>
          </cell>
          <cell r="BP70">
            <v>0</v>
          </cell>
          <cell r="BQ70">
            <v>-16000</v>
          </cell>
          <cell r="BR70">
            <v>-692000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171000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2164000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248000</v>
          </cell>
          <cell r="CL70">
            <v>0</v>
          </cell>
          <cell r="CM70">
            <v>0</v>
          </cell>
          <cell r="CN70">
            <v>0</v>
          </cell>
          <cell r="CO70">
            <v>16000</v>
          </cell>
          <cell r="CP70">
            <v>604000</v>
          </cell>
          <cell r="CQ70">
            <v>338150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150195</v>
          </cell>
          <cell r="CX70">
            <v>0</v>
          </cell>
          <cell r="CY70">
            <v>0</v>
          </cell>
          <cell r="CZ70">
            <v>0</v>
          </cell>
          <cell r="DA70">
            <v>-24800</v>
          </cell>
          <cell r="DB70">
            <v>-973600</v>
          </cell>
          <cell r="DC70">
            <v>-488345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95000</v>
          </cell>
          <cell r="DJ70">
            <v>0</v>
          </cell>
          <cell r="DK70">
            <v>0</v>
          </cell>
          <cell r="DL70">
            <v>0</v>
          </cell>
          <cell r="DM70">
            <v>8800</v>
          </cell>
          <cell r="DN70">
            <v>369600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95000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</row>
        <row r="71">
          <cell r="A71">
            <v>19</v>
          </cell>
          <cell r="B71">
            <v>37438</v>
          </cell>
          <cell r="C71">
            <v>0</v>
          </cell>
          <cell r="D71">
            <v>2633701</v>
          </cell>
          <cell r="E71">
            <v>1996241</v>
          </cell>
          <cell r="F71">
            <v>1400000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4678388</v>
          </cell>
          <cell r="L71">
            <v>0</v>
          </cell>
          <cell r="M71">
            <v>0</v>
          </cell>
          <cell r="N71">
            <v>0</v>
          </cell>
          <cell r="O71">
            <v>16000</v>
          </cell>
          <cell r="P71">
            <v>692000</v>
          </cell>
          <cell r="Q71">
            <v>680000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3256000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463232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394000</v>
          </cell>
          <cell r="AJ71">
            <v>0</v>
          </cell>
          <cell r="AK71">
            <v>0</v>
          </cell>
          <cell r="AL71">
            <v>0</v>
          </cell>
          <cell r="AM71">
            <v>4980244</v>
          </cell>
          <cell r="AN71">
            <v>196168341</v>
          </cell>
          <cell r="AO71">
            <v>25993893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11776148</v>
          </cell>
          <cell r="AV71">
            <v>77980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-6880040</v>
          </cell>
          <cell r="BB71">
            <v>0</v>
          </cell>
          <cell r="BC71">
            <v>0</v>
          </cell>
          <cell r="BD71">
            <v>0</v>
          </cell>
          <cell r="BE71">
            <v>-1800</v>
          </cell>
          <cell r="BF71">
            <v>58696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5400000</v>
          </cell>
          <cell r="BN71">
            <v>0</v>
          </cell>
          <cell r="BO71">
            <v>0</v>
          </cell>
          <cell r="BP71">
            <v>0</v>
          </cell>
          <cell r="BQ71">
            <v>-16000</v>
          </cell>
          <cell r="BR71">
            <v>-692000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198000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2164000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248000</v>
          </cell>
          <cell r="CL71">
            <v>0</v>
          </cell>
          <cell r="CM71">
            <v>0</v>
          </cell>
          <cell r="CN71">
            <v>0</v>
          </cell>
          <cell r="CO71">
            <v>33600</v>
          </cell>
          <cell r="CP71">
            <v>1624800</v>
          </cell>
          <cell r="CQ71">
            <v>459050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150195</v>
          </cell>
          <cell r="CX71">
            <v>0</v>
          </cell>
          <cell r="CY71">
            <v>0</v>
          </cell>
          <cell r="CZ71">
            <v>0</v>
          </cell>
          <cell r="DA71">
            <v>-60000</v>
          </cell>
          <cell r="DB71">
            <v>-3270400</v>
          </cell>
          <cell r="DC71">
            <v>-609245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95000</v>
          </cell>
          <cell r="DJ71">
            <v>0</v>
          </cell>
          <cell r="DK71">
            <v>0</v>
          </cell>
          <cell r="DL71">
            <v>0</v>
          </cell>
          <cell r="DM71">
            <v>26400</v>
          </cell>
          <cell r="DN71">
            <v>1645600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190000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</row>
        <row r="72">
          <cell r="A72">
            <v>20</v>
          </cell>
          <cell r="B72">
            <v>37469</v>
          </cell>
          <cell r="C72">
            <v>0</v>
          </cell>
          <cell r="D72">
            <v>3247433</v>
          </cell>
          <cell r="E72">
            <v>2281906</v>
          </cell>
          <cell r="F72">
            <v>1600000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5847985</v>
          </cell>
          <cell r="L72">
            <v>0</v>
          </cell>
          <cell r="M72">
            <v>0</v>
          </cell>
          <cell r="N72">
            <v>0</v>
          </cell>
          <cell r="O72">
            <v>51200</v>
          </cell>
          <cell r="P72">
            <v>3103200</v>
          </cell>
          <cell r="Q72">
            <v>680000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3355000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463232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394000</v>
          </cell>
          <cell r="AJ72">
            <v>0</v>
          </cell>
          <cell r="AK72">
            <v>0</v>
          </cell>
          <cell r="AL72">
            <v>0</v>
          </cell>
          <cell r="AM72">
            <v>5683606</v>
          </cell>
          <cell r="AN72">
            <v>229160237</v>
          </cell>
          <cell r="AO72">
            <v>33052569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12421148</v>
          </cell>
          <cell r="AV72">
            <v>77980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-7425907</v>
          </cell>
          <cell r="BB72">
            <v>0</v>
          </cell>
          <cell r="BC72">
            <v>0</v>
          </cell>
          <cell r="BD72">
            <v>0</v>
          </cell>
          <cell r="BE72">
            <v>-5000</v>
          </cell>
          <cell r="BF72">
            <v>-226104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5880000</v>
          </cell>
          <cell r="BN72">
            <v>0</v>
          </cell>
          <cell r="BO72">
            <v>0</v>
          </cell>
          <cell r="BP72">
            <v>0</v>
          </cell>
          <cell r="BQ72">
            <v>-51200</v>
          </cell>
          <cell r="BR72">
            <v>-3103200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225000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2164000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248000</v>
          </cell>
          <cell r="CL72">
            <v>0</v>
          </cell>
          <cell r="CM72">
            <v>0</v>
          </cell>
          <cell r="CN72">
            <v>0</v>
          </cell>
          <cell r="CO72">
            <v>33600</v>
          </cell>
          <cell r="CP72">
            <v>1624800</v>
          </cell>
          <cell r="CQ72">
            <v>459050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150195</v>
          </cell>
          <cell r="CX72">
            <v>0</v>
          </cell>
          <cell r="CY72">
            <v>0</v>
          </cell>
          <cell r="CZ72">
            <v>0</v>
          </cell>
          <cell r="DA72">
            <v>-60000</v>
          </cell>
          <cell r="DB72">
            <v>-3270400</v>
          </cell>
          <cell r="DC72">
            <v>-609245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95000</v>
          </cell>
          <cell r="DJ72">
            <v>0</v>
          </cell>
          <cell r="DK72">
            <v>0</v>
          </cell>
          <cell r="DL72">
            <v>0</v>
          </cell>
          <cell r="DM72">
            <v>26400</v>
          </cell>
          <cell r="DN72">
            <v>1645600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285000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</row>
        <row r="73">
          <cell r="A73">
            <v>21</v>
          </cell>
          <cell r="B73">
            <v>37500</v>
          </cell>
          <cell r="C73">
            <v>0</v>
          </cell>
          <cell r="D73">
            <v>3736286</v>
          </cell>
          <cell r="E73">
            <v>2568931</v>
          </cell>
          <cell r="F73">
            <v>1800000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7017582</v>
          </cell>
          <cell r="L73">
            <v>0</v>
          </cell>
          <cell r="M73">
            <v>0</v>
          </cell>
          <cell r="N73">
            <v>0</v>
          </cell>
          <cell r="O73">
            <v>51200</v>
          </cell>
          <cell r="P73">
            <v>3103200</v>
          </cell>
          <cell r="Q73">
            <v>680000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3454000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463232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394000</v>
          </cell>
          <cell r="AJ73">
            <v>0</v>
          </cell>
          <cell r="AK73">
            <v>0</v>
          </cell>
          <cell r="AL73">
            <v>0</v>
          </cell>
          <cell r="AM73">
            <v>6307467</v>
          </cell>
          <cell r="AN73">
            <v>251605929</v>
          </cell>
          <cell r="AO73">
            <v>40143353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13066148</v>
          </cell>
          <cell r="AV73">
            <v>77980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-7968354</v>
          </cell>
          <cell r="BB73">
            <v>0</v>
          </cell>
          <cell r="BC73">
            <v>0</v>
          </cell>
          <cell r="BD73">
            <v>0</v>
          </cell>
          <cell r="BE73">
            <v>-5000</v>
          </cell>
          <cell r="BF73">
            <v>-226104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6360000</v>
          </cell>
          <cell r="BN73">
            <v>0</v>
          </cell>
          <cell r="BO73">
            <v>0</v>
          </cell>
          <cell r="BP73">
            <v>0</v>
          </cell>
          <cell r="BQ73">
            <v>-51200</v>
          </cell>
          <cell r="BR73">
            <v>-3103200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252000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2164000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248000</v>
          </cell>
          <cell r="CL73">
            <v>0</v>
          </cell>
          <cell r="CM73">
            <v>0</v>
          </cell>
          <cell r="CN73">
            <v>0</v>
          </cell>
          <cell r="CO73">
            <v>33600</v>
          </cell>
          <cell r="CP73">
            <v>1624800</v>
          </cell>
          <cell r="CQ73">
            <v>459050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150195</v>
          </cell>
          <cell r="CX73">
            <v>0</v>
          </cell>
          <cell r="CY73">
            <v>0</v>
          </cell>
          <cell r="CZ73">
            <v>0</v>
          </cell>
          <cell r="DA73">
            <v>-60000</v>
          </cell>
          <cell r="DB73">
            <v>-3270400</v>
          </cell>
          <cell r="DC73">
            <v>-609245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95000</v>
          </cell>
          <cell r="DJ73">
            <v>0</v>
          </cell>
          <cell r="DK73">
            <v>0</v>
          </cell>
          <cell r="DL73">
            <v>0</v>
          </cell>
          <cell r="DM73">
            <v>26400</v>
          </cell>
          <cell r="DN73">
            <v>1645600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380000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</row>
        <row r="74">
          <cell r="A74">
            <v>22</v>
          </cell>
          <cell r="B74">
            <v>37530</v>
          </cell>
          <cell r="C74">
            <v>0</v>
          </cell>
          <cell r="D74">
            <v>4336742</v>
          </cell>
          <cell r="E74">
            <v>2854366</v>
          </cell>
          <cell r="F74">
            <v>2000000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8187179</v>
          </cell>
          <cell r="L74">
            <v>0</v>
          </cell>
          <cell r="M74">
            <v>0</v>
          </cell>
          <cell r="N74">
            <v>0</v>
          </cell>
          <cell r="O74">
            <v>51200</v>
          </cell>
          <cell r="P74">
            <v>3103200</v>
          </cell>
          <cell r="Q74">
            <v>680000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3553000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463232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394000</v>
          </cell>
          <cell r="AJ74">
            <v>0</v>
          </cell>
          <cell r="AK74">
            <v>0</v>
          </cell>
          <cell r="AL74">
            <v>0</v>
          </cell>
          <cell r="AM74">
            <v>6874682</v>
          </cell>
          <cell r="AN74">
            <v>272253227</v>
          </cell>
          <cell r="AO74">
            <v>47234867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13711148</v>
          </cell>
          <cell r="AV74">
            <v>77980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-8510631</v>
          </cell>
          <cell r="BB74">
            <v>0</v>
          </cell>
          <cell r="BC74">
            <v>0</v>
          </cell>
          <cell r="BD74">
            <v>0</v>
          </cell>
          <cell r="BE74">
            <v>-5000</v>
          </cell>
          <cell r="BF74">
            <v>-226104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6840000</v>
          </cell>
          <cell r="BN74">
            <v>0</v>
          </cell>
          <cell r="BO74">
            <v>0</v>
          </cell>
          <cell r="BP74">
            <v>0</v>
          </cell>
          <cell r="BQ74">
            <v>-51200</v>
          </cell>
          <cell r="BR74">
            <v>-3103200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279000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2164000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248000</v>
          </cell>
          <cell r="CL74">
            <v>0</v>
          </cell>
          <cell r="CM74">
            <v>0</v>
          </cell>
          <cell r="CN74">
            <v>0</v>
          </cell>
          <cell r="CO74">
            <v>33600</v>
          </cell>
          <cell r="CP74">
            <v>1624800</v>
          </cell>
          <cell r="CQ74">
            <v>459050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150195</v>
          </cell>
          <cell r="CX74">
            <v>0</v>
          </cell>
          <cell r="CY74">
            <v>0</v>
          </cell>
          <cell r="CZ74">
            <v>0</v>
          </cell>
          <cell r="DA74">
            <v>-60000</v>
          </cell>
          <cell r="DB74">
            <v>-3270400</v>
          </cell>
          <cell r="DC74">
            <v>-609245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95000</v>
          </cell>
          <cell r="DJ74">
            <v>0</v>
          </cell>
          <cell r="DK74">
            <v>0</v>
          </cell>
          <cell r="DL74">
            <v>0</v>
          </cell>
          <cell r="DM74">
            <v>26400</v>
          </cell>
          <cell r="DN74">
            <v>1645600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475000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</row>
        <row r="75">
          <cell r="A75">
            <v>23</v>
          </cell>
          <cell r="B75">
            <v>37561</v>
          </cell>
          <cell r="C75">
            <v>0</v>
          </cell>
          <cell r="D75">
            <v>4660454</v>
          </cell>
          <cell r="E75">
            <v>3140542</v>
          </cell>
          <cell r="F75">
            <v>2200000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8187179</v>
          </cell>
          <cell r="L75">
            <v>0</v>
          </cell>
          <cell r="M75">
            <v>0</v>
          </cell>
          <cell r="N75">
            <v>0</v>
          </cell>
          <cell r="O75">
            <v>51200</v>
          </cell>
          <cell r="P75">
            <v>3103200</v>
          </cell>
          <cell r="Q75">
            <v>680000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3743000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463232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394000</v>
          </cell>
          <cell r="AJ75">
            <v>0</v>
          </cell>
          <cell r="AK75">
            <v>0</v>
          </cell>
          <cell r="AL75">
            <v>0</v>
          </cell>
          <cell r="AM75">
            <v>6913292</v>
          </cell>
          <cell r="AN75">
            <v>273757391</v>
          </cell>
          <cell r="AO75">
            <v>48532872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13779348</v>
          </cell>
          <cell r="AV75">
            <v>77980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-8801431</v>
          </cell>
          <cell r="BB75">
            <v>0</v>
          </cell>
          <cell r="BC75">
            <v>0</v>
          </cell>
          <cell r="BD75">
            <v>0</v>
          </cell>
          <cell r="BE75">
            <v>-5000</v>
          </cell>
          <cell r="BF75">
            <v>-226104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7365000</v>
          </cell>
          <cell r="BN75">
            <v>0</v>
          </cell>
          <cell r="BO75">
            <v>0</v>
          </cell>
          <cell r="BP75">
            <v>0</v>
          </cell>
          <cell r="BQ75">
            <v>-51200</v>
          </cell>
          <cell r="BR75">
            <v>-3103200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300250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2164000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248000</v>
          </cell>
          <cell r="CL75">
            <v>0</v>
          </cell>
          <cell r="CM75">
            <v>0</v>
          </cell>
          <cell r="CN75">
            <v>0</v>
          </cell>
          <cell r="CO75">
            <v>33600</v>
          </cell>
          <cell r="CP75">
            <v>1624800</v>
          </cell>
          <cell r="CQ75">
            <v>459050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150195</v>
          </cell>
          <cell r="CX75">
            <v>0</v>
          </cell>
          <cell r="CY75">
            <v>0</v>
          </cell>
          <cell r="CZ75">
            <v>0</v>
          </cell>
          <cell r="DA75">
            <v>-60000</v>
          </cell>
          <cell r="DB75">
            <v>-3270400</v>
          </cell>
          <cell r="DC75">
            <v>-609245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95000</v>
          </cell>
          <cell r="DJ75">
            <v>0</v>
          </cell>
          <cell r="DK75">
            <v>0</v>
          </cell>
          <cell r="DL75">
            <v>0</v>
          </cell>
          <cell r="DM75">
            <v>26400</v>
          </cell>
          <cell r="DN75">
            <v>1645600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475000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120000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</row>
        <row r="76">
          <cell r="A76">
            <v>24</v>
          </cell>
          <cell r="B76">
            <v>37591</v>
          </cell>
          <cell r="C76">
            <v>0</v>
          </cell>
          <cell r="D76">
            <v>5266848</v>
          </cell>
          <cell r="E76">
            <v>3427842</v>
          </cell>
          <cell r="F76">
            <v>2400000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8187179</v>
          </cell>
          <cell r="L76">
            <v>0</v>
          </cell>
          <cell r="M76">
            <v>0</v>
          </cell>
          <cell r="N76">
            <v>0</v>
          </cell>
          <cell r="O76">
            <v>51200</v>
          </cell>
          <cell r="P76">
            <v>3103200</v>
          </cell>
          <cell r="Q76">
            <v>680000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3933000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463232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394000</v>
          </cell>
          <cell r="AJ76">
            <v>0</v>
          </cell>
          <cell r="AK76">
            <v>0</v>
          </cell>
          <cell r="AL76">
            <v>0</v>
          </cell>
          <cell r="AM76">
            <v>7637012</v>
          </cell>
          <cell r="AN76">
            <v>302114538</v>
          </cell>
          <cell r="AO76">
            <v>49830877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13847548</v>
          </cell>
          <cell r="AV76">
            <v>77980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-9093465</v>
          </cell>
          <cell r="BB76">
            <v>0</v>
          </cell>
          <cell r="BC76">
            <v>0</v>
          </cell>
          <cell r="BD76">
            <v>0</v>
          </cell>
          <cell r="BE76">
            <v>-5000</v>
          </cell>
          <cell r="BF76">
            <v>-226104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7890000</v>
          </cell>
          <cell r="BN76">
            <v>0</v>
          </cell>
          <cell r="BO76">
            <v>0</v>
          </cell>
          <cell r="BP76">
            <v>0</v>
          </cell>
          <cell r="BQ76">
            <v>-51200</v>
          </cell>
          <cell r="BR76">
            <v>-3103200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321500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2164000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248000</v>
          </cell>
          <cell r="CL76">
            <v>0</v>
          </cell>
          <cell r="CM76">
            <v>0</v>
          </cell>
          <cell r="CN76">
            <v>0</v>
          </cell>
          <cell r="CO76">
            <v>33600</v>
          </cell>
          <cell r="CP76">
            <v>1624800</v>
          </cell>
          <cell r="CQ76">
            <v>459050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150195</v>
          </cell>
          <cell r="CX76">
            <v>0</v>
          </cell>
          <cell r="CY76">
            <v>0</v>
          </cell>
          <cell r="CZ76">
            <v>0</v>
          </cell>
          <cell r="DA76">
            <v>-60000</v>
          </cell>
          <cell r="DB76">
            <v>-3270400</v>
          </cell>
          <cell r="DC76">
            <v>-609245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95000</v>
          </cell>
          <cell r="DJ76">
            <v>0</v>
          </cell>
          <cell r="DK76">
            <v>0</v>
          </cell>
          <cell r="DL76">
            <v>0</v>
          </cell>
          <cell r="DM76">
            <v>26400</v>
          </cell>
          <cell r="DN76">
            <v>1645600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475000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240000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</row>
        <row r="77">
          <cell r="A77">
            <v>25</v>
          </cell>
          <cell r="C77">
            <v>0</v>
          </cell>
          <cell r="D77">
            <v>5266848</v>
          </cell>
          <cell r="E77">
            <v>3427842</v>
          </cell>
          <cell r="F77">
            <v>2400000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8187179</v>
          </cell>
          <cell r="L77">
            <v>0</v>
          </cell>
          <cell r="M77">
            <v>0</v>
          </cell>
          <cell r="N77">
            <v>0</v>
          </cell>
          <cell r="O77">
            <v>51200</v>
          </cell>
          <cell r="P77">
            <v>3103200</v>
          </cell>
          <cell r="Q77">
            <v>680000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3933000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A78">
            <v>26</v>
          </cell>
        </row>
        <row r="79">
          <cell r="A79">
            <v>27</v>
          </cell>
        </row>
        <row r="80">
          <cell r="A80">
            <v>28</v>
          </cell>
        </row>
        <row r="81">
          <cell r="A81">
            <v>29</v>
          </cell>
        </row>
        <row r="82">
          <cell r="A82">
            <v>30</v>
          </cell>
        </row>
        <row r="83">
          <cell r="A83">
            <v>31</v>
          </cell>
        </row>
        <row r="84">
          <cell r="A84">
            <v>32</v>
          </cell>
        </row>
        <row r="85">
          <cell r="A85">
            <v>33</v>
          </cell>
        </row>
        <row r="86">
          <cell r="A86">
            <v>34</v>
          </cell>
        </row>
        <row r="87">
          <cell r="A87">
            <v>35</v>
          </cell>
        </row>
        <row r="88">
          <cell r="A88">
            <v>36</v>
          </cell>
        </row>
      </sheetData>
      <sheetData sheetId="2">
        <row r="53">
          <cell r="A53">
            <v>1</v>
          </cell>
          <cell r="B53">
            <v>36892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300</v>
          </cell>
          <cell r="I53">
            <v>14360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2657</v>
          </cell>
          <cell r="O53">
            <v>17026</v>
          </cell>
          <cell r="P53">
            <v>0</v>
          </cell>
          <cell r="Q53">
            <v>3144</v>
          </cell>
          <cell r="R53">
            <v>47822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-650</v>
          </cell>
          <cell r="AG53">
            <v>-9311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</row>
        <row r="54">
          <cell r="A54">
            <v>2</v>
          </cell>
          <cell r="B54">
            <v>36923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1014</v>
          </cell>
          <cell r="I54">
            <v>35819</v>
          </cell>
          <cell r="J54">
            <v>0</v>
          </cell>
          <cell r="K54">
            <v>0</v>
          </cell>
          <cell r="L54">
            <v>-12330</v>
          </cell>
          <cell r="M54">
            <v>0</v>
          </cell>
          <cell r="N54">
            <v>52933</v>
          </cell>
          <cell r="O54">
            <v>1021523</v>
          </cell>
          <cell r="P54">
            <v>0</v>
          </cell>
          <cell r="Q54">
            <v>36736</v>
          </cell>
          <cell r="R54">
            <v>170030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-18309</v>
          </cell>
          <cell r="AG54">
            <v>-486243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</row>
        <row r="55">
          <cell r="A55">
            <v>3</v>
          </cell>
          <cell r="B55">
            <v>36951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1161</v>
          </cell>
          <cell r="I55">
            <v>48176</v>
          </cell>
          <cell r="J55">
            <v>0</v>
          </cell>
          <cell r="K55">
            <v>0</v>
          </cell>
          <cell r="L55">
            <v>-12330</v>
          </cell>
          <cell r="M55">
            <v>0</v>
          </cell>
          <cell r="N55">
            <v>70983</v>
          </cell>
          <cell r="O55">
            <v>1448678</v>
          </cell>
          <cell r="P55">
            <v>0</v>
          </cell>
          <cell r="Q55">
            <v>50649</v>
          </cell>
          <cell r="R55">
            <v>188884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-23756</v>
          </cell>
          <cell r="AG55">
            <v>-618936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</row>
        <row r="56">
          <cell r="A56">
            <v>4</v>
          </cell>
          <cell r="B56">
            <v>36982</v>
          </cell>
          <cell r="C56">
            <v>0</v>
          </cell>
          <cell r="D56">
            <v>-1110149</v>
          </cell>
          <cell r="E56">
            <v>0</v>
          </cell>
          <cell r="F56">
            <v>0</v>
          </cell>
          <cell r="G56">
            <v>0</v>
          </cell>
          <cell r="H56">
            <v>1161</v>
          </cell>
          <cell r="I56">
            <v>48529</v>
          </cell>
          <cell r="J56">
            <v>0</v>
          </cell>
          <cell r="K56">
            <v>0</v>
          </cell>
          <cell r="L56">
            <v>-12330</v>
          </cell>
          <cell r="M56">
            <v>0</v>
          </cell>
          <cell r="N56">
            <v>71858</v>
          </cell>
          <cell r="O56">
            <v>1467495</v>
          </cell>
          <cell r="P56">
            <v>0</v>
          </cell>
          <cell r="Q56">
            <v>53332</v>
          </cell>
          <cell r="R56">
            <v>168557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-24181</v>
          </cell>
          <cell r="AG56">
            <v>-624436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</row>
        <row r="57">
          <cell r="A57">
            <v>5</v>
          </cell>
          <cell r="B57">
            <v>37012</v>
          </cell>
          <cell r="C57">
            <v>0</v>
          </cell>
          <cell r="D57">
            <v>-1110149</v>
          </cell>
          <cell r="E57">
            <v>0</v>
          </cell>
          <cell r="F57">
            <v>0</v>
          </cell>
          <cell r="G57">
            <v>0</v>
          </cell>
          <cell r="H57">
            <v>1161</v>
          </cell>
          <cell r="I57">
            <v>48656</v>
          </cell>
          <cell r="J57">
            <v>-7443</v>
          </cell>
          <cell r="K57">
            <v>0</v>
          </cell>
          <cell r="L57">
            <v>-12330</v>
          </cell>
          <cell r="M57">
            <v>0</v>
          </cell>
          <cell r="N57">
            <v>73177</v>
          </cell>
          <cell r="O57">
            <v>1489936</v>
          </cell>
          <cell r="P57">
            <v>0</v>
          </cell>
          <cell r="Q57">
            <v>56202</v>
          </cell>
          <cell r="R57">
            <v>173653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-24779</v>
          </cell>
          <cell r="AG57">
            <v>-637504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</row>
        <row r="58">
          <cell r="A58">
            <v>6</v>
          </cell>
          <cell r="B58">
            <v>37043</v>
          </cell>
          <cell r="C58">
            <v>10400</v>
          </cell>
          <cell r="D58">
            <v>-310795</v>
          </cell>
          <cell r="E58">
            <v>0</v>
          </cell>
          <cell r="F58">
            <v>0</v>
          </cell>
          <cell r="G58">
            <v>0</v>
          </cell>
          <cell r="H58">
            <v>9890</v>
          </cell>
          <cell r="I58">
            <v>352036</v>
          </cell>
          <cell r="J58">
            <v>-7443</v>
          </cell>
          <cell r="K58">
            <v>0</v>
          </cell>
          <cell r="L58">
            <v>-12330</v>
          </cell>
          <cell r="M58">
            <v>0</v>
          </cell>
          <cell r="N58">
            <v>81502</v>
          </cell>
          <cell r="O58">
            <v>2037635</v>
          </cell>
          <cell r="P58">
            <v>0</v>
          </cell>
          <cell r="Q58">
            <v>60725</v>
          </cell>
          <cell r="R58">
            <v>209699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-25779</v>
          </cell>
          <cell r="AG58">
            <v>-670164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</row>
        <row r="59">
          <cell r="A59">
            <v>7</v>
          </cell>
          <cell r="B59">
            <v>37073</v>
          </cell>
          <cell r="C59">
            <v>14600</v>
          </cell>
          <cell r="D59">
            <v>65816</v>
          </cell>
          <cell r="E59">
            <v>0</v>
          </cell>
          <cell r="F59">
            <v>0</v>
          </cell>
          <cell r="G59">
            <v>0</v>
          </cell>
          <cell r="H59">
            <v>9890</v>
          </cell>
          <cell r="I59">
            <v>363899</v>
          </cell>
          <cell r="J59">
            <v>-7443</v>
          </cell>
          <cell r="K59">
            <v>0</v>
          </cell>
          <cell r="L59">
            <v>-12330</v>
          </cell>
          <cell r="M59">
            <v>0</v>
          </cell>
          <cell r="N59">
            <v>88277</v>
          </cell>
          <cell r="O59">
            <v>2368078</v>
          </cell>
          <cell r="P59">
            <v>0</v>
          </cell>
          <cell r="Q59">
            <v>76791</v>
          </cell>
          <cell r="R59">
            <v>527474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-25779</v>
          </cell>
          <cell r="AG59">
            <v>-667540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</row>
        <row r="60">
          <cell r="A60">
            <v>8</v>
          </cell>
          <cell r="B60">
            <v>37104</v>
          </cell>
          <cell r="C60">
            <v>105516</v>
          </cell>
          <cell r="D60">
            <v>9285130</v>
          </cell>
          <cell r="E60">
            <v>0</v>
          </cell>
          <cell r="F60">
            <v>0</v>
          </cell>
          <cell r="G60">
            <v>0</v>
          </cell>
          <cell r="H60">
            <v>14268</v>
          </cell>
          <cell r="I60">
            <v>635240</v>
          </cell>
          <cell r="J60">
            <v>-7443</v>
          </cell>
          <cell r="K60">
            <v>0</v>
          </cell>
          <cell r="L60">
            <v>-12330</v>
          </cell>
          <cell r="M60">
            <v>0</v>
          </cell>
          <cell r="N60">
            <v>104076</v>
          </cell>
          <cell r="O60">
            <v>2915337</v>
          </cell>
          <cell r="P60">
            <v>0</v>
          </cell>
          <cell r="Q60">
            <v>95698</v>
          </cell>
          <cell r="R60">
            <v>621340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-25779</v>
          </cell>
          <cell r="AG60">
            <v>-667540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</row>
        <row r="61">
          <cell r="A61">
            <v>9</v>
          </cell>
          <cell r="B61">
            <v>37135</v>
          </cell>
          <cell r="C61">
            <v>105516</v>
          </cell>
          <cell r="D61">
            <v>9285130</v>
          </cell>
          <cell r="E61">
            <v>0</v>
          </cell>
          <cell r="F61">
            <v>0</v>
          </cell>
          <cell r="G61">
            <v>0</v>
          </cell>
          <cell r="H61">
            <v>14918</v>
          </cell>
          <cell r="I61">
            <v>683357</v>
          </cell>
          <cell r="J61">
            <v>-7443</v>
          </cell>
          <cell r="K61">
            <v>0</v>
          </cell>
          <cell r="L61">
            <v>-12330</v>
          </cell>
          <cell r="M61">
            <v>0</v>
          </cell>
          <cell r="N61">
            <v>105526</v>
          </cell>
          <cell r="O61">
            <v>2946724</v>
          </cell>
          <cell r="P61">
            <v>0</v>
          </cell>
          <cell r="Q61">
            <v>91862</v>
          </cell>
          <cell r="R61">
            <v>634257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-25779</v>
          </cell>
          <cell r="AG61">
            <v>-667540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</row>
        <row r="62">
          <cell r="A62">
            <v>10</v>
          </cell>
          <cell r="B62">
            <v>37165</v>
          </cell>
          <cell r="C62">
            <v>105516</v>
          </cell>
          <cell r="D62">
            <v>9285130</v>
          </cell>
          <cell r="E62">
            <v>0</v>
          </cell>
          <cell r="F62">
            <v>0</v>
          </cell>
          <cell r="G62">
            <v>0</v>
          </cell>
          <cell r="H62">
            <v>14918</v>
          </cell>
          <cell r="I62">
            <v>725427</v>
          </cell>
          <cell r="J62">
            <v>-7443</v>
          </cell>
          <cell r="K62">
            <v>0</v>
          </cell>
          <cell r="L62">
            <v>-12330</v>
          </cell>
          <cell r="M62">
            <v>0</v>
          </cell>
          <cell r="N62">
            <v>108451</v>
          </cell>
          <cell r="O62">
            <v>3001756</v>
          </cell>
          <cell r="P62">
            <v>0</v>
          </cell>
          <cell r="Q62">
            <v>96183</v>
          </cell>
          <cell r="R62">
            <v>657050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-26079</v>
          </cell>
          <cell r="AG62">
            <v>-675759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</row>
        <row r="63">
          <cell r="A63">
            <v>11</v>
          </cell>
          <cell r="B63">
            <v>37196</v>
          </cell>
          <cell r="C63">
            <v>105516</v>
          </cell>
          <cell r="D63">
            <v>9285130</v>
          </cell>
          <cell r="E63">
            <v>0</v>
          </cell>
          <cell r="F63">
            <v>0</v>
          </cell>
          <cell r="G63">
            <v>0</v>
          </cell>
          <cell r="H63">
            <v>18018</v>
          </cell>
          <cell r="I63">
            <v>852707</v>
          </cell>
          <cell r="J63">
            <v>-7443</v>
          </cell>
          <cell r="K63">
            <v>0</v>
          </cell>
          <cell r="L63">
            <v>-12330</v>
          </cell>
          <cell r="M63">
            <v>0</v>
          </cell>
          <cell r="N63">
            <v>114751</v>
          </cell>
          <cell r="O63">
            <v>3128715</v>
          </cell>
          <cell r="P63">
            <v>0</v>
          </cell>
          <cell r="Q63">
            <v>98794</v>
          </cell>
          <cell r="R63">
            <v>671425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-26079</v>
          </cell>
          <cell r="AG63">
            <v>-675759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</row>
        <row r="64">
          <cell r="A64">
            <v>12</v>
          </cell>
          <cell r="B64">
            <v>37226</v>
          </cell>
          <cell r="C64">
            <v>105516</v>
          </cell>
          <cell r="D64">
            <v>9285130</v>
          </cell>
          <cell r="E64">
            <v>0</v>
          </cell>
          <cell r="F64">
            <v>0</v>
          </cell>
          <cell r="G64">
            <v>0</v>
          </cell>
          <cell r="H64">
            <v>19118</v>
          </cell>
          <cell r="I64">
            <v>894778</v>
          </cell>
          <cell r="J64">
            <v>-7443</v>
          </cell>
          <cell r="K64">
            <v>0</v>
          </cell>
          <cell r="L64">
            <v>-12330</v>
          </cell>
          <cell r="M64">
            <v>0</v>
          </cell>
          <cell r="N64">
            <v>121851</v>
          </cell>
          <cell r="O64">
            <v>3283533</v>
          </cell>
          <cell r="P64">
            <v>0</v>
          </cell>
          <cell r="Q64">
            <v>105606</v>
          </cell>
          <cell r="R64">
            <v>694914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-26079</v>
          </cell>
          <cell r="AG64">
            <v>-676084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</row>
        <row r="65">
          <cell r="A65">
            <v>13</v>
          </cell>
          <cell r="B65">
            <v>37257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1100</v>
          </cell>
          <cell r="I65">
            <v>58205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17250</v>
          </cell>
          <cell r="O65">
            <v>373738</v>
          </cell>
          <cell r="P65">
            <v>0</v>
          </cell>
          <cell r="Q65">
            <v>9335</v>
          </cell>
          <cell r="R65">
            <v>73915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</row>
        <row r="66">
          <cell r="A66">
            <v>14</v>
          </cell>
          <cell r="B66">
            <v>37288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1400</v>
          </cell>
          <cell r="I66">
            <v>71875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20850</v>
          </cell>
          <cell r="O66">
            <v>454939</v>
          </cell>
          <cell r="P66">
            <v>0</v>
          </cell>
          <cell r="Q66">
            <v>14617</v>
          </cell>
          <cell r="R66">
            <v>50622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</row>
        <row r="67">
          <cell r="A67">
            <v>15</v>
          </cell>
          <cell r="B67">
            <v>37316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2100</v>
          </cell>
          <cell r="I67">
            <v>103154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23800</v>
          </cell>
          <cell r="O67">
            <v>530730</v>
          </cell>
          <cell r="P67">
            <v>0</v>
          </cell>
          <cell r="Q67">
            <v>17191</v>
          </cell>
          <cell r="R67">
            <v>56466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</row>
        <row r="68">
          <cell r="A68">
            <v>16</v>
          </cell>
          <cell r="B68">
            <v>37347</v>
          </cell>
          <cell r="C68">
            <v>10</v>
          </cell>
          <cell r="D68">
            <v>510</v>
          </cell>
          <cell r="E68">
            <v>0</v>
          </cell>
          <cell r="F68">
            <v>0</v>
          </cell>
          <cell r="G68">
            <v>0</v>
          </cell>
          <cell r="H68">
            <v>3100</v>
          </cell>
          <cell r="I68">
            <v>145920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26760</v>
          </cell>
          <cell r="O68">
            <v>619549</v>
          </cell>
          <cell r="P68">
            <v>0</v>
          </cell>
          <cell r="Q68">
            <v>21744</v>
          </cell>
          <cell r="R68">
            <v>62286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</row>
        <row r="69">
          <cell r="A69">
            <v>17</v>
          </cell>
          <cell r="B69">
            <v>37377</v>
          </cell>
          <cell r="C69">
            <v>10</v>
          </cell>
          <cell r="D69">
            <v>510</v>
          </cell>
          <cell r="E69">
            <v>0</v>
          </cell>
          <cell r="F69">
            <v>0</v>
          </cell>
          <cell r="G69">
            <v>0</v>
          </cell>
          <cell r="H69">
            <v>6750</v>
          </cell>
          <cell r="I69">
            <v>315196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28560</v>
          </cell>
          <cell r="O69">
            <v>663519</v>
          </cell>
          <cell r="P69">
            <v>0</v>
          </cell>
          <cell r="Q69">
            <v>25007</v>
          </cell>
          <cell r="R69">
            <v>71724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</row>
        <row r="70">
          <cell r="A70">
            <v>18</v>
          </cell>
          <cell r="B70">
            <v>37408</v>
          </cell>
          <cell r="C70">
            <v>18410</v>
          </cell>
          <cell r="D70">
            <v>1513058</v>
          </cell>
          <cell r="E70">
            <v>0</v>
          </cell>
          <cell r="F70">
            <v>0</v>
          </cell>
          <cell r="G70">
            <v>0</v>
          </cell>
          <cell r="H70">
            <v>10350</v>
          </cell>
          <cell r="I70">
            <v>460234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33160</v>
          </cell>
          <cell r="O70">
            <v>821850</v>
          </cell>
          <cell r="P70">
            <v>0</v>
          </cell>
          <cell r="Q70">
            <v>29824</v>
          </cell>
          <cell r="R70">
            <v>83009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</row>
        <row r="71">
          <cell r="A71">
            <v>19</v>
          </cell>
          <cell r="B71">
            <v>37438</v>
          </cell>
          <cell r="C71">
            <v>43610</v>
          </cell>
          <cell r="D71">
            <v>3948450</v>
          </cell>
          <cell r="E71">
            <v>0</v>
          </cell>
          <cell r="F71">
            <v>0</v>
          </cell>
          <cell r="G71">
            <v>0</v>
          </cell>
          <cell r="H71">
            <v>14150</v>
          </cell>
          <cell r="I71">
            <v>688580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41935</v>
          </cell>
          <cell r="O71">
            <v>1296381</v>
          </cell>
          <cell r="P71">
            <v>0</v>
          </cell>
          <cell r="Q71">
            <v>34537</v>
          </cell>
          <cell r="R71">
            <v>77992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</row>
        <row r="72">
          <cell r="A72">
            <v>20</v>
          </cell>
          <cell r="B72">
            <v>37469</v>
          </cell>
          <cell r="C72">
            <v>92410</v>
          </cell>
          <cell r="D72">
            <v>9288514</v>
          </cell>
          <cell r="E72">
            <v>0</v>
          </cell>
          <cell r="F72">
            <v>0</v>
          </cell>
          <cell r="G72">
            <v>0</v>
          </cell>
          <cell r="H72">
            <v>16150</v>
          </cell>
          <cell r="I72">
            <v>822839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46485</v>
          </cell>
          <cell r="O72">
            <v>1583188</v>
          </cell>
          <cell r="P72">
            <v>0</v>
          </cell>
          <cell r="Q72">
            <v>44121</v>
          </cell>
          <cell r="R72">
            <v>27703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</row>
        <row r="73">
          <cell r="A73">
            <v>21</v>
          </cell>
          <cell r="B73">
            <v>37500</v>
          </cell>
          <cell r="C73">
            <v>92410</v>
          </cell>
          <cell r="D73">
            <v>9259250</v>
          </cell>
          <cell r="E73">
            <v>0</v>
          </cell>
          <cell r="F73">
            <v>0</v>
          </cell>
          <cell r="G73">
            <v>0</v>
          </cell>
          <cell r="H73">
            <v>16150</v>
          </cell>
          <cell r="I73">
            <v>860553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48935</v>
          </cell>
          <cell r="O73">
            <v>1751822</v>
          </cell>
          <cell r="P73">
            <v>0</v>
          </cell>
          <cell r="Q73">
            <v>47456</v>
          </cell>
          <cell r="R73">
            <v>-22828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</row>
        <row r="74">
          <cell r="A74">
            <v>22</v>
          </cell>
          <cell r="B74">
            <v>37530</v>
          </cell>
          <cell r="C74">
            <v>92410</v>
          </cell>
          <cell r="D74">
            <v>9259250</v>
          </cell>
          <cell r="E74">
            <v>0</v>
          </cell>
          <cell r="F74">
            <v>0</v>
          </cell>
          <cell r="G74">
            <v>0</v>
          </cell>
          <cell r="H74">
            <v>18150</v>
          </cell>
          <cell r="I74">
            <v>974904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52035</v>
          </cell>
          <cell r="O74">
            <v>1852501</v>
          </cell>
          <cell r="P74">
            <v>0</v>
          </cell>
          <cell r="Q74">
            <v>49194</v>
          </cell>
          <cell r="R74">
            <v>-17347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</row>
        <row r="75">
          <cell r="A75">
            <v>23</v>
          </cell>
          <cell r="B75">
            <v>37561</v>
          </cell>
          <cell r="C75">
            <v>92410</v>
          </cell>
          <cell r="D75">
            <v>9259250</v>
          </cell>
          <cell r="E75">
            <v>0</v>
          </cell>
          <cell r="F75">
            <v>0</v>
          </cell>
          <cell r="G75">
            <v>0</v>
          </cell>
          <cell r="H75">
            <v>19550</v>
          </cell>
          <cell r="I75">
            <v>1039325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54285</v>
          </cell>
          <cell r="O75">
            <v>1950317</v>
          </cell>
          <cell r="P75">
            <v>0</v>
          </cell>
          <cell r="Q75">
            <v>53161</v>
          </cell>
          <cell r="R75">
            <v>-20517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</row>
        <row r="76">
          <cell r="A76">
            <v>24</v>
          </cell>
          <cell r="B76">
            <v>37591</v>
          </cell>
          <cell r="C76">
            <v>92410</v>
          </cell>
          <cell r="D76">
            <v>9259250</v>
          </cell>
          <cell r="E76">
            <v>0</v>
          </cell>
          <cell r="F76">
            <v>0</v>
          </cell>
          <cell r="G76">
            <v>0</v>
          </cell>
          <cell r="H76">
            <v>19550</v>
          </cell>
          <cell r="I76">
            <v>1046685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54285</v>
          </cell>
          <cell r="O76">
            <v>1941501</v>
          </cell>
          <cell r="P76">
            <v>0</v>
          </cell>
          <cell r="Q76">
            <v>51924</v>
          </cell>
          <cell r="R76">
            <v>-3870</v>
          </cell>
          <cell r="S76">
            <v>0</v>
          </cell>
          <cell r="T76">
            <v>6838</v>
          </cell>
          <cell r="U76">
            <v>872201</v>
          </cell>
          <cell r="V76">
            <v>0</v>
          </cell>
          <cell r="W76">
            <v>107963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</row>
        <row r="77">
          <cell r="A77">
            <v>25</v>
          </cell>
        </row>
        <row r="78">
          <cell r="A78">
            <v>26</v>
          </cell>
        </row>
        <row r="79">
          <cell r="A79">
            <v>27</v>
          </cell>
        </row>
        <row r="80">
          <cell r="A80">
            <v>28</v>
          </cell>
        </row>
        <row r="81">
          <cell r="A81">
            <v>29</v>
          </cell>
        </row>
        <row r="82">
          <cell r="A82">
            <v>30</v>
          </cell>
        </row>
        <row r="83">
          <cell r="A83">
            <v>31</v>
          </cell>
        </row>
        <row r="84">
          <cell r="A84">
            <v>32</v>
          </cell>
        </row>
        <row r="85">
          <cell r="A85">
            <v>33</v>
          </cell>
        </row>
        <row r="86">
          <cell r="A86">
            <v>34</v>
          </cell>
        </row>
        <row r="87">
          <cell r="A87">
            <v>35</v>
          </cell>
        </row>
        <row r="88">
          <cell r="A88">
            <v>36</v>
          </cell>
        </row>
      </sheetData>
      <sheetData sheetId="3">
        <row r="52">
          <cell r="A52">
            <v>1</v>
          </cell>
          <cell r="B52">
            <v>36892</v>
          </cell>
          <cell r="C52">
            <v>365695</v>
          </cell>
          <cell r="D52">
            <v>34386413</v>
          </cell>
          <cell r="E52">
            <v>0</v>
          </cell>
          <cell r="F52">
            <v>0</v>
          </cell>
          <cell r="G52">
            <v>7567732</v>
          </cell>
          <cell r="H52">
            <v>0</v>
          </cell>
          <cell r="I52">
            <v>59216</v>
          </cell>
          <cell r="J52">
            <v>2053298</v>
          </cell>
          <cell r="K52">
            <v>2317709</v>
          </cell>
          <cell r="L52">
            <v>432037</v>
          </cell>
          <cell r="M52">
            <v>2185093</v>
          </cell>
          <cell r="N52">
            <v>0</v>
          </cell>
          <cell r="O52">
            <v>12800</v>
          </cell>
          <cell r="P52">
            <v>851200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-1010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170166</v>
          </cell>
          <cell r="AB52">
            <v>9982703</v>
          </cell>
          <cell r="AC52">
            <v>3847305</v>
          </cell>
          <cell r="AD52">
            <v>0</v>
          </cell>
          <cell r="AE52">
            <v>0</v>
          </cell>
          <cell r="AF52">
            <v>0</v>
          </cell>
          <cell r="AG52">
            <v>27922</v>
          </cell>
          <cell r="AH52">
            <v>1135119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178264</v>
          </cell>
          <cell r="AN52">
            <v>8494810</v>
          </cell>
          <cell r="AO52">
            <v>4045753</v>
          </cell>
          <cell r="AP52">
            <v>719509</v>
          </cell>
          <cell r="AQ52">
            <v>2819509</v>
          </cell>
          <cell r="AR52">
            <v>0</v>
          </cell>
          <cell r="AS52">
            <v>0</v>
          </cell>
          <cell r="AT52">
            <v>0</v>
          </cell>
          <cell r="AU52">
            <v>10404004</v>
          </cell>
          <cell r="AV52">
            <v>0</v>
          </cell>
          <cell r="AW52">
            <v>0</v>
          </cell>
          <cell r="AX52">
            <v>0</v>
          </cell>
          <cell r="AY52">
            <v>255</v>
          </cell>
          <cell r="AZ52">
            <v>12897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6708</v>
          </cell>
          <cell r="BF52">
            <v>110581</v>
          </cell>
          <cell r="BG52">
            <v>140020</v>
          </cell>
          <cell r="BH52">
            <v>0</v>
          </cell>
          <cell r="BI52">
            <v>135125</v>
          </cell>
          <cell r="BJ52">
            <v>6308</v>
          </cell>
          <cell r="BK52">
            <v>3072</v>
          </cell>
          <cell r="BL52">
            <v>202752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</row>
        <row r="53">
          <cell r="A53">
            <v>2</v>
          </cell>
          <cell r="B53">
            <v>36923</v>
          </cell>
          <cell r="C53">
            <v>646265</v>
          </cell>
          <cell r="D53">
            <v>76013465</v>
          </cell>
          <cell r="E53">
            <v>0</v>
          </cell>
          <cell r="F53">
            <v>0</v>
          </cell>
          <cell r="G53">
            <v>14403102</v>
          </cell>
          <cell r="H53">
            <v>0</v>
          </cell>
          <cell r="I53">
            <v>77377</v>
          </cell>
          <cell r="J53">
            <v>3385494</v>
          </cell>
          <cell r="K53">
            <v>4409269</v>
          </cell>
          <cell r="L53">
            <v>822608</v>
          </cell>
          <cell r="M53">
            <v>4161965</v>
          </cell>
          <cell r="N53">
            <v>0</v>
          </cell>
          <cell r="O53">
            <v>14400</v>
          </cell>
          <cell r="P53">
            <v>929200</v>
          </cell>
          <cell r="Q53">
            <v>438240</v>
          </cell>
          <cell r="R53">
            <v>0</v>
          </cell>
          <cell r="S53">
            <v>0</v>
          </cell>
          <cell r="T53">
            <v>0</v>
          </cell>
          <cell r="U53">
            <v>26</v>
          </cell>
          <cell r="V53">
            <v>549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324549</v>
          </cell>
          <cell r="AB53">
            <v>17219453</v>
          </cell>
          <cell r="AC53">
            <v>7913290</v>
          </cell>
          <cell r="AD53">
            <v>0</v>
          </cell>
          <cell r="AE53">
            <v>0</v>
          </cell>
          <cell r="AF53">
            <v>0</v>
          </cell>
          <cell r="AG53">
            <v>54713</v>
          </cell>
          <cell r="AH53">
            <v>2356595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325894</v>
          </cell>
          <cell r="AN53">
            <v>13893476</v>
          </cell>
          <cell r="AO53">
            <v>8107972</v>
          </cell>
          <cell r="AP53">
            <v>1441752</v>
          </cell>
          <cell r="AQ53">
            <v>5641752</v>
          </cell>
          <cell r="AR53">
            <v>0</v>
          </cell>
          <cell r="AS53">
            <v>0</v>
          </cell>
          <cell r="AT53">
            <v>0</v>
          </cell>
          <cell r="AU53">
            <v>20764914</v>
          </cell>
          <cell r="AV53">
            <v>0</v>
          </cell>
          <cell r="AW53">
            <v>0</v>
          </cell>
          <cell r="AX53">
            <v>0</v>
          </cell>
          <cell r="AY53">
            <v>899</v>
          </cell>
          <cell r="AZ53">
            <v>41705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15329</v>
          </cell>
          <cell r="BF53">
            <v>303549</v>
          </cell>
          <cell r="BG53">
            <v>352385</v>
          </cell>
          <cell r="BH53">
            <v>41532</v>
          </cell>
          <cell r="BI53">
            <v>296892</v>
          </cell>
          <cell r="BJ53">
            <v>6308</v>
          </cell>
          <cell r="BK53">
            <v>3072</v>
          </cell>
          <cell r="BL53">
            <v>202752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</row>
        <row r="54">
          <cell r="A54">
            <v>3</v>
          </cell>
          <cell r="B54">
            <v>36951</v>
          </cell>
          <cell r="C54">
            <v>973558</v>
          </cell>
          <cell r="D54">
            <v>94040113</v>
          </cell>
          <cell r="E54">
            <v>0</v>
          </cell>
          <cell r="F54">
            <v>0</v>
          </cell>
          <cell r="G54">
            <v>22060296</v>
          </cell>
          <cell r="H54">
            <v>0</v>
          </cell>
          <cell r="I54">
            <v>97806</v>
          </cell>
          <cell r="J54">
            <v>4476344</v>
          </cell>
          <cell r="K54">
            <v>6726978</v>
          </cell>
          <cell r="L54">
            <v>1253815</v>
          </cell>
          <cell r="M54">
            <v>6349212</v>
          </cell>
          <cell r="N54">
            <v>40955</v>
          </cell>
          <cell r="O54">
            <v>14400</v>
          </cell>
          <cell r="P54">
            <v>929200</v>
          </cell>
          <cell r="Q54">
            <v>438240</v>
          </cell>
          <cell r="R54">
            <v>0</v>
          </cell>
          <cell r="S54">
            <v>0</v>
          </cell>
          <cell r="T54">
            <v>0</v>
          </cell>
          <cell r="U54">
            <v>181</v>
          </cell>
          <cell r="V54">
            <v>7805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495234</v>
          </cell>
          <cell r="AB54">
            <v>23825944</v>
          </cell>
          <cell r="AC54">
            <v>11832590</v>
          </cell>
          <cell r="AD54">
            <v>0</v>
          </cell>
          <cell r="AE54">
            <v>0</v>
          </cell>
          <cell r="AF54">
            <v>0</v>
          </cell>
          <cell r="AG54">
            <v>85378</v>
          </cell>
          <cell r="AH54">
            <v>3645242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512738</v>
          </cell>
          <cell r="AN54">
            <v>20022619</v>
          </cell>
          <cell r="AO54">
            <v>12186724</v>
          </cell>
          <cell r="AP54">
            <v>2165558</v>
          </cell>
          <cell r="AQ54">
            <v>8465558</v>
          </cell>
          <cell r="AR54">
            <v>356359</v>
          </cell>
          <cell r="AS54">
            <v>0</v>
          </cell>
          <cell r="AT54">
            <v>-500</v>
          </cell>
          <cell r="AU54">
            <v>31131593</v>
          </cell>
          <cell r="AV54">
            <v>0</v>
          </cell>
          <cell r="AW54">
            <v>0</v>
          </cell>
          <cell r="AX54">
            <v>0</v>
          </cell>
          <cell r="AY54">
            <v>1422</v>
          </cell>
          <cell r="AZ54">
            <v>69463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22876</v>
          </cell>
          <cell r="BF54">
            <v>511057</v>
          </cell>
          <cell r="BG54">
            <v>532541</v>
          </cell>
          <cell r="BH54">
            <v>76829</v>
          </cell>
          <cell r="BI54">
            <v>434536</v>
          </cell>
          <cell r="BJ54">
            <v>9059</v>
          </cell>
          <cell r="BK54">
            <v>3072</v>
          </cell>
          <cell r="BL54">
            <v>202752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</row>
        <row r="55">
          <cell r="A55">
            <v>4</v>
          </cell>
          <cell r="B55">
            <v>36982</v>
          </cell>
          <cell r="C55">
            <v>1252792</v>
          </cell>
          <cell r="D55">
            <v>117116725</v>
          </cell>
          <cell r="E55">
            <v>0</v>
          </cell>
          <cell r="F55">
            <v>0</v>
          </cell>
          <cell r="G55">
            <v>29373736</v>
          </cell>
          <cell r="H55">
            <v>0</v>
          </cell>
          <cell r="I55">
            <v>178710</v>
          </cell>
          <cell r="J55">
            <v>7672726</v>
          </cell>
          <cell r="K55">
            <v>8966807</v>
          </cell>
          <cell r="L55">
            <v>1674163</v>
          </cell>
          <cell r="M55">
            <v>8479211</v>
          </cell>
          <cell r="N55">
            <v>40955</v>
          </cell>
          <cell r="O55">
            <v>14400</v>
          </cell>
          <cell r="P55">
            <v>929200</v>
          </cell>
          <cell r="Q55">
            <v>438240</v>
          </cell>
          <cell r="R55">
            <v>0</v>
          </cell>
          <cell r="S55">
            <v>0</v>
          </cell>
          <cell r="T55">
            <v>0</v>
          </cell>
          <cell r="U55">
            <v>181</v>
          </cell>
          <cell r="V55">
            <v>7805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676668</v>
          </cell>
          <cell r="AB55">
            <v>31289425</v>
          </cell>
          <cell r="AC55">
            <v>15507800</v>
          </cell>
          <cell r="AD55">
            <v>0</v>
          </cell>
          <cell r="AE55">
            <v>0</v>
          </cell>
          <cell r="AF55">
            <v>0</v>
          </cell>
          <cell r="AG55">
            <v>118753</v>
          </cell>
          <cell r="AH55">
            <v>5503028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547943</v>
          </cell>
          <cell r="AN55">
            <v>21355633</v>
          </cell>
          <cell r="AO55">
            <v>16282076</v>
          </cell>
          <cell r="AP55">
            <v>2893660</v>
          </cell>
          <cell r="AQ55">
            <v>11293660</v>
          </cell>
          <cell r="AR55">
            <v>356359</v>
          </cell>
          <cell r="AS55">
            <v>0</v>
          </cell>
          <cell r="AT55">
            <v>-500</v>
          </cell>
          <cell r="AU55">
            <v>41498272</v>
          </cell>
          <cell r="AV55">
            <v>0</v>
          </cell>
          <cell r="AW55">
            <v>0</v>
          </cell>
          <cell r="AX55">
            <v>0</v>
          </cell>
          <cell r="AY55">
            <v>2053</v>
          </cell>
          <cell r="AZ55">
            <v>106066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31543</v>
          </cell>
          <cell r="BF55">
            <v>745900</v>
          </cell>
          <cell r="BG55">
            <v>819422</v>
          </cell>
          <cell r="BH55">
            <v>133228</v>
          </cell>
          <cell r="BI55">
            <v>654959</v>
          </cell>
          <cell r="BJ55">
            <v>9059</v>
          </cell>
          <cell r="BK55">
            <v>3072</v>
          </cell>
          <cell r="BL55">
            <v>202752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</row>
        <row r="56">
          <cell r="A56">
            <v>5</v>
          </cell>
          <cell r="B56">
            <v>37012</v>
          </cell>
          <cell r="C56">
            <v>1574251</v>
          </cell>
          <cell r="D56">
            <v>146831303</v>
          </cell>
          <cell r="E56">
            <v>0</v>
          </cell>
          <cell r="F56">
            <v>0</v>
          </cell>
          <cell r="G56">
            <v>37177629</v>
          </cell>
          <cell r="H56">
            <v>0</v>
          </cell>
          <cell r="I56">
            <v>262050</v>
          </cell>
          <cell r="J56">
            <v>11204708</v>
          </cell>
          <cell r="K56">
            <v>11052745</v>
          </cell>
          <cell r="L56">
            <v>2065096</v>
          </cell>
          <cell r="M56">
            <v>10461935</v>
          </cell>
          <cell r="N56">
            <v>40955</v>
          </cell>
          <cell r="O56">
            <v>14400</v>
          </cell>
          <cell r="P56">
            <v>929200</v>
          </cell>
          <cell r="Q56">
            <v>438240</v>
          </cell>
          <cell r="R56">
            <v>0</v>
          </cell>
          <cell r="S56">
            <v>0</v>
          </cell>
          <cell r="T56">
            <v>0</v>
          </cell>
          <cell r="U56">
            <v>528</v>
          </cell>
          <cell r="V56">
            <v>26623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808625</v>
          </cell>
          <cell r="AB56">
            <v>36255841</v>
          </cell>
          <cell r="AC56">
            <v>19357800</v>
          </cell>
          <cell r="AD56">
            <v>0</v>
          </cell>
          <cell r="AE56">
            <v>0</v>
          </cell>
          <cell r="AF56">
            <v>0</v>
          </cell>
          <cell r="AG56">
            <v>154351</v>
          </cell>
          <cell r="AH56">
            <v>6984877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717702</v>
          </cell>
          <cell r="AN56">
            <v>26556466</v>
          </cell>
          <cell r="AO56">
            <v>20394096</v>
          </cell>
          <cell r="AP56">
            <v>3622544</v>
          </cell>
          <cell r="AQ56">
            <v>14122544</v>
          </cell>
          <cell r="AR56">
            <v>356359</v>
          </cell>
          <cell r="AS56">
            <v>0</v>
          </cell>
          <cell r="AT56">
            <v>-500</v>
          </cell>
          <cell r="AU56">
            <v>51864951</v>
          </cell>
          <cell r="AV56">
            <v>0</v>
          </cell>
          <cell r="AW56">
            <v>0</v>
          </cell>
          <cell r="AX56">
            <v>0</v>
          </cell>
          <cell r="AY56">
            <v>2053</v>
          </cell>
          <cell r="AZ56">
            <v>100733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35415</v>
          </cell>
          <cell r="BF56">
            <v>857855</v>
          </cell>
          <cell r="BG56">
            <v>1141264</v>
          </cell>
          <cell r="BH56">
            <v>196539</v>
          </cell>
          <cell r="BI56">
            <v>902502</v>
          </cell>
          <cell r="BJ56">
            <v>9059</v>
          </cell>
          <cell r="BK56">
            <v>3072</v>
          </cell>
          <cell r="BL56">
            <v>202752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</row>
        <row r="57">
          <cell r="A57">
            <v>6</v>
          </cell>
          <cell r="B57">
            <v>37043</v>
          </cell>
          <cell r="C57">
            <v>1930629</v>
          </cell>
          <cell r="D57">
            <v>168753287</v>
          </cell>
          <cell r="E57">
            <v>0</v>
          </cell>
          <cell r="F57">
            <v>0</v>
          </cell>
          <cell r="G57">
            <v>44265079</v>
          </cell>
          <cell r="H57">
            <v>0</v>
          </cell>
          <cell r="I57">
            <v>345726</v>
          </cell>
          <cell r="J57">
            <v>14597367</v>
          </cell>
          <cell r="K57">
            <v>12808107</v>
          </cell>
          <cell r="L57">
            <v>2394777</v>
          </cell>
          <cell r="M57">
            <v>12135346</v>
          </cell>
          <cell r="N57">
            <v>96703</v>
          </cell>
          <cell r="O57">
            <v>14400</v>
          </cell>
          <cell r="P57">
            <v>929200</v>
          </cell>
          <cell r="Q57">
            <v>438240</v>
          </cell>
          <cell r="R57">
            <v>0</v>
          </cell>
          <cell r="S57">
            <v>0</v>
          </cell>
          <cell r="T57">
            <v>0</v>
          </cell>
          <cell r="U57">
            <v>663</v>
          </cell>
          <cell r="V57">
            <v>34085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980618</v>
          </cell>
          <cell r="AB57">
            <v>42245378</v>
          </cell>
          <cell r="AC57">
            <v>22978340</v>
          </cell>
          <cell r="AD57">
            <v>0</v>
          </cell>
          <cell r="AE57">
            <v>0</v>
          </cell>
          <cell r="AF57">
            <v>0</v>
          </cell>
          <cell r="AG57">
            <v>179417</v>
          </cell>
          <cell r="AH57">
            <v>8313305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909933</v>
          </cell>
          <cell r="AN57">
            <v>31797448</v>
          </cell>
          <cell r="AO57">
            <v>24522852</v>
          </cell>
          <cell r="AP57">
            <v>4354162</v>
          </cell>
          <cell r="AQ57">
            <v>16954162</v>
          </cell>
          <cell r="AR57">
            <v>513354</v>
          </cell>
          <cell r="AS57">
            <v>0</v>
          </cell>
          <cell r="AT57">
            <v>-500</v>
          </cell>
          <cell r="AU57">
            <v>62231630</v>
          </cell>
          <cell r="AV57">
            <v>0</v>
          </cell>
          <cell r="AW57">
            <v>0</v>
          </cell>
          <cell r="AX57">
            <v>0</v>
          </cell>
          <cell r="AY57">
            <v>3539</v>
          </cell>
          <cell r="AZ57">
            <v>185761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41742</v>
          </cell>
          <cell r="BF57">
            <v>993174</v>
          </cell>
          <cell r="BG57">
            <v>1348502</v>
          </cell>
          <cell r="BH57">
            <v>237429</v>
          </cell>
          <cell r="BI57">
            <v>1062687</v>
          </cell>
          <cell r="BJ57">
            <v>9059</v>
          </cell>
          <cell r="BK57">
            <v>3072</v>
          </cell>
          <cell r="BL57">
            <v>202752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</row>
        <row r="58">
          <cell r="A58">
            <v>7</v>
          </cell>
          <cell r="B58">
            <v>37073</v>
          </cell>
          <cell r="C58">
            <v>2307924</v>
          </cell>
          <cell r="D58">
            <v>189063895</v>
          </cell>
          <cell r="E58">
            <v>0</v>
          </cell>
          <cell r="F58">
            <v>0</v>
          </cell>
          <cell r="G58">
            <v>51832811</v>
          </cell>
          <cell r="H58">
            <v>0</v>
          </cell>
          <cell r="I58">
            <v>439710</v>
          </cell>
          <cell r="J58">
            <v>18008836</v>
          </cell>
          <cell r="K58">
            <v>15088207</v>
          </cell>
          <cell r="L58">
            <v>2814906</v>
          </cell>
          <cell r="M58">
            <v>14269812</v>
          </cell>
          <cell r="N58">
            <v>96703</v>
          </cell>
          <cell r="O58">
            <v>14400</v>
          </cell>
          <cell r="P58">
            <v>929200</v>
          </cell>
          <cell r="Q58">
            <v>438240</v>
          </cell>
          <cell r="R58">
            <v>0</v>
          </cell>
          <cell r="S58">
            <v>0</v>
          </cell>
          <cell r="T58">
            <v>0</v>
          </cell>
          <cell r="U58">
            <v>1003</v>
          </cell>
          <cell r="V58">
            <v>49793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1157249</v>
          </cell>
          <cell r="AB58">
            <v>47565679</v>
          </cell>
          <cell r="AC58">
            <v>26990040</v>
          </cell>
          <cell r="AD58">
            <v>0</v>
          </cell>
          <cell r="AE58">
            <v>0</v>
          </cell>
          <cell r="AF58">
            <v>0</v>
          </cell>
          <cell r="AG58">
            <v>213781</v>
          </cell>
          <cell r="AH58">
            <v>9740657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1098649</v>
          </cell>
          <cell r="AN58">
            <v>36628394</v>
          </cell>
          <cell r="AO58">
            <v>28668412</v>
          </cell>
          <cell r="AP58">
            <v>5089686</v>
          </cell>
          <cell r="AQ58">
            <v>19789686</v>
          </cell>
          <cell r="AR58">
            <v>513354</v>
          </cell>
          <cell r="AS58">
            <v>0</v>
          </cell>
          <cell r="AT58">
            <v>-500</v>
          </cell>
          <cell r="AU58">
            <v>72598309</v>
          </cell>
          <cell r="AV58">
            <v>0</v>
          </cell>
          <cell r="AW58">
            <v>0</v>
          </cell>
          <cell r="AX58">
            <v>0</v>
          </cell>
          <cell r="AY58">
            <v>4349</v>
          </cell>
          <cell r="AZ58">
            <v>212857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47249</v>
          </cell>
          <cell r="BF58">
            <v>1080079</v>
          </cell>
          <cell r="BG58">
            <v>1631985</v>
          </cell>
          <cell r="BH58">
            <v>293503</v>
          </cell>
          <cell r="BI58">
            <v>1282710</v>
          </cell>
          <cell r="BJ58">
            <v>11886</v>
          </cell>
          <cell r="BK58">
            <v>3072</v>
          </cell>
          <cell r="BL58">
            <v>202752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0</v>
          </cell>
          <cell r="HE58">
            <v>0</v>
          </cell>
          <cell r="HF58">
            <v>0</v>
          </cell>
        </row>
        <row r="59">
          <cell r="A59">
            <v>8</v>
          </cell>
          <cell r="B59">
            <v>37104</v>
          </cell>
          <cell r="C59">
            <v>2648486</v>
          </cell>
          <cell r="D59">
            <v>209644802</v>
          </cell>
          <cell r="E59">
            <v>0</v>
          </cell>
          <cell r="F59">
            <v>0</v>
          </cell>
          <cell r="G59">
            <v>59400543</v>
          </cell>
          <cell r="H59">
            <v>0</v>
          </cell>
          <cell r="I59">
            <v>535671</v>
          </cell>
          <cell r="J59">
            <v>20984075</v>
          </cell>
          <cell r="K59">
            <v>17436150</v>
          </cell>
          <cell r="L59">
            <v>3247217</v>
          </cell>
          <cell r="M59">
            <v>16464950</v>
          </cell>
          <cell r="N59">
            <v>96703</v>
          </cell>
          <cell r="O59">
            <v>14400</v>
          </cell>
          <cell r="P59">
            <v>929200</v>
          </cell>
          <cell r="Q59">
            <v>438240</v>
          </cell>
          <cell r="R59">
            <v>0</v>
          </cell>
          <cell r="S59">
            <v>0</v>
          </cell>
          <cell r="T59">
            <v>0</v>
          </cell>
          <cell r="U59">
            <v>1444</v>
          </cell>
          <cell r="V59">
            <v>82780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1336864</v>
          </cell>
          <cell r="AB59">
            <v>53040621</v>
          </cell>
          <cell r="AC59">
            <v>31015985</v>
          </cell>
          <cell r="AD59">
            <v>0</v>
          </cell>
          <cell r="AE59">
            <v>0</v>
          </cell>
          <cell r="AF59">
            <v>0</v>
          </cell>
          <cell r="AG59">
            <v>242597</v>
          </cell>
          <cell r="AH59">
            <v>11698197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1293168</v>
          </cell>
          <cell r="AN59">
            <v>41428807</v>
          </cell>
          <cell r="AO59">
            <v>32830845</v>
          </cell>
          <cell r="AP59">
            <v>5823257</v>
          </cell>
          <cell r="AQ59">
            <v>22623257</v>
          </cell>
          <cell r="AR59">
            <v>513354</v>
          </cell>
          <cell r="AS59">
            <v>0</v>
          </cell>
          <cell r="AT59">
            <v>-500</v>
          </cell>
          <cell r="AU59">
            <v>82964988</v>
          </cell>
          <cell r="AV59">
            <v>0</v>
          </cell>
          <cell r="AW59">
            <v>0</v>
          </cell>
          <cell r="AX59">
            <v>0</v>
          </cell>
          <cell r="AY59">
            <v>5009</v>
          </cell>
          <cell r="AZ59">
            <v>262265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55234</v>
          </cell>
          <cell r="BF59">
            <v>1221158</v>
          </cell>
          <cell r="BG59">
            <v>1910117</v>
          </cell>
          <cell r="BH59">
            <v>348430</v>
          </cell>
          <cell r="BI59">
            <v>1498011</v>
          </cell>
          <cell r="BJ59">
            <v>11886</v>
          </cell>
          <cell r="BK59">
            <v>3072</v>
          </cell>
          <cell r="BL59">
            <v>202752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</row>
        <row r="60">
          <cell r="A60">
            <v>9</v>
          </cell>
          <cell r="B60">
            <v>37135</v>
          </cell>
          <cell r="C60">
            <v>2961147</v>
          </cell>
          <cell r="D60">
            <v>225416671</v>
          </cell>
          <cell r="E60">
            <v>0</v>
          </cell>
          <cell r="F60">
            <v>0</v>
          </cell>
          <cell r="G60">
            <v>66724154</v>
          </cell>
          <cell r="H60">
            <v>0</v>
          </cell>
          <cell r="I60">
            <v>629827</v>
          </cell>
          <cell r="J60">
            <v>23711866</v>
          </cell>
          <cell r="K60">
            <v>19701276</v>
          </cell>
          <cell r="L60">
            <v>3664616</v>
          </cell>
          <cell r="M60">
            <v>18584995</v>
          </cell>
          <cell r="N60">
            <v>222600</v>
          </cell>
          <cell r="O60">
            <v>14400</v>
          </cell>
          <cell r="P60">
            <v>929200</v>
          </cell>
          <cell r="Q60">
            <v>438240</v>
          </cell>
          <cell r="R60">
            <v>0</v>
          </cell>
          <cell r="S60">
            <v>0</v>
          </cell>
          <cell r="T60">
            <v>0</v>
          </cell>
          <cell r="U60">
            <v>1553</v>
          </cell>
          <cell r="V60">
            <v>80907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1503606</v>
          </cell>
          <cell r="AB60">
            <v>57428213</v>
          </cell>
          <cell r="AC60">
            <v>34746250</v>
          </cell>
          <cell r="AD60">
            <v>0</v>
          </cell>
          <cell r="AE60">
            <v>0</v>
          </cell>
          <cell r="AF60">
            <v>0</v>
          </cell>
          <cell r="AG60">
            <v>273241</v>
          </cell>
          <cell r="AH60">
            <v>12469592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1469534</v>
          </cell>
          <cell r="AN60">
            <v>45174644</v>
          </cell>
          <cell r="AO60">
            <v>37010219</v>
          </cell>
          <cell r="AP60">
            <v>6558000</v>
          </cell>
          <cell r="AQ60">
            <v>25458000</v>
          </cell>
          <cell r="AR60">
            <v>701293</v>
          </cell>
          <cell r="AS60">
            <v>0</v>
          </cell>
          <cell r="AT60">
            <v>-500</v>
          </cell>
          <cell r="AU60">
            <v>93331667</v>
          </cell>
          <cell r="AV60">
            <v>0</v>
          </cell>
          <cell r="AW60">
            <v>0</v>
          </cell>
          <cell r="AX60">
            <v>0</v>
          </cell>
          <cell r="AY60">
            <v>5831</v>
          </cell>
          <cell r="AZ60">
            <v>284108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56996</v>
          </cell>
          <cell r="BF60">
            <v>1232789</v>
          </cell>
          <cell r="BG60">
            <v>2215259</v>
          </cell>
          <cell r="BH60">
            <v>408747</v>
          </cell>
          <cell r="BI60">
            <v>1734582</v>
          </cell>
          <cell r="BJ60">
            <v>11886</v>
          </cell>
          <cell r="BK60">
            <v>3072</v>
          </cell>
          <cell r="BL60">
            <v>202752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</row>
        <row r="61">
          <cell r="A61">
            <v>10</v>
          </cell>
          <cell r="B61">
            <v>37165</v>
          </cell>
          <cell r="C61">
            <v>3276572</v>
          </cell>
          <cell r="D61">
            <v>242715495</v>
          </cell>
          <cell r="E61">
            <v>0</v>
          </cell>
          <cell r="F61">
            <v>0</v>
          </cell>
          <cell r="G61">
            <v>74302057</v>
          </cell>
          <cell r="H61">
            <v>0</v>
          </cell>
          <cell r="I61">
            <v>727111</v>
          </cell>
          <cell r="J61">
            <v>27176573</v>
          </cell>
          <cell r="K61">
            <v>22052861</v>
          </cell>
          <cell r="L61">
            <v>4097843</v>
          </cell>
          <cell r="M61">
            <v>20785186</v>
          </cell>
          <cell r="N61">
            <v>222600</v>
          </cell>
          <cell r="O61">
            <v>14400</v>
          </cell>
          <cell r="P61">
            <v>929200</v>
          </cell>
          <cell r="Q61">
            <v>438240</v>
          </cell>
          <cell r="R61">
            <v>0</v>
          </cell>
          <cell r="S61">
            <v>0</v>
          </cell>
          <cell r="T61">
            <v>0</v>
          </cell>
          <cell r="U61">
            <v>1880</v>
          </cell>
          <cell r="V61">
            <v>93190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1579551</v>
          </cell>
          <cell r="AB61">
            <v>59258376</v>
          </cell>
          <cell r="AC61">
            <v>38596250</v>
          </cell>
          <cell r="AD61">
            <v>0</v>
          </cell>
          <cell r="AE61">
            <v>0</v>
          </cell>
          <cell r="AF61">
            <v>0</v>
          </cell>
          <cell r="AG61">
            <v>306674</v>
          </cell>
          <cell r="AH61">
            <v>13322117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1661243</v>
          </cell>
          <cell r="AN61">
            <v>49269013</v>
          </cell>
          <cell r="AO61">
            <v>41206603</v>
          </cell>
          <cell r="AP61">
            <v>7292352</v>
          </cell>
          <cell r="AQ61">
            <v>28292352</v>
          </cell>
          <cell r="AR61">
            <v>701293</v>
          </cell>
          <cell r="AS61">
            <v>0</v>
          </cell>
          <cell r="AT61">
            <v>-500</v>
          </cell>
          <cell r="AU61">
            <v>103698346</v>
          </cell>
          <cell r="AV61">
            <v>0</v>
          </cell>
          <cell r="AW61">
            <v>0</v>
          </cell>
          <cell r="AX61">
            <v>0</v>
          </cell>
          <cell r="AY61">
            <v>6467</v>
          </cell>
          <cell r="AZ61">
            <v>304693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58030</v>
          </cell>
          <cell r="BF61">
            <v>1248527</v>
          </cell>
          <cell r="BG61">
            <v>2528159</v>
          </cell>
          <cell r="BH61">
            <v>470581</v>
          </cell>
          <cell r="BI61">
            <v>1977060</v>
          </cell>
          <cell r="BJ61">
            <v>16811</v>
          </cell>
          <cell r="BK61">
            <v>3072</v>
          </cell>
          <cell r="BL61">
            <v>202752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</row>
        <row r="62">
          <cell r="A62">
            <v>11</v>
          </cell>
          <cell r="B62">
            <v>37196</v>
          </cell>
          <cell r="C62">
            <v>3568007</v>
          </cell>
          <cell r="D62">
            <v>260816012</v>
          </cell>
          <cell r="E62">
            <v>0</v>
          </cell>
          <cell r="F62">
            <v>0</v>
          </cell>
          <cell r="G62">
            <v>81625668</v>
          </cell>
          <cell r="H62">
            <v>0</v>
          </cell>
          <cell r="I62">
            <v>804129</v>
          </cell>
          <cell r="J62">
            <v>28443139</v>
          </cell>
          <cell r="K62">
            <v>24325973</v>
          </cell>
          <cell r="L62">
            <v>4516375</v>
          </cell>
          <cell r="M62">
            <v>22910366</v>
          </cell>
          <cell r="N62">
            <v>222600</v>
          </cell>
          <cell r="O62">
            <v>14400</v>
          </cell>
          <cell r="P62">
            <v>929200</v>
          </cell>
          <cell r="Q62">
            <v>438240</v>
          </cell>
          <cell r="R62">
            <v>0</v>
          </cell>
          <cell r="S62">
            <v>0</v>
          </cell>
          <cell r="T62">
            <v>0</v>
          </cell>
          <cell r="U62">
            <v>1943</v>
          </cell>
          <cell r="V62">
            <v>92452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1726387</v>
          </cell>
          <cell r="AB62">
            <v>63573087</v>
          </cell>
          <cell r="AC62">
            <v>42446250</v>
          </cell>
          <cell r="AD62">
            <v>0</v>
          </cell>
          <cell r="AE62">
            <v>0</v>
          </cell>
          <cell r="AF62">
            <v>0</v>
          </cell>
          <cell r="AG62">
            <v>340394</v>
          </cell>
          <cell r="AH62">
            <v>14391587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1837099</v>
          </cell>
          <cell r="AN62">
            <v>53416375</v>
          </cell>
          <cell r="AO62">
            <v>45420066</v>
          </cell>
          <cell r="AP62">
            <v>8025923</v>
          </cell>
          <cell r="AQ62">
            <v>31125923</v>
          </cell>
          <cell r="AR62">
            <v>701293</v>
          </cell>
          <cell r="AS62">
            <v>0</v>
          </cell>
          <cell r="AT62">
            <v>-500</v>
          </cell>
          <cell r="AU62">
            <v>114065025</v>
          </cell>
          <cell r="AV62">
            <v>0</v>
          </cell>
          <cell r="AW62">
            <v>0</v>
          </cell>
          <cell r="AX62">
            <v>0</v>
          </cell>
          <cell r="AY62">
            <v>7116</v>
          </cell>
          <cell r="AZ62">
            <v>320660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58912</v>
          </cell>
          <cell r="BF62">
            <v>1248527</v>
          </cell>
          <cell r="BG62">
            <v>2830138</v>
          </cell>
          <cell r="BH62">
            <v>530218</v>
          </cell>
          <cell r="BI62">
            <v>2210827</v>
          </cell>
          <cell r="BJ62">
            <v>16811</v>
          </cell>
          <cell r="BK62">
            <v>3072</v>
          </cell>
          <cell r="BL62">
            <v>202752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</row>
        <row r="63">
          <cell r="A63">
            <v>12</v>
          </cell>
          <cell r="B63">
            <v>37226</v>
          </cell>
          <cell r="C63">
            <v>3854302</v>
          </cell>
          <cell r="D63">
            <v>276234030</v>
          </cell>
          <cell r="E63">
            <v>0</v>
          </cell>
          <cell r="F63">
            <v>0</v>
          </cell>
          <cell r="G63">
            <v>89193400</v>
          </cell>
          <cell r="H63">
            <v>0</v>
          </cell>
          <cell r="I63">
            <v>870248</v>
          </cell>
          <cell r="J63">
            <v>30355742</v>
          </cell>
          <cell r="K63">
            <v>26458001</v>
          </cell>
          <cell r="L63">
            <v>4908930</v>
          </cell>
          <cell r="M63">
            <v>18319990</v>
          </cell>
          <cell r="N63">
            <v>315645</v>
          </cell>
          <cell r="O63">
            <v>14400</v>
          </cell>
          <cell r="P63">
            <v>929200</v>
          </cell>
          <cell r="Q63">
            <v>438240</v>
          </cell>
          <cell r="R63">
            <v>0</v>
          </cell>
          <cell r="S63">
            <v>0</v>
          </cell>
          <cell r="T63">
            <v>0</v>
          </cell>
          <cell r="U63">
            <v>2419</v>
          </cell>
          <cell r="V63">
            <v>106128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1850275</v>
          </cell>
          <cell r="AB63">
            <v>67020214</v>
          </cell>
          <cell r="AC63">
            <v>42230284</v>
          </cell>
          <cell r="AD63">
            <v>0</v>
          </cell>
          <cell r="AE63">
            <v>0</v>
          </cell>
          <cell r="AF63">
            <v>0</v>
          </cell>
          <cell r="AG63">
            <v>375159</v>
          </cell>
          <cell r="AH63">
            <v>15272486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2019399</v>
          </cell>
          <cell r="AN63">
            <v>57345547</v>
          </cell>
          <cell r="AO63">
            <v>49650678</v>
          </cell>
          <cell r="AP63">
            <v>8759494</v>
          </cell>
          <cell r="AQ63">
            <v>33959494</v>
          </cell>
          <cell r="AR63">
            <v>833802</v>
          </cell>
          <cell r="AS63">
            <v>0</v>
          </cell>
          <cell r="AT63">
            <v>-500</v>
          </cell>
          <cell r="AU63">
            <v>124431704</v>
          </cell>
          <cell r="AV63">
            <v>0</v>
          </cell>
          <cell r="AW63">
            <v>0</v>
          </cell>
          <cell r="AX63">
            <v>0</v>
          </cell>
          <cell r="AY63">
            <v>7789</v>
          </cell>
          <cell r="AZ63">
            <v>337874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58644</v>
          </cell>
          <cell r="BF63">
            <v>1252056</v>
          </cell>
          <cell r="BG63">
            <v>3140798</v>
          </cell>
          <cell r="BH63">
            <v>591570</v>
          </cell>
          <cell r="BI63">
            <v>2451312</v>
          </cell>
          <cell r="BJ63">
            <v>16811</v>
          </cell>
          <cell r="BK63">
            <v>3072</v>
          </cell>
          <cell r="BL63">
            <v>202752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</row>
        <row r="64">
          <cell r="A64">
            <v>13</v>
          </cell>
          <cell r="B64">
            <v>37257</v>
          </cell>
          <cell r="C64">
            <v>322402</v>
          </cell>
          <cell r="D64">
            <v>17371876</v>
          </cell>
          <cell r="E64">
            <v>0</v>
          </cell>
          <cell r="F64">
            <v>0</v>
          </cell>
          <cell r="G64">
            <v>7567732</v>
          </cell>
          <cell r="H64">
            <v>0</v>
          </cell>
          <cell r="I64">
            <v>96340</v>
          </cell>
          <cell r="J64">
            <v>2661681</v>
          </cell>
          <cell r="K64">
            <v>2348883</v>
          </cell>
          <cell r="L64">
            <v>431921</v>
          </cell>
          <cell r="M64">
            <v>2192082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482</v>
          </cell>
          <cell r="V64">
            <v>14870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176287</v>
          </cell>
          <cell r="AB64">
            <v>5544340</v>
          </cell>
          <cell r="AC64">
            <v>4066761</v>
          </cell>
          <cell r="AD64">
            <v>0</v>
          </cell>
          <cell r="AE64">
            <v>0</v>
          </cell>
          <cell r="AF64">
            <v>0</v>
          </cell>
          <cell r="AG64">
            <v>31680</v>
          </cell>
          <cell r="AH64">
            <v>951281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105686</v>
          </cell>
          <cell r="AN64">
            <v>2386504</v>
          </cell>
          <cell r="AO64">
            <v>4247831</v>
          </cell>
          <cell r="AP64">
            <v>731618</v>
          </cell>
          <cell r="AQ64">
            <v>2831618</v>
          </cell>
          <cell r="AR64">
            <v>0</v>
          </cell>
          <cell r="AS64">
            <v>-20448</v>
          </cell>
          <cell r="AT64">
            <v>-639923</v>
          </cell>
          <cell r="AU64">
            <v>10506683</v>
          </cell>
          <cell r="AV64">
            <v>0</v>
          </cell>
          <cell r="AW64">
            <v>0</v>
          </cell>
          <cell r="AX64">
            <v>0</v>
          </cell>
          <cell r="AY64">
            <v>653</v>
          </cell>
          <cell r="AZ64">
            <v>19683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312480</v>
          </cell>
          <cell r="BH64">
            <v>61611</v>
          </cell>
          <cell r="BI64">
            <v>241251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</row>
        <row r="65">
          <cell r="A65">
            <v>14</v>
          </cell>
          <cell r="B65">
            <v>37288</v>
          </cell>
          <cell r="C65">
            <v>612629</v>
          </cell>
          <cell r="D65">
            <v>32308391</v>
          </cell>
          <cell r="E65">
            <v>0</v>
          </cell>
          <cell r="F65">
            <v>0</v>
          </cell>
          <cell r="G65">
            <v>14403102</v>
          </cell>
          <cell r="H65">
            <v>0</v>
          </cell>
          <cell r="I65">
            <v>164754</v>
          </cell>
          <cell r="J65">
            <v>4653832</v>
          </cell>
          <cell r="K65">
            <v>4466208</v>
          </cell>
          <cell r="L65">
            <v>822503</v>
          </cell>
          <cell r="M65">
            <v>4176727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872</v>
          </cell>
          <cell r="V65">
            <v>22843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335382</v>
          </cell>
          <cell r="AB65">
            <v>9761485</v>
          </cell>
          <cell r="AC65">
            <v>8507818</v>
          </cell>
          <cell r="AD65">
            <v>0</v>
          </cell>
          <cell r="AE65">
            <v>0</v>
          </cell>
          <cell r="AF65">
            <v>0</v>
          </cell>
          <cell r="AG65">
            <v>55293</v>
          </cell>
          <cell r="AH65">
            <v>1488039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265398</v>
          </cell>
          <cell r="AN65">
            <v>5471112</v>
          </cell>
          <cell r="AO65">
            <v>8512951</v>
          </cell>
          <cell r="AP65">
            <v>1467923</v>
          </cell>
          <cell r="AQ65">
            <v>5667923</v>
          </cell>
          <cell r="AR65">
            <v>0</v>
          </cell>
          <cell r="AS65">
            <v>-20448</v>
          </cell>
          <cell r="AT65">
            <v>-639923</v>
          </cell>
          <cell r="AU65">
            <v>21013366</v>
          </cell>
          <cell r="AV65">
            <v>0</v>
          </cell>
          <cell r="AW65">
            <v>0</v>
          </cell>
          <cell r="AX65">
            <v>0</v>
          </cell>
          <cell r="AY65">
            <v>881</v>
          </cell>
          <cell r="AZ65">
            <v>22286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2107</v>
          </cell>
          <cell r="BF65">
            <v>0</v>
          </cell>
          <cell r="BG65">
            <v>594720</v>
          </cell>
          <cell r="BH65">
            <v>117476</v>
          </cell>
          <cell r="BI65">
            <v>460551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</row>
        <row r="66">
          <cell r="A66">
            <v>15</v>
          </cell>
          <cell r="B66">
            <v>37316</v>
          </cell>
          <cell r="C66">
            <v>926299</v>
          </cell>
          <cell r="D66">
            <v>53514946</v>
          </cell>
          <cell r="E66">
            <v>0</v>
          </cell>
          <cell r="F66">
            <v>0</v>
          </cell>
          <cell r="G66">
            <v>21970834</v>
          </cell>
          <cell r="H66">
            <v>0</v>
          </cell>
          <cell r="I66">
            <v>246966</v>
          </cell>
          <cell r="J66">
            <v>6831304</v>
          </cell>
          <cell r="K66">
            <v>6774992</v>
          </cell>
          <cell r="L66">
            <v>1250010</v>
          </cell>
          <cell r="M66">
            <v>6352009</v>
          </cell>
          <cell r="N66">
            <v>74335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1012</v>
          </cell>
          <cell r="V66">
            <v>26713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511596</v>
          </cell>
          <cell r="AB66">
            <v>13584155</v>
          </cell>
          <cell r="AC66">
            <v>12577341</v>
          </cell>
          <cell r="AD66">
            <v>0</v>
          </cell>
          <cell r="AE66">
            <v>0</v>
          </cell>
          <cell r="AF66">
            <v>0</v>
          </cell>
          <cell r="AG66">
            <v>84336</v>
          </cell>
          <cell r="AH66">
            <v>2383720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446714</v>
          </cell>
          <cell r="AN66">
            <v>9285585</v>
          </cell>
          <cell r="AO66">
            <v>12795429</v>
          </cell>
          <cell r="AP66">
            <v>2209697</v>
          </cell>
          <cell r="AQ66">
            <v>8509697</v>
          </cell>
          <cell r="AR66">
            <v>102029</v>
          </cell>
          <cell r="AS66">
            <v>-20448</v>
          </cell>
          <cell r="AT66">
            <v>-639923</v>
          </cell>
          <cell r="AU66">
            <v>31520049</v>
          </cell>
          <cell r="AV66">
            <v>0</v>
          </cell>
          <cell r="AW66">
            <v>0</v>
          </cell>
          <cell r="AX66">
            <v>0</v>
          </cell>
          <cell r="AY66">
            <v>1162</v>
          </cell>
          <cell r="AZ66">
            <v>31310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3912</v>
          </cell>
          <cell r="BF66">
            <v>17261</v>
          </cell>
          <cell r="BG66">
            <v>907200</v>
          </cell>
          <cell r="BH66">
            <v>179606</v>
          </cell>
          <cell r="BI66">
            <v>705151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</row>
        <row r="67">
          <cell r="A67">
            <v>16</v>
          </cell>
          <cell r="B67">
            <v>37347</v>
          </cell>
          <cell r="C67">
            <v>1239792</v>
          </cell>
          <cell r="D67">
            <v>73277711</v>
          </cell>
          <cell r="E67">
            <v>0</v>
          </cell>
          <cell r="F67">
            <v>0</v>
          </cell>
          <cell r="G67">
            <v>29284274</v>
          </cell>
          <cell r="H67">
            <v>0</v>
          </cell>
          <cell r="I67">
            <v>340405</v>
          </cell>
          <cell r="J67">
            <v>9350086</v>
          </cell>
          <cell r="K67">
            <v>9042364</v>
          </cell>
          <cell r="L67">
            <v>1671144</v>
          </cell>
          <cell r="M67">
            <v>8497333</v>
          </cell>
          <cell r="N67">
            <v>74335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1048</v>
          </cell>
          <cell r="V67">
            <v>29379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671922</v>
          </cell>
          <cell r="AB67">
            <v>18626377</v>
          </cell>
          <cell r="AC67">
            <v>16561321</v>
          </cell>
          <cell r="AD67">
            <v>0</v>
          </cell>
          <cell r="AE67">
            <v>0</v>
          </cell>
          <cell r="AF67">
            <v>0</v>
          </cell>
          <cell r="AG67">
            <v>117158</v>
          </cell>
          <cell r="AH67">
            <v>3628021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446714</v>
          </cell>
          <cell r="AN67">
            <v>9466272</v>
          </cell>
          <cell r="AO67">
            <v>17095338</v>
          </cell>
          <cell r="AP67">
            <v>2956158</v>
          </cell>
          <cell r="AQ67">
            <v>11356158</v>
          </cell>
          <cell r="AR67">
            <v>102029</v>
          </cell>
          <cell r="AS67">
            <v>-20448</v>
          </cell>
          <cell r="AT67">
            <v>-639923</v>
          </cell>
          <cell r="AU67">
            <v>42026732</v>
          </cell>
          <cell r="AV67">
            <v>0</v>
          </cell>
          <cell r="AW67">
            <v>0</v>
          </cell>
          <cell r="AX67">
            <v>0</v>
          </cell>
          <cell r="AY67">
            <v>1395</v>
          </cell>
          <cell r="AZ67">
            <v>49073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5862</v>
          </cell>
          <cell r="BF67">
            <v>50460</v>
          </cell>
          <cell r="BG67">
            <v>1178982</v>
          </cell>
          <cell r="BH67">
            <v>233853</v>
          </cell>
          <cell r="BI67">
            <v>919238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</row>
        <row r="68">
          <cell r="A68">
            <v>17</v>
          </cell>
          <cell r="B68">
            <v>37377</v>
          </cell>
          <cell r="C68">
            <v>1575428</v>
          </cell>
          <cell r="D68">
            <v>95194796</v>
          </cell>
          <cell r="E68">
            <v>0</v>
          </cell>
          <cell r="F68">
            <v>0</v>
          </cell>
          <cell r="G68">
            <v>36852006</v>
          </cell>
          <cell r="H68">
            <v>0</v>
          </cell>
          <cell r="I68">
            <v>424080</v>
          </cell>
          <cell r="J68">
            <v>11851207</v>
          </cell>
          <cell r="K68">
            <v>11273803</v>
          </cell>
          <cell r="L68">
            <v>2086369</v>
          </cell>
          <cell r="M68">
            <v>10614000</v>
          </cell>
          <cell r="N68">
            <v>74335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1373</v>
          </cell>
          <cell r="V68">
            <v>43169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834991</v>
          </cell>
          <cell r="AB68">
            <v>23713164</v>
          </cell>
          <cell r="AC68">
            <v>20456347</v>
          </cell>
          <cell r="AD68">
            <v>0</v>
          </cell>
          <cell r="AE68">
            <v>0</v>
          </cell>
          <cell r="AF68">
            <v>0</v>
          </cell>
          <cell r="AG68">
            <v>150019</v>
          </cell>
          <cell r="AH68">
            <v>4679707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583026</v>
          </cell>
          <cell r="AN68">
            <v>13022949</v>
          </cell>
          <cell r="AO68">
            <v>21412746</v>
          </cell>
          <cell r="AP68">
            <v>3705354</v>
          </cell>
          <cell r="AQ68">
            <v>14205354</v>
          </cell>
          <cell r="AR68">
            <v>102029</v>
          </cell>
          <cell r="AS68">
            <v>-20448</v>
          </cell>
          <cell r="AT68">
            <v>-639923</v>
          </cell>
          <cell r="AU68">
            <v>52533415</v>
          </cell>
          <cell r="AV68">
            <v>0</v>
          </cell>
          <cell r="AW68">
            <v>0</v>
          </cell>
          <cell r="AX68">
            <v>0</v>
          </cell>
          <cell r="AY68">
            <v>1652</v>
          </cell>
          <cell r="AZ68">
            <v>52324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7378</v>
          </cell>
          <cell r="BF68">
            <v>82361</v>
          </cell>
          <cell r="BG68">
            <v>1511580</v>
          </cell>
          <cell r="BH68">
            <v>300379</v>
          </cell>
          <cell r="BI68">
            <v>1182132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</row>
        <row r="69">
          <cell r="A69">
            <v>18</v>
          </cell>
          <cell r="B69">
            <v>37408</v>
          </cell>
          <cell r="C69">
            <v>1912124</v>
          </cell>
          <cell r="D69">
            <v>117025528</v>
          </cell>
          <cell r="E69">
            <v>0</v>
          </cell>
          <cell r="F69">
            <v>0</v>
          </cell>
          <cell r="G69">
            <v>44255039</v>
          </cell>
          <cell r="H69">
            <v>0</v>
          </cell>
          <cell r="I69">
            <v>510843</v>
          </cell>
          <cell r="J69">
            <v>14483025</v>
          </cell>
          <cell r="K69">
            <v>13322275</v>
          </cell>
          <cell r="L69">
            <v>2466792</v>
          </cell>
          <cell r="M69">
            <v>12552395</v>
          </cell>
          <cell r="N69">
            <v>183964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1668</v>
          </cell>
          <cell r="V69">
            <v>56084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999913</v>
          </cell>
          <cell r="AB69">
            <v>28886168</v>
          </cell>
          <cell r="AC69">
            <v>24467055</v>
          </cell>
          <cell r="AD69">
            <v>0</v>
          </cell>
          <cell r="AE69">
            <v>0</v>
          </cell>
          <cell r="AF69">
            <v>0</v>
          </cell>
          <cell r="AG69">
            <v>180323</v>
          </cell>
          <cell r="AH69">
            <v>5748863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749133</v>
          </cell>
          <cell r="AN69">
            <v>17281329</v>
          </cell>
          <cell r="AO69">
            <v>25747727</v>
          </cell>
          <cell r="AP69">
            <v>4452987</v>
          </cell>
          <cell r="AQ69">
            <v>17052987</v>
          </cell>
          <cell r="AR69">
            <v>196748</v>
          </cell>
          <cell r="AS69">
            <v>-20448</v>
          </cell>
          <cell r="AT69">
            <v>-639923</v>
          </cell>
          <cell r="AU69">
            <v>62927298</v>
          </cell>
          <cell r="AV69">
            <v>0</v>
          </cell>
          <cell r="AW69">
            <v>0</v>
          </cell>
          <cell r="AX69">
            <v>0</v>
          </cell>
          <cell r="AY69">
            <v>1848</v>
          </cell>
          <cell r="AZ69">
            <v>60407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10636</v>
          </cell>
          <cell r="BF69">
            <v>180273</v>
          </cell>
          <cell r="BG69">
            <v>1790346</v>
          </cell>
          <cell r="BH69">
            <v>356070</v>
          </cell>
          <cell r="BI69">
            <v>1402050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0</v>
          </cell>
        </row>
        <row r="70">
          <cell r="A70">
            <v>19</v>
          </cell>
          <cell r="B70">
            <v>37438</v>
          </cell>
          <cell r="C70">
            <v>2236477</v>
          </cell>
          <cell r="D70">
            <v>137285771</v>
          </cell>
          <cell r="E70">
            <v>0</v>
          </cell>
          <cell r="F70">
            <v>0</v>
          </cell>
          <cell r="G70">
            <v>51004791</v>
          </cell>
          <cell r="H70">
            <v>0</v>
          </cell>
          <cell r="I70">
            <v>605493</v>
          </cell>
          <cell r="J70">
            <v>17345922</v>
          </cell>
          <cell r="K70">
            <v>15652272</v>
          </cell>
          <cell r="L70">
            <v>2886275</v>
          </cell>
          <cell r="M70">
            <v>14698921</v>
          </cell>
          <cell r="N70">
            <v>183964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1903</v>
          </cell>
          <cell r="V70">
            <v>72948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1166358</v>
          </cell>
          <cell r="AB70">
            <v>34116686</v>
          </cell>
          <cell r="AC70">
            <v>28230430</v>
          </cell>
          <cell r="AD70">
            <v>0</v>
          </cell>
          <cell r="AE70">
            <v>0</v>
          </cell>
          <cell r="AF70">
            <v>0</v>
          </cell>
          <cell r="AG70">
            <v>210998</v>
          </cell>
          <cell r="AH70">
            <v>7506556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967543</v>
          </cell>
          <cell r="AN70">
            <v>22707706</v>
          </cell>
          <cell r="AO70">
            <v>30100351</v>
          </cell>
          <cell r="AP70">
            <v>5201011</v>
          </cell>
          <cell r="AQ70">
            <v>19901011</v>
          </cell>
          <cell r="AR70">
            <v>196748</v>
          </cell>
          <cell r="AS70">
            <v>-20448</v>
          </cell>
          <cell r="AT70">
            <v>-639923</v>
          </cell>
          <cell r="AU70">
            <v>73433981</v>
          </cell>
          <cell r="AV70">
            <v>0</v>
          </cell>
          <cell r="AW70">
            <v>0</v>
          </cell>
          <cell r="AX70">
            <v>0</v>
          </cell>
          <cell r="AY70">
            <v>1996</v>
          </cell>
          <cell r="AZ70">
            <v>70229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15699</v>
          </cell>
          <cell r="BF70">
            <v>319192</v>
          </cell>
          <cell r="BG70">
            <v>2092405</v>
          </cell>
          <cell r="BH70">
            <v>416436</v>
          </cell>
          <cell r="BI70">
            <v>1640485</v>
          </cell>
          <cell r="BJ70">
            <v>486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</row>
        <row r="71">
          <cell r="A71">
            <v>20</v>
          </cell>
          <cell r="B71">
            <v>37469</v>
          </cell>
          <cell r="C71">
            <v>2645546</v>
          </cell>
          <cell r="D71">
            <v>159011328</v>
          </cell>
          <cell r="E71">
            <v>0</v>
          </cell>
          <cell r="F71">
            <v>0</v>
          </cell>
          <cell r="G71">
            <v>58803953</v>
          </cell>
          <cell r="H71">
            <v>0</v>
          </cell>
          <cell r="I71">
            <v>700496</v>
          </cell>
          <cell r="J71">
            <v>20061722</v>
          </cell>
          <cell r="K71">
            <v>18019601</v>
          </cell>
          <cell r="L71">
            <v>3322303</v>
          </cell>
          <cell r="M71">
            <v>16913320</v>
          </cell>
          <cell r="N71">
            <v>183964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2132</v>
          </cell>
          <cell r="V71">
            <v>83751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1288225</v>
          </cell>
          <cell r="AB71">
            <v>37606739</v>
          </cell>
          <cell r="AC71">
            <v>30936694</v>
          </cell>
          <cell r="AD71">
            <v>0</v>
          </cell>
          <cell r="AE71">
            <v>0</v>
          </cell>
          <cell r="AF71">
            <v>0</v>
          </cell>
          <cell r="AG71">
            <v>240555</v>
          </cell>
          <cell r="AH71">
            <v>8619091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1163250</v>
          </cell>
          <cell r="AN71">
            <v>27317749</v>
          </cell>
          <cell r="AO71">
            <v>34470690</v>
          </cell>
          <cell r="AP71">
            <v>5950988</v>
          </cell>
          <cell r="AQ71">
            <v>22750988</v>
          </cell>
          <cell r="AR71">
            <v>196748</v>
          </cell>
          <cell r="AS71">
            <v>-20448</v>
          </cell>
          <cell r="AT71">
            <v>-639923</v>
          </cell>
          <cell r="AU71">
            <v>83940664</v>
          </cell>
          <cell r="AV71">
            <v>0</v>
          </cell>
          <cell r="AW71">
            <v>0</v>
          </cell>
          <cell r="AX71">
            <v>0</v>
          </cell>
          <cell r="AY71">
            <v>2147</v>
          </cell>
          <cell r="AZ71">
            <v>78194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24742</v>
          </cell>
          <cell r="BF71">
            <v>611380</v>
          </cell>
          <cell r="BG71">
            <v>2355730</v>
          </cell>
          <cell r="BH71">
            <v>469160</v>
          </cell>
          <cell r="BI71">
            <v>1848977</v>
          </cell>
          <cell r="BJ71">
            <v>486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</row>
        <row r="72">
          <cell r="A72">
            <v>21</v>
          </cell>
          <cell r="B72">
            <v>37500</v>
          </cell>
          <cell r="C72">
            <v>3011583</v>
          </cell>
          <cell r="D72">
            <v>182376033</v>
          </cell>
          <cell r="E72">
            <v>0</v>
          </cell>
          <cell r="F72">
            <v>0</v>
          </cell>
          <cell r="G72">
            <v>66127564</v>
          </cell>
          <cell r="H72">
            <v>0</v>
          </cell>
          <cell r="I72">
            <v>793148</v>
          </cell>
          <cell r="J72">
            <v>22809947</v>
          </cell>
          <cell r="K72">
            <v>20306692</v>
          </cell>
          <cell r="L72">
            <v>3740316</v>
          </cell>
          <cell r="M72">
            <v>19046887</v>
          </cell>
          <cell r="N72">
            <v>310350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2262</v>
          </cell>
          <cell r="V72">
            <v>85941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1455836</v>
          </cell>
          <cell r="AB72">
            <v>42889364</v>
          </cell>
          <cell r="AC72">
            <v>34808727</v>
          </cell>
          <cell r="AD72">
            <v>0</v>
          </cell>
          <cell r="AE72">
            <v>0</v>
          </cell>
          <cell r="AF72">
            <v>0</v>
          </cell>
          <cell r="AG72">
            <v>271147</v>
          </cell>
          <cell r="AH72">
            <v>9921953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1347399</v>
          </cell>
          <cell r="AN72">
            <v>32187769</v>
          </cell>
          <cell r="AO72">
            <v>38858817</v>
          </cell>
          <cell r="AP72">
            <v>6705261</v>
          </cell>
          <cell r="AQ72">
            <v>25605261</v>
          </cell>
          <cell r="AR72">
            <v>362621</v>
          </cell>
          <cell r="AS72">
            <v>-20448</v>
          </cell>
          <cell r="AT72">
            <v>-639923</v>
          </cell>
          <cell r="AU72">
            <v>94447347</v>
          </cell>
          <cell r="AV72">
            <v>0</v>
          </cell>
          <cell r="AW72">
            <v>0</v>
          </cell>
          <cell r="AX72">
            <v>0</v>
          </cell>
          <cell r="AY72">
            <v>2390</v>
          </cell>
          <cell r="AZ72">
            <v>87484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27024</v>
          </cell>
          <cell r="BF72">
            <v>635562</v>
          </cell>
          <cell r="BG72">
            <v>2644742</v>
          </cell>
          <cell r="BH72">
            <v>527220</v>
          </cell>
          <cell r="BI72">
            <v>2079052</v>
          </cell>
          <cell r="BJ72">
            <v>486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</row>
        <row r="73">
          <cell r="A73">
            <v>22</v>
          </cell>
          <cell r="B73">
            <v>37530</v>
          </cell>
          <cell r="C73">
            <v>3412623</v>
          </cell>
          <cell r="D73">
            <v>204192956</v>
          </cell>
          <cell r="E73">
            <v>0</v>
          </cell>
          <cell r="F73">
            <v>0</v>
          </cell>
          <cell r="G73">
            <v>73705467</v>
          </cell>
          <cell r="H73">
            <v>0</v>
          </cell>
          <cell r="I73">
            <v>870587</v>
          </cell>
          <cell r="J73">
            <v>25258613</v>
          </cell>
          <cell r="K73">
            <v>22230973</v>
          </cell>
          <cell r="L73">
            <v>4092187</v>
          </cell>
          <cell r="M73">
            <v>20843226</v>
          </cell>
          <cell r="N73">
            <v>310350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2346</v>
          </cell>
          <cell r="V73">
            <v>91140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1549726</v>
          </cell>
          <cell r="AB73">
            <v>45922056</v>
          </cell>
          <cell r="AC73">
            <v>38712266</v>
          </cell>
          <cell r="AD73">
            <v>0</v>
          </cell>
          <cell r="AE73">
            <v>0</v>
          </cell>
          <cell r="AF73">
            <v>0</v>
          </cell>
          <cell r="AG73">
            <v>304123</v>
          </cell>
          <cell r="AH73">
            <v>11348324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1524853</v>
          </cell>
          <cell r="AN73">
            <v>37076635</v>
          </cell>
          <cell r="AO73">
            <v>43264803</v>
          </cell>
          <cell r="AP73">
            <v>7460316</v>
          </cell>
          <cell r="AQ73">
            <v>28460316</v>
          </cell>
          <cell r="AR73">
            <v>362621</v>
          </cell>
          <cell r="AS73">
            <v>-20448</v>
          </cell>
          <cell r="AT73">
            <v>-639923</v>
          </cell>
          <cell r="AU73">
            <v>104954030</v>
          </cell>
          <cell r="AV73">
            <v>0</v>
          </cell>
          <cell r="AW73">
            <v>0</v>
          </cell>
          <cell r="AX73">
            <v>0</v>
          </cell>
          <cell r="AY73">
            <v>3189</v>
          </cell>
          <cell r="AZ73">
            <v>136828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31343</v>
          </cell>
          <cell r="BF73">
            <v>767793</v>
          </cell>
          <cell r="BG73">
            <v>2947981</v>
          </cell>
          <cell r="BH73">
            <v>588172</v>
          </cell>
          <cell r="BI73">
            <v>2320667</v>
          </cell>
          <cell r="BJ73">
            <v>4885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</row>
        <row r="74">
          <cell r="A74">
            <v>23</v>
          </cell>
          <cell r="B74">
            <v>37561</v>
          </cell>
          <cell r="C74">
            <v>3808902</v>
          </cell>
          <cell r="D74">
            <v>231055896</v>
          </cell>
          <cell r="E74">
            <v>0</v>
          </cell>
          <cell r="F74">
            <v>0</v>
          </cell>
          <cell r="G74">
            <v>81029078</v>
          </cell>
          <cell r="H74">
            <v>0</v>
          </cell>
          <cell r="I74">
            <v>963287</v>
          </cell>
          <cell r="J74">
            <v>28252250</v>
          </cell>
          <cell r="K74">
            <v>24521377</v>
          </cell>
          <cell r="L74">
            <v>4511441</v>
          </cell>
          <cell r="M74">
            <v>22984421</v>
          </cell>
          <cell r="N74">
            <v>310350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2486</v>
          </cell>
          <cell r="V74">
            <v>97984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1666273</v>
          </cell>
          <cell r="AB74">
            <v>49976842</v>
          </cell>
          <cell r="AC74">
            <v>37858855</v>
          </cell>
          <cell r="AD74">
            <v>0</v>
          </cell>
          <cell r="AE74">
            <v>0</v>
          </cell>
          <cell r="AF74">
            <v>1134868</v>
          </cell>
          <cell r="AG74">
            <v>334114</v>
          </cell>
          <cell r="AH74">
            <v>12752105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1712044</v>
          </cell>
          <cell r="AN74">
            <v>42656871</v>
          </cell>
          <cell r="AO74">
            <v>47688721</v>
          </cell>
          <cell r="AP74">
            <v>8216933</v>
          </cell>
          <cell r="AQ74">
            <v>31316933</v>
          </cell>
          <cell r="AR74">
            <v>362621</v>
          </cell>
          <cell r="AS74">
            <v>-20448</v>
          </cell>
          <cell r="AT74">
            <v>-639923</v>
          </cell>
          <cell r="AU74">
            <v>115460713</v>
          </cell>
          <cell r="AV74">
            <v>0</v>
          </cell>
          <cell r="AW74">
            <v>0</v>
          </cell>
          <cell r="AX74">
            <v>0</v>
          </cell>
          <cell r="AY74">
            <v>3790</v>
          </cell>
          <cell r="AZ74">
            <v>162420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36618</v>
          </cell>
          <cell r="BF74">
            <v>926271</v>
          </cell>
          <cell r="BG74">
            <v>3182362</v>
          </cell>
          <cell r="BH74">
            <v>635352</v>
          </cell>
          <cell r="BI74">
            <v>2507868</v>
          </cell>
          <cell r="BJ74">
            <v>4885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5">
          <cell r="A75">
            <v>24</v>
          </cell>
          <cell r="B75">
            <v>37591</v>
          </cell>
          <cell r="C75">
            <v>4209086</v>
          </cell>
          <cell r="D75">
            <v>256370841</v>
          </cell>
          <cell r="E75">
            <v>0</v>
          </cell>
          <cell r="F75">
            <v>0</v>
          </cell>
          <cell r="G75">
            <v>88596810</v>
          </cell>
          <cell r="H75">
            <v>0</v>
          </cell>
          <cell r="I75">
            <v>1059287</v>
          </cell>
          <cell r="J75">
            <v>31617198</v>
          </cell>
          <cell r="K75">
            <v>26882617</v>
          </cell>
          <cell r="L75">
            <v>4943316</v>
          </cell>
          <cell r="M75">
            <v>18189417</v>
          </cell>
          <cell r="N75">
            <v>449218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2618</v>
          </cell>
          <cell r="V75">
            <v>105346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1843103</v>
          </cell>
          <cell r="AB75">
            <v>56196959</v>
          </cell>
          <cell r="AC75">
            <v>44196188</v>
          </cell>
          <cell r="AD75">
            <v>0</v>
          </cell>
          <cell r="AE75">
            <v>0</v>
          </cell>
          <cell r="AF75">
            <v>1134868</v>
          </cell>
          <cell r="AG75">
            <v>367730</v>
          </cell>
          <cell r="AH75">
            <v>14489039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1898586</v>
          </cell>
          <cell r="AN75">
            <v>47844065</v>
          </cell>
          <cell r="AO75">
            <v>52130645</v>
          </cell>
          <cell r="AP75">
            <v>8972378</v>
          </cell>
          <cell r="AQ75">
            <v>34172378</v>
          </cell>
          <cell r="AR75">
            <v>540594</v>
          </cell>
          <cell r="AS75">
            <v>-20448</v>
          </cell>
          <cell r="AT75">
            <v>-639923</v>
          </cell>
          <cell r="AU75">
            <v>125967396</v>
          </cell>
          <cell r="AV75">
            <v>0</v>
          </cell>
          <cell r="AW75">
            <v>0</v>
          </cell>
          <cell r="AX75">
            <v>0</v>
          </cell>
          <cell r="AY75">
            <v>4390</v>
          </cell>
          <cell r="AZ75">
            <v>196014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38686</v>
          </cell>
          <cell r="BF75">
            <v>1115497</v>
          </cell>
          <cell r="BG75">
            <v>3468887</v>
          </cell>
          <cell r="BH75">
            <v>692963</v>
          </cell>
          <cell r="BI75">
            <v>2436289</v>
          </cell>
          <cell r="BJ75">
            <v>4885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</row>
        <row r="76">
          <cell r="A76">
            <v>25</v>
          </cell>
          <cell r="B76">
            <v>37591</v>
          </cell>
          <cell r="C76">
            <v>14978813</v>
          </cell>
          <cell r="D76">
            <v>786607954</v>
          </cell>
          <cell r="E76">
            <v>75609902</v>
          </cell>
          <cell r="F76">
            <v>13040460</v>
          </cell>
          <cell r="G76">
            <v>139632359</v>
          </cell>
          <cell r="H76">
            <v>1031770</v>
          </cell>
          <cell r="I76">
            <v>379926002</v>
          </cell>
          <cell r="J76">
            <v>-14157</v>
          </cell>
          <cell r="K76">
            <v>0</v>
          </cell>
          <cell r="L76">
            <v>0</v>
          </cell>
          <cell r="M76">
            <v>-5681912</v>
          </cell>
          <cell r="N76">
            <v>-91</v>
          </cell>
          <cell r="O76">
            <v>-14765584</v>
          </cell>
          <cell r="P76">
            <v>600000</v>
          </cell>
          <cell r="Q76">
            <v>0</v>
          </cell>
          <cell r="R76">
            <v>0</v>
          </cell>
          <cell r="S76">
            <v>-2952555</v>
          </cell>
          <cell r="T76">
            <v>265</v>
          </cell>
          <cell r="U76">
            <v>374434</v>
          </cell>
          <cell r="V76">
            <v>-1764273</v>
          </cell>
          <cell r="W76">
            <v>0</v>
          </cell>
          <cell r="X76">
            <v>274660</v>
          </cell>
          <cell r="Y76">
            <v>-306812</v>
          </cell>
          <cell r="Z76">
            <v>19379631</v>
          </cell>
          <cell r="AA76">
            <v>12221674</v>
          </cell>
          <cell r="AB76">
            <v>2699253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21200</v>
          </cell>
          <cell r="AK76">
            <v>0</v>
          </cell>
          <cell r="AL76">
            <v>0</v>
          </cell>
          <cell r="AM76">
            <v>0</v>
          </cell>
          <cell r="AN76">
            <v>3300000</v>
          </cell>
          <cell r="AO76">
            <v>5400000</v>
          </cell>
          <cell r="AP76">
            <v>200000</v>
          </cell>
          <cell r="AQ76">
            <v>0</v>
          </cell>
          <cell r="AR76">
            <v>620826</v>
          </cell>
          <cell r="AS76">
            <v>-52588472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5432</v>
          </cell>
          <cell r="AZ76">
            <v>0</v>
          </cell>
        </row>
        <row r="77">
          <cell r="A77">
            <v>26</v>
          </cell>
        </row>
        <row r="78">
          <cell r="A78">
            <v>27</v>
          </cell>
        </row>
        <row r="79">
          <cell r="A79">
            <v>28</v>
          </cell>
        </row>
        <row r="80">
          <cell r="A80">
            <v>29</v>
          </cell>
        </row>
        <row r="81">
          <cell r="A81">
            <v>30</v>
          </cell>
        </row>
        <row r="82">
          <cell r="A82">
            <v>31</v>
          </cell>
        </row>
        <row r="83">
          <cell r="A83">
            <v>32</v>
          </cell>
        </row>
        <row r="84">
          <cell r="A84">
            <v>33</v>
          </cell>
        </row>
        <row r="85">
          <cell r="A85">
            <v>34</v>
          </cell>
        </row>
        <row r="86">
          <cell r="A86">
            <v>35</v>
          </cell>
        </row>
        <row r="87">
          <cell r="A87">
            <v>36</v>
          </cell>
        </row>
      </sheetData>
      <sheetData sheetId="4">
        <row r="52">
          <cell r="A52">
            <v>1</v>
          </cell>
        </row>
        <row r="53">
          <cell r="A53">
            <v>1</v>
          </cell>
          <cell r="B53">
            <v>36892</v>
          </cell>
          <cell r="C53">
            <v>1590292</v>
          </cell>
          <cell r="D53">
            <v>95312046</v>
          </cell>
          <cell r="E53">
            <v>-1911539</v>
          </cell>
          <cell r="F53">
            <v>1104896</v>
          </cell>
          <cell r="G53">
            <v>22918511</v>
          </cell>
          <cell r="H53">
            <v>229505</v>
          </cell>
          <cell r="I53">
            <v>34964136</v>
          </cell>
          <cell r="J53">
            <v>-16535</v>
          </cell>
          <cell r="K53">
            <v>49405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</row>
        <row r="54">
          <cell r="A54">
            <v>2</v>
          </cell>
          <cell r="B54">
            <v>36923</v>
          </cell>
          <cell r="C54">
            <v>2663943</v>
          </cell>
          <cell r="D54">
            <v>147605315</v>
          </cell>
          <cell r="E54">
            <v>1788763</v>
          </cell>
          <cell r="F54">
            <v>1622328</v>
          </cell>
          <cell r="G54">
            <v>48325636</v>
          </cell>
          <cell r="H54">
            <v>459010</v>
          </cell>
          <cell r="I54">
            <v>70397832</v>
          </cell>
          <cell r="J54">
            <v>-16535</v>
          </cell>
          <cell r="K54">
            <v>49405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</row>
        <row r="55">
          <cell r="A55">
            <v>3</v>
          </cell>
          <cell r="B55">
            <v>36951</v>
          </cell>
          <cell r="C55">
            <v>3679789</v>
          </cell>
          <cell r="D55">
            <v>204137144</v>
          </cell>
          <cell r="E55">
            <v>4664672</v>
          </cell>
          <cell r="F55">
            <v>3222787</v>
          </cell>
          <cell r="G55">
            <v>60054613</v>
          </cell>
          <cell r="H55">
            <v>688515</v>
          </cell>
          <cell r="I55">
            <v>106150380</v>
          </cell>
          <cell r="J55">
            <v>-16535</v>
          </cell>
          <cell r="K55">
            <v>49514</v>
          </cell>
          <cell r="L55">
            <v>0</v>
          </cell>
          <cell r="M55">
            <v>0</v>
          </cell>
          <cell r="N55">
            <v>-351563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</row>
        <row r="56">
          <cell r="A56">
            <v>4</v>
          </cell>
          <cell r="B56">
            <v>36982</v>
          </cell>
          <cell r="C56">
            <v>4591097</v>
          </cell>
          <cell r="D56">
            <v>253727245</v>
          </cell>
          <cell r="E56">
            <v>8145791</v>
          </cell>
          <cell r="F56">
            <v>4060596</v>
          </cell>
          <cell r="G56">
            <v>77263619</v>
          </cell>
          <cell r="H56">
            <v>918020</v>
          </cell>
          <cell r="I56">
            <v>143394648</v>
          </cell>
          <cell r="J56">
            <v>-16535</v>
          </cell>
          <cell r="K56">
            <v>-68811</v>
          </cell>
          <cell r="L56">
            <v>0</v>
          </cell>
          <cell r="M56">
            <v>0</v>
          </cell>
          <cell r="N56">
            <v>-353492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</row>
        <row r="57">
          <cell r="A57">
            <v>5</v>
          </cell>
          <cell r="B57">
            <v>37012</v>
          </cell>
          <cell r="C57">
            <v>5678848</v>
          </cell>
          <cell r="D57">
            <v>318905796</v>
          </cell>
          <cell r="E57">
            <v>8239349</v>
          </cell>
          <cell r="F57">
            <v>5466242</v>
          </cell>
          <cell r="G57">
            <v>93245249</v>
          </cell>
          <cell r="H57">
            <v>1898865</v>
          </cell>
          <cell r="I57">
            <v>180871249</v>
          </cell>
          <cell r="J57">
            <v>-16535</v>
          </cell>
          <cell r="K57">
            <v>-69269</v>
          </cell>
          <cell r="L57">
            <v>0</v>
          </cell>
          <cell r="M57">
            <v>986091</v>
          </cell>
          <cell r="N57">
            <v>-360885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</row>
        <row r="58">
          <cell r="A58">
            <v>6</v>
          </cell>
          <cell r="B58">
            <v>37043</v>
          </cell>
          <cell r="C58">
            <v>7162683</v>
          </cell>
          <cell r="D58">
            <v>402887738</v>
          </cell>
          <cell r="E58">
            <v>12656687</v>
          </cell>
          <cell r="F58">
            <v>6826447</v>
          </cell>
          <cell r="G58">
            <v>119444176</v>
          </cell>
          <cell r="H58">
            <v>2879710</v>
          </cell>
          <cell r="I58">
            <v>222348814</v>
          </cell>
          <cell r="J58">
            <v>580521</v>
          </cell>
          <cell r="K58">
            <v>-69269</v>
          </cell>
          <cell r="L58">
            <v>0</v>
          </cell>
          <cell r="M58">
            <v>1849087</v>
          </cell>
          <cell r="N58">
            <v>-372440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0</v>
          </cell>
          <cell r="HE58">
            <v>0</v>
          </cell>
          <cell r="HF58">
            <v>0</v>
          </cell>
        </row>
        <row r="59">
          <cell r="A59">
            <v>7</v>
          </cell>
          <cell r="B59">
            <v>37073</v>
          </cell>
          <cell r="C59">
            <v>8735502</v>
          </cell>
          <cell r="D59">
            <v>485359670</v>
          </cell>
          <cell r="E59">
            <v>18023349</v>
          </cell>
          <cell r="F59">
            <v>7866427</v>
          </cell>
          <cell r="G59">
            <v>150247255</v>
          </cell>
          <cell r="H59">
            <v>3860555</v>
          </cell>
          <cell r="I59">
            <v>259999319</v>
          </cell>
          <cell r="J59">
            <v>580521</v>
          </cell>
          <cell r="K59">
            <v>-69269</v>
          </cell>
          <cell r="L59">
            <v>0</v>
          </cell>
          <cell r="M59">
            <v>2753274</v>
          </cell>
          <cell r="N59">
            <v>-372475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</row>
        <row r="60">
          <cell r="A60">
            <v>8</v>
          </cell>
          <cell r="B60">
            <v>37104</v>
          </cell>
          <cell r="C60">
            <v>10605184</v>
          </cell>
          <cell r="D60">
            <v>632154146</v>
          </cell>
          <cell r="E60">
            <v>22447986</v>
          </cell>
          <cell r="F60">
            <v>9225328</v>
          </cell>
          <cell r="G60">
            <v>187102161</v>
          </cell>
          <cell r="H60">
            <v>4841400</v>
          </cell>
          <cell r="I60">
            <v>300262280</v>
          </cell>
          <cell r="J60">
            <v>580521</v>
          </cell>
          <cell r="K60">
            <v>-69269</v>
          </cell>
          <cell r="L60">
            <v>0</v>
          </cell>
          <cell r="M60">
            <v>3528567</v>
          </cell>
          <cell r="N60">
            <v>-372849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</row>
        <row r="61">
          <cell r="A61">
            <v>9</v>
          </cell>
          <cell r="B61">
            <v>37135</v>
          </cell>
          <cell r="C61">
            <v>11715276</v>
          </cell>
          <cell r="D61">
            <v>673596905</v>
          </cell>
          <cell r="E61">
            <v>22896032</v>
          </cell>
          <cell r="F61">
            <v>10307080</v>
          </cell>
          <cell r="G61">
            <v>196765719</v>
          </cell>
          <cell r="H61">
            <v>5822245</v>
          </cell>
          <cell r="I61">
            <v>342014430</v>
          </cell>
          <cell r="J61">
            <v>747132</v>
          </cell>
          <cell r="K61">
            <v>-69269</v>
          </cell>
          <cell r="L61">
            <v>0</v>
          </cell>
          <cell r="M61">
            <v>4031692</v>
          </cell>
          <cell r="N61">
            <v>-372849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</row>
        <row r="62">
          <cell r="A62">
            <v>10</v>
          </cell>
          <cell r="B62">
            <v>37165</v>
          </cell>
          <cell r="C62">
            <v>12828148</v>
          </cell>
          <cell r="D62">
            <v>710207221</v>
          </cell>
          <cell r="E62">
            <v>24404530</v>
          </cell>
          <cell r="F62">
            <v>11342416</v>
          </cell>
          <cell r="G62">
            <v>206501043</v>
          </cell>
          <cell r="H62">
            <v>6803090</v>
          </cell>
          <cell r="I62">
            <v>384441150</v>
          </cell>
          <cell r="J62">
            <v>747132</v>
          </cell>
          <cell r="K62">
            <v>-69269</v>
          </cell>
          <cell r="L62">
            <v>0</v>
          </cell>
          <cell r="M62">
            <v>4831900</v>
          </cell>
          <cell r="N62">
            <v>-373604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</row>
        <row r="63">
          <cell r="A63">
            <v>11</v>
          </cell>
          <cell r="B63">
            <v>37196</v>
          </cell>
          <cell r="C63">
            <v>13897218</v>
          </cell>
          <cell r="D63">
            <v>745945615</v>
          </cell>
          <cell r="E63">
            <v>26221721</v>
          </cell>
          <cell r="F63">
            <v>12344307</v>
          </cell>
          <cell r="G63">
            <v>214506905</v>
          </cell>
          <cell r="H63">
            <v>6825748</v>
          </cell>
          <cell r="I63">
            <v>417708187</v>
          </cell>
          <cell r="J63">
            <v>1071350</v>
          </cell>
          <cell r="K63">
            <v>-69269</v>
          </cell>
          <cell r="L63">
            <v>0</v>
          </cell>
          <cell r="M63">
            <v>4512554</v>
          </cell>
          <cell r="N63">
            <v>-373170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</row>
        <row r="64">
          <cell r="A64">
            <v>12</v>
          </cell>
          <cell r="B64">
            <v>37226</v>
          </cell>
          <cell r="C64">
            <v>14976390</v>
          </cell>
          <cell r="D64">
            <v>780042869</v>
          </cell>
          <cell r="E64">
            <v>21481685</v>
          </cell>
          <cell r="F64">
            <v>13959139</v>
          </cell>
          <cell r="G64">
            <v>225266531</v>
          </cell>
          <cell r="H64">
            <v>6848406</v>
          </cell>
          <cell r="I64">
            <v>450407974</v>
          </cell>
          <cell r="J64">
            <v>3228489</v>
          </cell>
          <cell r="K64">
            <v>-69269</v>
          </cell>
          <cell r="L64">
            <v>0</v>
          </cell>
          <cell r="M64">
            <v>4200554</v>
          </cell>
          <cell r="N64">
            <v>-373170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</row>
        <row r="65">
          <cell r="A65">
            <v>13</v>
          </cell>
          <cell r="B65">
            <v>37257</v>
          </cell>
          <cell r="C65">
            <v>1005666</v>
          </cell>
          <cell r="D65">
            <v>32325576</v>
          </cell>
          <cell r="E65">
            <v>1739395</v>
          </cell>
          <cell r="F65">
            <v>1396718</v>
          </cell>
          <cell r="G65">
            <v>12832914</v>
          </cell>
          <cell r="H65">
            <v>22658</v>
          </cell>
          <cell r="I65">
            <v>32664634</v>
          </cell>
          <cell r="J65">
            <v>4276</v>
          </cell>
          <cell r="K65">
            <v>0</v>
          </cell>
          <cell r="L65">
            <v>0</v>
          </cell>
          <cell r="M65">
            <v>-371757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</row>
        <row r="66">
          <cell r="A66">
            <v>14</v>
          </cell>
          <cell r="B66">
            <v>37288</v>
          </cell>
          <cell r="C66">
            <v>1867668</v>
          </cell>
          <cell r="D66">
            <v>56169907</v>
          </cell>
          <cell r="E66">
            <v>2491726</v>
          </cell>
          <cell r="F66">
            <v>2523906</v>
          </cell>
          <cell r="G66">
            <v>21056227</v>
          </cell>
          <cell r="H66">
            <v>45316</v>
          </cell>
          <cell r="I66">
            <v>64727526</v>
          </cell>
          <cell r="J66">
            <v>4276</v>
          </cell>
          <cell r="K66">
            <v>0</v>
          </cell>
          <cell r="L66">
            <v>0</v>
          </cell>
          <cell r="M66">
            <v>-812781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</row>
        <row r="67">
          <cell r="A67">
            <v>15</v>
          </cell>
          <cell r="B67">
            <v>37316</v>
          </cell>
          <cell r="C67">
            <v>2758262</v>
          </cell>
          <cell r="D67">
            <v>87785185</v>
          </cell>
          <cell r="E67">
            <v>4883726</v>
          </cell>
          <cell r="F67">
            <v>3567766</v>
          </cell>
          <cell r="G67">
            <v>31109875</v>
          </cell>
          <cell r="H67">
            <v>67974</v>
          </cell>
          <cell r="I67">
            <v>96405897</v>
          </cell>
          <cell r="J67">
            <v>4276</v>
          </cell>
          <cell r="K67">
            <v>0</v>
          </cell>
          <cell r="L67">
            <v>0</v>
          </cell>
          <cell r="M67">
            <v>-892519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-306812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</row>
        <row r="68">
          <cell r="A68">
            <v>16</v>
          </cell>
          <cell r="B68">
            <v>37347</v>
          </cell>
          <cell r="C68">
            <v>3815769</v>
          </cell>
          <cell r="D68">
            <v>138977039</v>
          </cell>
          <cell r="E68">
            <v>5210815</v>
          </cell>
          <cell r="F68">
            <v>4726108</v>
          </cell>
          <cell r="G68">
            <v>55150999</v>
          </cell>
          <cell r="H68">
            <v>90632</v>
          </cell>
          <cell r="I68">
            <v>128030203</v>
          </cell>
          <cell r="J68">
            <v>4276</v>
          </cell>
          <cell r="K68">
            <v>0</v>
          </cell>
          <cell r="L68">
            <v>0</v>
          </cell>
          <cell r="M68">
            <v>-957719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-306812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</row>
        <row r="69">
          <cell r="A69">
            <v>17</v>
          </cell>
          <cell r="B69">
            <v>37377</v>
          </cell>
          <cell r="C69">
            <v>4725561</v>
          </cell>
          <cell r="D69">
            <v>178926571</v>
          </cell>
          <cell r="E69">
            <v>13634160</v>
          </cell>
          <cell r="F69">
            <v>5928605</v>
          </cell>
          <cell r="G69">
            <v>71771678</v>
          </cell>
          <cell r="H69">
            <v>243829</v>
          </cell>
          <cell r="I69">
            <v>161774580</v>
          </cell>
          <cell r="J69">
            <v>4276</v>
          </cell>
          <cell r="K69">
            <v>0</v>
          </cell>
          <cell r="L69">
            <v>0</v>
          </cell>
          <cell r="M69">
            <v>-1648923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-306812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0</v>
          </cell>
        </row>
        <row r="70">
          <cell r="A70">
            <v>18</v>
          </cell>
          <cell r="B70">
            <v>37408</v>
          </cell>
          <cell r="C70">
            <v>6120384</v>
          </cell>
          <cell r="D70">
            <v>250938341</v>
          </cell>
          <cell r="E70">
            <v>34952452</v>
          </cell>
          <cell r="F70">
            <v>7831953</v>
          </cell>
          <cell r="G70">
            <v>82311478</v>
          </cell>
          <cell r="H70">
            <v>397026</v>
          </cell>
          <cell r="I70">
            <v>195248540</v>
          </cell>
          <cell r="J70">
            <v>-66433</v>
          </cell>
          <cell r="K70">
            <v>0</v>
          </cell>
          <cell r="L70">
            <v>0</v>
          </cell>
          <cell r="M70">
            <v>-2329956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-306812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</row>
        <row r="71">
          <cell r="A71">
            <v>19</v>
          </cell>
          <cell r="B71">
            <v>37438</v>
          </cell>
          <cell r="C71">
            <v>8130170</v>
          </cell>
          <cell r="D71">
            <v>382752879</v>
          </cell>
          <cell r="E71">
            <v>46991130</v>
          </cell>
          <cell r="F71">
            <v>11818910</v>
          </cell>
          <cell r="G71">
            <v>101335437</v>
          </cell>
          <cell r="H71">
            <v>550223</v>
          </cell>
          <cell r="I71">
            <v>228224026</v>
          </cell>
          <cell r="J71">
            <v>-66433</v>
          </cell>
          <cell r="K71">
            <v>0</v>
          </cell>
          <cell r="L71">
            <v>0</v>
          </cell>
          <cell r="M71">
            <v>-3079563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-306812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</row>
        <row r="72">
          <cell r="A72">
            <v>20</v>
          </cell>
          <cell r="B72">
            <v>37469</v>
          </cell>
          <cell r="C72">
            <v>9977230</v>
          </cell>
          <cell r="D72">
            <v>512042065</v>
          </cell>
          <cell r="E72">
            <v>65361292</v>
          </cell>
          <cell r="F72">
            <v>13746829</v>
          </cell>
          <cell r="G72">
            <v>113258387</v>
          </cell>
          <cell r="H72">
            <v>703420</v>
          </cell>
          <cell r="I72">
            <v>261398807</v>
          </cell>
          <cell r="J72">
            <v>-66433</v>
          </cell>
          <cell r="K72">
            <v>0</v>
          </cell>
          <cell r="L72">
            <v>0</v>
          </cell>
          <cell r="M72">
            <v>-3825887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-306812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</row>
        <row r="73">
          <cell r="A73">
            <v>21</v>
          </cell>
          <cell r="B73">
            <v>37500</v>
          </cell>
          <cell r="C73">
            <v>11281517</v>
          </cell>
          <cell r="D73">
            <v>578681526</v>
          </cell>
          <cell r="E73">
            <v>67024537</v>
          </cell>
          <cell r="F73">
            <v>15198649</v>
          </cell>
          <cell r="G73">
            <v>121339077</v>
          </cell>
          <cell r="H73">
            <v>1123857</v>
          </cell>
          <cell r="I73">
            <v>294420810</v>
          </cell>
          <cell r="J73">
            <v>-14157</v>
          </cell>
          <cell r="K73">
            <v>0</v>
          </cell>
          <cell r="L73">
            <v>0</v>
          </cell>
          <cell r="M73">
            <v>-4508948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2346</v>
          </cell>
          <cell r="V73">
            <v>91140</v>
          </cell>
          <cell r="W73">
            <v>0</v>
          </cell>
          <cell r="X73">
            <v>0</v>
          </cell>
          <cell r="Y73">
            <v>-306812</v>
          </cell>
          <cell r="Z73">
            <v>0</v>
          </cell>
          <cell r="AA73">
            <v>1549726</v>
          </cell>
          <cell r="AB73">
            <v>45922056</v>
          </cell>
          <cell r="AC73">
            <v>38712266</v>
          </cell>
          <cell r="AD73">
            <v>0</v>
          </cell>
          <cell r="AE73">
            <v>0</v>
          </cell>
          <cell r="AF73">
            <v>0</v>
          </cell>
          <cell r="AG73">
            <v>304123</v>
          </cell>
          <cell r="AH73">
            <v>11348324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1524853</v>
          </cell>
          <cell r="AN73">
            <v>37076635</v>
          </cell>
          <cell r="AO73">
            <v>43264803</v>
          </cell>
          <cell r="AP73">
            <v>7460316</v>
          </cell>
          <cell r="AQ73">
            <v>28460316</v>
          </cell>
          <cell r="AR73">
            <v>362621</v>
          </cell>
          <cell r="AS73">
            <v>-20448</v>
          </cell>
          <cell r="AT73">
            <v>-639923</v>
          </cell>
          <cell r="AU73">
            <v>104954030</v>
          </cell>
          <cell r="AV73">
            <v>0</v>
          </cell>
          <cell r="AW73">
            <v>0</v>
          </cell>
          <cell r="AX73">
            <v>0</v>
          </cell>
          <cell r="AY73">
            <v>3189</v>
          </cell>
          <cell r="AZ73">
            <v>136828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31343</v>
          </cell>
          <cell r="BF73">
            <v>767793</v>
          </cell>
          <cell r="BG73">
            <v>2947981</v>
          </cell>
          <cell r="BH73">
            <v>588172</v>
          </cell>
          <cell r="BI73">
            <v>2320667</v>
          </cell>
          <cell r="BJ73">
            <v>4885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</row>
        <row r="74">
          <cell r="A74">
            <v>22</v>
          </cell>
          <cell r="B74">
            <v>37530</v>
          </cell>
          <cell r="C74">
            <v>12439802</v>
          </cell>
          <cell r="D74">
            <v>642041852</v>
          </cell>
          <cell r="E74">
            <v>71141909</v>
          </cell>
          <cell r="F74">
            <v>16870312</v>
          </cell>
          <cell r="G74">
            <v>129779308</v>
          </cell>
          <cell r="H74">
            <v>1277054</v>
          </cell>
          <cell r="I74">
            <v>327482189</v>
          </cell>
          <cell r="J74">
            <v>-14157</v>
          </cell>
          <cell r="K74">
            <v>0</v>
          </cell>
          <cell r="L74">
            <v>0</v>
          </cell>
          <cell r="M74">
            <v>-5190208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2486</v>
          </cell>
          <cell r="V74">
            <v>97984</v>
          </cell>
          <cell r="W74">
            <v>0</v>
          </cell>
          <cell r="X74">
            <v>0</v>
          </cell>
          <cell r="Y74">
            <v>-306812</v>
          </cell>
          <cell r="Z74">
            <v>0</v>
          </cell>
          <cell r="AA74">
            <v>1666273</v>
          </cell>
          <cell r="AB74">
            <v>49976842</v>
          </cell>
          <cell r="AC74">
            <v>37858855</v>
          </cell>
          <cell r="AD74">
            <v>0</v>
          </cell>
          <cell r="AE74">
            <v>0</v>
          </cell>
          <cell r="AF74">
            <v>1134868</v>
          </cell>
          <cell r="AG74">
            <v>334114</v>
          </cell>
          <cell r="AH74">
            <v>12752105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1712044</v>
          </cell>
          <cell r="AN74">
            <v>42656871</v>
          </cell>
          <cell r="AO74">
            <v>47688721</v>
          </cell>
          <cell r="AP74">
            <v>8216933</v>
          </cell>
          <cell r="AQ74">
            <v>31316933</v>
          </cell>
          <cell r="AR74">
            <v>362621</v>
          </cell>
          <cell r="AS74">
            <v>-20448</v>
          </cell>
          <cell r="AT74">
            <v>-639923</v>
          </cell>
          <cell r="AU74">
            <v>115460713</v>
          </cell>
          <cell r="AV74">
            <v>0</v>
          </cell>
          <cell r="AW74">
            <v>0</v>
          </cell>
          <cell r="AX74">
            <v>0</v>
          </cell>
          <cell r="AY74">
            <v>3790</v>
          </cell>
          <cell r="AZ74">
            <v>162420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36618</v>
          </cell>
          <cell r="BF74">
            <v>926271</v>
          </cell>
          <cell r="BG74">
            <v>3182362</v>
          </cell>
          <cell r="BH74">
            <v>635352</v>
          </cell>
          <cell r="BI74">
            <v>2507868</v>
          </cell>
          <cell r="BJ74">
            <v>4885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5">
          <cell r="A75">
            <v>23</v>
          </cell>
          <cell r="B75">
            <v>37561</v>
          </cell>
          <cell r="C75">
            <v>13953090</v>
          </cell>
          <cell r="D75">
            <v>726742272</v>
          </cell>
          <cell r="E75">
            <v>69469262</v>
          </cell>
          <cell r="F75">
            <v>17827063</v>
          </cell>
          <cell r="G75">
            <v>134429130</v>
          </cell>
          <cell r="H75">
            <v>1020792</v>
          </cell>
          <cell r="I75">
            <v>353856466</v>
          </cell>
          <cell r="J75">
            <v>-14157</v>
          </cell>
          <cell r="K75">
            <v>0</v>
          </cell>
          <cell r="L75">
            <v>0</v>
          </cell>
          <cell r="M75">
            <v>-5443223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2618</v>
          </cell>
          <cell r="V75">
            <v>105346</v>
          </cell>
          <cell r="W75">
            <v>0</v>
          </cell>
          <cell r="X75">
            <v>0</v>
          </cell>
          <cell r="Y75">
            <v>-306812</v>
          </cell>
          <cell r="Z75">
            <v>0</v>
          </cell>
          <cell r="AA75">
            <v>1843103</v>
          </cell>
          <cell r="AB75">
            <v>56196959</v>
          </cell>
          <cell r="AC75">
            <v>44196188</v>
          </cell>
          <cell r="AD75">
            <v>0</v>
          </cell>
          <cell r="AE75">
            <v>0</v>
          </cell>
          <cell r="AF75">
            <v>1134868</v>
          </cell>
          <cell r="AG75">
            <v>367730</v>
          </cell>
          <cell r="AH75">
            <v>14489039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1898586</v>
          </cell>
          <cell r="AN75">
            <v>47844065</v>
          </cell>
          <cell r="AO75">
            <v>52130645</v>
          </cell>
          <cell r="AP75">
            <v>8972378</v>
          </cell>
          <cell r="AQ75">
            <v>34172378</v>
          </cell>
          <cell r="AR75">
            <v>540594</v>
          </cell>
          <cell r="AS75">
            <v>-20448</v>
          </cell>
          <cell r="AT75">
            <v>-639923</v>
          </cell>
          <cell r="AU75">
            <v>125967396</v>
          </cell>
          <cell r="AV75">
            <v>0</v>
          </cell>
          <cell r="AW75">
            <v>0</v>
          </cell>
          <cell r="AX75">
            <v>0</v>
          </cell>
          <cell r="AY75">
            <v>4390</v>
          </cell>
          <cell r="AZ75">
            <v>196014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38686</v>
          </cell>
          <cell r="BF75">
            <v>1115497</v>
          </cell>
          <cell r="BG75">
            <v>3468887</v>
          </cell>
          <cell r="BH75">
            <v>692963</v>
          </cell>
          <cell r="BI75">
            <v>2436289</v>
          </cell>
          <cell r="BJ75">
            <v>4885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</row>
        <row r="76">
          <cell r="A76">
            <v>24</v>
          </cell>
          <cell r="B76">
            <v>37591</v>
          </cell>
          <cell r="C76">
            <v>14978813</v>
          </cell>
          <cell r="D76">
            <v>786607954</v>
          </cell>
          <cell r="E76">
            <v>75609902</v>
          </cell>
          <cell r="F76">
            <v>13040460</v>
          </cell>
          <cell r="G76">
            <v>139632359</v>
          </cell>
          <cell r="H76">
            <v>1031770</v>
          </cell>
          <cell r="I76">
            <v>379926002</v>
          </cell>
          <cell r="J76">
            <v>-14157</v>
          </cell>
          <cell r="K76">
            <v>0</v>
          </cell>
          <cell r="L76">
            <v>0</v>
          </cell>
          <cell r="M76">
            <v>-5681912</v>
          </cell>
          <cell r="N76">
            <v>-91</v>
          </cell>
          <cell r="O76">
            <v>-14765584</v>
          </cell>
          <cell r="P76">
            <v>600000</v>
          </cell>
          <cell r="Q76">
            <v>0</v>
          </cell>
          <cell r="R76">
            <v>0</v>
          </cell>
          <cell r="S76">
            <v>-2952555</v>
          </cell>
          <cell r="T76">
            <v>265</v>
          </cell>
          <cell r="U76">
            <v>374434</v>
          </cell>
          <cell r="V76">
            <v>-1764273</v>
          </cell>
          <cell r="W76">
            <v>0</v>
          </cell>
          <cell r="X76">
            <v>274660</v>
          </cell>
          <cell r="Y76">
            <v>-306812</v>
          </cell>
          <cell r="Z76">
            <v>19379631</v>
          </cell>
          <cell r="AA76">
            <v>12221674</v>
          </cell>
          <cell r="AB76">
            <v>2699253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21200</v>
          </cell>
          <cell r="AK76">
            <v>0</v>
          </cell>
          <cell r="AL76">
            <v>0</v>
          </cell>
          <cell r="AM76">
            <v>0</v>
          </cell>
          <cell r="AN76">
            <v>3300000</v>
          </cell>
          <cell r="AO76">
            <v>5400000</v>
          </cell>
          <cell r="AP76">
            <v>200000</v>
          </cell>
          <cell r="AQ76">
            <v>0</v>
          </cell>
          <cell r="AR76">
            <v>620826</v>
          </cell>
          <cell r="AS76">
            <v>-52588472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5432</v>
          </cell>
          <cell r="AZ76">
            <v>0</v>
          </cell>
        </row>
      </sheetData>
      <sheetData sheetId="5">
        <row r="52">
          <cell r="A52">
            <v>1</v>
          </cell>
        </row>
        <row r="53">
          <cell r="A53">
            <v>1</v>
          </cell>
          <cell r="B53">
            <v>36892</v>
          </cell>
          <cell r="C53">
            <v>0</v>
          </cell>
          <cell r="D53">
            <v>0</v>
          </cell>
          <cell r="E53">
            <v>116</v>
          </cell>
          <cell r="F53">
            <v>12678</v>
          </cell>
          <cell r="G53">
            <v>0</v>
          </cell>
          <cell r="H53">
            <v>5600508</v>
          </cell>
          <cell r="I53">
            <v>0</v>
          </cell>
          <cell r="J53">
            <v>6308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-2607069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2</v>
          </cell>
          <cell r="X53">
            <v>0</v>
          </cell>
          <cell r="Y53">
            <v>43011</v>
          </cell>
          <cell r="Z53">
            <v>1720440</v>
          </cell>
          <cell r="AA53">
            <v>520546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2148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212013</v>
          </cell>
          <cell r="AS53">
            <v>15006875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</row>
        <row r="54">
          <cell r="A54">
            <v>2</v>
          </cell>
          <cell r="B54">
            <v>36923</v>
          </cell>
          <cell r="C54">
            <v>0</v>
          </cell>
          <cell r="D54">
            <v>0</v>
          </cell>
          <cell r="E54">
            <v>233</v>
          </cell>
          <cell r="F54">
            <v>24785</v>
          </cell>
          <cell r="G54">
            <v>0</v>
          </cell>
          <cell r="H54">
            <v>10931510</v>
          </cell>
          <cell r="I54">
            <v>0</v>
          </cell>
          <cell r="J54">
            <v>6308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-4769639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2</v>
          </cell>
          <cell r="X54">
            <v>0</v>
          </cell>
          <cell r="Y54">
            <v>86074</v>
          </cell>
          <cell r="Z54">
            <v>3442960</v>
          </cell>
          <cell r="AA54">
            <v>1764294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50539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424026</v>
          </cell>
          <cell r="AS54">
            <v>56509418</v>
          </cell>
          <cell r="AT54">
            <v>1213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</row>
        <row r="55">
          <cell r="A55">
            <v>3</v>
          </cell>
          <cell r="B55">
            <v>36951</v>
          </cell>
          <cell r="C55">
            <v>0</v>
          </cell>
          <cell r="D55">
            <v>0</v>
          </cell>
          <cell r="E55">
            <v>336</v>
          </cell>
          <cell r="F55">
            <v>36338</v>
          </cell>
          <cell r="G55">
            <v>0</v>
          </cell>
          <cell r="H55">
            <v>16105096</v>
          </cell>
          <cell r="I55">
            <v>0</v>
          </cell>
          <cell r="J55">
            <v>406373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-6263388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128402</v>
          </cell>
          <cell r="Z55">
            <v>5136080</v>
          </cell>
          <cell r="AA55">
            <v>2668675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3400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636039</v>
          </cell>
          <cell r="AS55">
            <v>71768215</v>
          </cell>
          <cell r="AT55">
            <v>1229</v>
          </cell>
          <cell r="AU55">
            <v>0</v>
          </cell>
          <cell r="AV55">
            <v>0</v>
          </cell>
          <cell r="AW55">
            <v>0</v>
          </cell>
          <cell r="AX55">
            <v>21</v>
          </cell>
          <cell r="AY55">
            <v>102</v>
          </cell>
          <cell r="AZ55">
            <v>1634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</row>
        <row r="56">
          <cell r="A56">
            <v>4</v>
          </cell>
          <cell r="B56">
            <v>36982</v>
          </cell>
          <cell r="C56">
            <v>0</v>
          </cell>
          <cell r="D56">
            <v>0</v>
          </cell>
          <cell r="E56">
            <v>429</v>
          </cell>
          <cell r="F56">
            <v>46541</v>
          </cell>
          <cell r="G56">
            <v>0</v>
          </cell>
          <cell r="H56">
            <v>20967548</v>
          </cell>
          <cell r="I56">
            <v>0</v>
          </cell>
          <cell r="J56">
            <v>406373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-8129477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2</v>
          </cell>
          <cell r="X56">
            <v>0</v>
          </cell>
          <cell r="Y56">
            <v>171055</v>
          </cell>
          <cell r="Z56">
            <v>6842200</v>
          </cell>
          <cell r="AA56">
            <v>3593989</v>
          </cell>
          <cell r="AB56">
            <v>4396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13147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848052</v>
          </cell>
          <cell r="AS56">
            <v>59457223</v>
          </cell>
          <cell r="AT56">
            <v>1229</v>
          </cell>
          <cell r="AU56">
            <v>0</v>
          </cell>
          <cell r="AV56">
            <v>0</v>
          </cell>
          <cell r="AW56">
            <v>0</v>
          </cell>
          <cell r="AX56">
            <v>21</v>
          </cell>
          <cell r="AY56">
            <v>102</v>
          </cell>
          <cell r="AZ56">
            <v>1634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</row>
        <row r="57">
          <cell r="A57">
            <v>5</v>
          </cell>
          <cell r="B57">
            <v>37012</v>
          </cell>
          <cell r="C57">
            <v>1104520</v>
          </cell>
          <cell r="D57">
            <v>822008</v>
          </cell>
          <cell r="E57">
            <v>515</v>
          </cell>
          <cell r="F57">
            <v>56363</v>
          </cell>
          <cell r="G57">
            <v>0</v>
          </cell>
          <cell r="H57">
            <v>22940612</v>
          </cell>
          <cell r="I57">
            <v>0</v>
          </cell>
          <cell r="J57">
            <v>406373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-9542394</v>
          </cell>
          <cell r="P57">
            <v>0</v>
          </cell>
          <cell r="Q57">
            <v>18017</v>
          </cell>
          <cell r="R57">
            <v>0</v>
          </cell>
          <cell r="S57">
            <v>-478316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211733</v>
          </cell>
          <cell r="Z57">
            <v>8469320</v>
          </cell>
          <cell r="AA57">
            <v>4528649</v>
          </cell>
          <cell r="AB57">
            <v>-56283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-34071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1060065</v>
          </cell>
          <cell r="AS57">
            <v>29216805</v>
          </cell>
          <cell r="AT57">
            <v>1229</v>
          </cell>
          <cell r="AU57">
            <v>0</v>
          </cell>
          <cell r="AV57">
            <v>0</v>
          </cell>
          <cell r="AW57">
            <v>0</v>
          </cell>
          <cell r="AX57">
            <v>21</v>
          </cell>
          <cell r="AY57">
            <v>4286</v>
          </cell>
          <cell r="AZ57">
            <v>1634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</row>
        <row r="58">
          <cell r="A58">
            <v>6</v>
          </cell>
          <cell r="B58">
            <v>37043</v>
          </cell>
          <cell r="C58">
            <v>6444988</v>
          </cell>
          <cell r="D58">
            <v>3666690</v>
          </cell>
          <cell r="E58">
            <v>592</v>
          </cell>
          <cell r="F58">
            <v>65097</v>
          </cell>
          <cell r="G58">
            <v>0</v>
          </cell>
          <cell r="H58">
            <v>21390717</v>
          </cell>
          <cell r="I58">
            <v>0</v>
          </cell>
          <cell r="J58">
            <v>619116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-10884957</v>
          </cell>
          <cell r="P58">
            <v>0</v>
          </cell>
          <cell r="Q58">
            <v>1568699</v>
          </cell>
          <cell r="R58">
            <v>0</v>
          </cell>
          <cell r="S58">
            <v>-4075074</v>
          </cell>
          <cell r="T58">
            <v>0</v>
          </cell>
          <cell r="U58">
            <v>0</v>
          </cell>
          <cell r="V58">
            <v>0</v>
          </cell>
          <cell r="W58">
            <v>-1</v>
          </cell>
          <cell r="X58">
            <v>0</v>
          </cell>
          <cell r="Y58">
            <v>251514</v>
          </cell>
          <cell r="Z58">
            <v>10060560</v>
          </cell>
          <cell r="AA58">
            <v>5397278</v>
          </cell>
          <cell r="AB58">
            <v>-60330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6204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1272078</v>
          </cell>
          <cell r="AS58">
            <v>-4489600</v>
          </cell>
          <cell r="AT58">
            <v>1229</v>
          </cell>
          <cell r="AU58">
            <v>0</v>
          </cell>
          <cell r="AV58">
            <v>0</v>
          </cell>
          <cell r="AW58">
            <v>0</v>
          </cell>
          <cell r="AX58">
            <v>21</v>
          </cell>
          <cell r="AY58">
            <v>4551</v>
          </cell>
          <cell r="AZ58">
            <v>1634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</row>
        <row r="59">
          <cell r="A59">
            <v>7</v>
          </cell>
          <cell r="B59">
            <v>37073</v>
          </cell>
          <cell r="C59">
            <v>22413095</v>
          </cell>
          <cell r="D59">
            <v>17677456</v>
          </cell>
          <cell r="E59">
            <v>695</v>
          </cell>
          <cell r="F59">
            <v>76837</v>
          </cell>
          <cell r="G59">
            <v>0</v>
          </cell>
          <cell r="H59">
            <v>20214650</v>
          </cell>
          <cell r="I59">
            <v>0</v>
          </cell>
          <cell r="J59">
            <v>621943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-12306735</v>
          </cell>
          <cell r="P59">
            <v>0</v>
          </cell>
          <cell r="Q59">
            <v>6264186</v>
          </cell>
          <cell r="R59">
            <v>0</v>
          </cell>
          <cell r="S59">
            <v>-15683554</v>
          </cell>
          <cell r="T59">
            <v>0</v>
          </cell>
          <cell r="U59">
            <v>0</v>
          </cell>
          <cell r="V59">
            <v>0</v>
          </cell>
          <cell r="W59">
            <v>-3</v>
          </cell>
          <cell r="X59">
            <v>0</v>
          </cell>
          <cell r="Y59">
            <v>292998</v>
          </cell>
          <cell r="Z59">
            <v>11719920</v>
          </cell>
          <cell r="AA59">
            <v>6260807</v>
          </cell>
          <cell r="AB59">
            <v>1044841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2610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1484091</v>
          </cell>
          <cell r="AS59">
            <v>20265312</v>
          </cell>
          <cell r="AT59">
            <v>1229</v>
          </cell>
          <cell r="AU59">
            <v>0</v>
          </cell>
          <cell r="AV59">
            <v>0</v>
          </cell>
          <cell r="AW59">
            <v>0</v>
          </cell>
          <cell r="AX59">
            <v>21</v>
          </cell>
          <cell r="AY59">
            <v>4551</v>
          </cell>
          <cell r="AZ59">
            <v>1634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</row>
        <row r="60">
          <cell r="A60">
            <v>8</v>
          </cell>
          <cell r="B60">
            <v>37104</v>
          </cell>
          <cell r="C60">
            <v>29838804</v>
          </cell>
          <cell r="D60">
            <v>23988752</v>
          </cell>
          <cell r="E60">
            <v>798</v>
          </cell>
          <cell r="F60">
            <v>88721</v>
          </cell>
          <cell r="G60">
            <v>0</v>
          </cell>
          <cell r="H60">
            <v>20278931</v>
          </cell>
          <cell r="I60">
            <v>0</v>
          </cell>
          <cell r="J60">
            <v>621943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-13762306</v>
          </cell>
          <cell r="P60">
            <v>0</v>
          </cell>
          <cell r="Q60">
            <v>8933843</v>
          </cell>
          <cell r="R60">
            <v>0</v>
          </cell>
          <cell r="S60">
            <v>-20220969</v>
          </cell>
          <cell r="T60">
            <v>0</v>
          </cell>
          <cell r="U60">
            <v>0</v>
          </cell>
          <cell r="V60">
            <v>0</v>
          </cell>
          <cell r="W60">
            <v>-4</v>
          </cell>
          <cell r="X60">
            <v>0</v>
          </cell>
          <cell r="Y60">
            <v>338960</v>
          </cell>
          <cell r="Z60">
            <v>13558400</v>
          </cell>
          <cell r="AA60">
            <v>7177269</v>
          </cell>
          <cell r="AB60">
            <v>1417110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2610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1800453</v>
          </cell>
          <cell r="AS60">
            <v>-5209412</v>
          </cell>
          <cell r="AT60">
            <v>1229</v>
          </cell>
          <cell r="AU60">
            <v>0</v>
          </cell>
          <cell r="AV60">
            <v>0</v>
          </cell>
          <cell r="AW60">
            <v>0</v>
          </cell>
          <cell r="AX60">
            <v>21</v>
          </cell>
          <cell r="AY60">
            <v>4551</v>
          </cell>
          <cell r="AZ60">
            <v>1634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</row>
        <row r="61">
          <cell r="A61">
            <v>9</v>
          </cell>
          <cell r="B61">
            <v>37135</v>
          </cell>
          <cell r="C61">
            <v>33948520</v>
          </cell>
          <cell r="D61">
            <v>26825153</v>
          </cell>
          <cell r="E61">
            <v>913</v>
          </cell>
          <cell r="F61">
            <v>101945</v>
          </cell>
          <cell r="G61">
            <v>0</v>
          </cell>
          <cell r="H61">
            <v>20313298</v>
          </cell>
          <cell r="I61">
            <v>0</v>
          </cell>
          <cell r="J61">
            <v>935779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-15876318</v>
          </cell>
          <cell r="P61">
            <v>0</v>
          </cell>
          <cell r="Q61">
            <v>10259985</v>
          </cell>
          <cell r="R61">
            <v>0</v>
          </cell>
          <cell r="S61">
            <v>-22869119</v>
          </cell>
          <cell r="T61">
            <v>0</v>
          </cell>
          <cell r="U61">
            <v>0</v>
          </cell>
          <cell r="V61">
            <v>0</v>
          </cell>
          <cell r="W61">
            <v>-3</v>
          </cell>
          <cell r="X61">
            <v>0</v>
          </cell>
          <cell r="Y61">
            <v>382723</v>
          </cell>
          <cell r="Z61">
            <v>15308920</v>
          </cell>
          <cell r="AA61">
            <v>8077759</v>
          </cell>
          <cell r="AB61">
            <v>1836065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2645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1905975</v>
          </cell>
          <cell r="AS61">
            <v>73856168</v>
          </cell>
          <cell r="AT61">
            <v>1229</v>
          </cell>
          <cell r="AU61">
            <v>0</v>
          </cell>
          <cell r="AV61">
            <v>0</v>
          </cell>
          <cell r="AW61">
            <v>0</v>
          </cell>
          <cell r="AX61">
            <v>21</v>
          </cell>
          <cell r="AY61">
            <v>4551</v>
          </cell>
          <cell r="AZ61">
            <v>1634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</row>
        <row r="62">
          <cell r="A62">
            <v>10</v>
          </cell>
          <cell r="B62">
            <v>37165</v>
          </cell>
          <cell r="C62">
            <v>39096407</v>
          </cell>
          <cell r="D62">
            <v>29989557</v>
          </cell>
          <cell r="E62">
            <v>999</v>
          </cell>
          <cell r="F62">
            <v>111923</v>
          </cell>
          <cell r="G62">
            <v>0</v>
          </cell>
          <cell r="H62">
            <v>20313298</v>
          </cell>
          <cell r="I62">
            <v>0</v>
          </cell>
          <cell r="J62">
            <v>940704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-16994393</v>
          </cell>
          <cell r="P62">
            <v>0</v>
          </cell>
          <cell r="Q62">
            <v>11938404</v>
          </cell>
          <cell r="R62">
            <v>0</v>
          </cell>
          <cell r="S62">
            <v>-26334081</v>
          </cell>
          <cell r="T62">
            <v>0</v>
          </cell>
          <cell r="U62">
            <v>0</v>
          </cell>
          <cell r="V62">
            <v>0</v>
          </cell>
          <cell r="W62">
            <v>-4</v>
          </cell>
          <cell r="X62">
            <v>0</v>
          </cell>
          <cell r="Y62">
            <v>428034</v>
          </cell>
          <cell r="Z62">
            <v>17121360</v>
          </cell>
          <cell r="AA62">
            <v>9026225</v>
          </cell>
          <cell r="AB62">
            <v>2019083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2645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2112917</v>
          </cell>
          <cell r="AS62">
            <v>76921979</v>
          </cell>
          <cell r="AT62">
            <v>1229</v>
          </cell>
          <cell r="AU62">
            <v>0</v>
          </cell>
          <cell r="AV62">
            <v>0</v>
          </cell>
          <cell r="AW62">
            <v>0</v>
          </cell>
          <cell r="AX62">
            <v>21</v>
          </cell>
          <cell r="AY62">
            <v>4551</v>
          </cell>
          <cell r="AZ62">
            <v>1634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</row>
        <row r="63">
          <cell r="A63">
            <v>11</v>
          </cell>
          <cell r="B63">
            <v>37196</v>
          </cell>
          <cell r="C63">
            <v>39096407</v>
          </cell>
          <cell r="D63">
            <v>29989557</v>
          </cell>
          <cell r="E63">
            <v>1080</v>
          </cell>
          <cell r="F63">
            <v>121606</v>
          </cell>
          <cell r="G63">
            <v>0</v>
          </cell>
          <cell r="H63">
            <v>20313298</v>
          </cell>
          <cell r="I63">
            <v>0</v>
          </cell>
          <cell r="J63">
            <v>940704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-16854382</v>
          </cell>
          <cell r="P63">
            <v>0</v>
          </cell>
          <cell r="Q63">
            <v>11938404</v>
          </cell>
          <cell r="R63">
            <v>0</v>
          </cell>
          <cell r="S63">
            <v>-26340519</v>
          </cell>
          <cell r="T63">
            <v>99045</v>
          </cell>
          <cell r="U63">
            <v>0</v>
          </cell>
          <cell r="V63">
            <v>0</v>
          </cell>
          <cell r="W63">
            <v>-5</v>
          </cell>
          <cell r="X63">
            <v>0</v>
          </cell>
          <cell r="Y63">
            <v>471143</v>
          </cell>
          <cell r="Z63">
            <v>18845720</v>
          </cell>
          <cell r="AA63">
            <v>9949233</v>
          </cell>
          <cell r="AB63">
            <v>2191648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-90062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2319859</v>
          </cell>
          <cell r="AS63">
            <v>78138909</v>
          </cell>
          <cell r="AT63">
            <v>1229</v>
          </cell>
          <cell r="AU63">
            <v>0</v>
          </cell>
          <cell r="AV63">
            <v>0</v>
          </cell>
          <cell r="AW63">
            <v>0</v>
          </cell>
          <cell r="AX63">
            <v>21</v>
          </cell>
          <cell r="AY63">
            <v>4551</v>
          </cell>
          <cell r="AZ63">
            <v>1634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</row>
        <row r="64">
          <cell r="A64">
            <v>12</v>
          </cell>
          <cell r="B64">
            <v>37226</v>
          </cell>
          <cell r="C64">
            <v>39352709</v>
          </cell>
          <cell r="D64">
            <v>30429645</v>
          </cell>
          <cell r="E64">
            <v>1267</v>
          </cell>
          <cell r="F64">
            <v>142563</v>
          </cell>
          <cell r="G64">
            <v>0</v>
          </cell>
          <cell r="H64">
            <v>20313298</v>
          </cell>
          <cell r="I64">
            <v>0</v>
          </cell>
          <cell r="J64">
            <v>1166258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-17958621</v>
          </cell>
          <cell r="P64">
            <v>0</v>
          </cell>
          <cell r="Q64">
            <v>11938404</v>
          </cell>
          <cell r="R64">
            <v>0</v>
          </cell>
          <cell r="S64">
            <v>-26556861</v>
          </cell>
          <cell r="T64">
            <v>107609</v>
          </cell>
          <cell r="U64">
            <v>0</v>
          </cell>
          <cell r="V64">
            <v>240303</v>
          </cell>
          <cell r="W64">
            <v>-4</v>
          </cell>
          <cell r="X64">
            <v>0</v>
          </cell>
          <cell r="Y64">
            <v>519891</v>
          </cell>
          <cell r="Z64">
            <v>20795640</v>
          </cell>
          <cell r="AA64">
            <v>10901739</v>
          </cell>
          <cell r="AB64">
            <v>2364428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3202</v>
          </cell>
          <cell r="AK64">
            <v>0</v>
          </cell>
          <cell r="AL64">
            <v>2183044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2526801</v>
          </cell>
          <cell r="AS64">
            <v>83262946</v>
          </cell>
          <cell r="AT64">
            <v>1229</v>
          </cell>
          <cell r="AU64">
            <v>0</v>
          </cell>
          <cell r="AV64">
            <v>0</v>
          </cell>
          <cell r="AW64">
            <v>0</v>
          </cell>
          <cell r="AX64">
            <v>21</v>
          </cell>
          <cell r="AY64">
            <v>9516</v>
          </cell>
          <cell r="AZ64">
            <v>1634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</row>
        <row r="65">
          <cell r="A65">
            <v>13</v>
          </cell>
          <cell r="B65">
            <v>37257</v>
          </cell>
          <cell r="C65">
            <v>1032162</v>
          </cell>
          <cell r="D65">
            <v>906297</v>
          </cell>
          <cell r="E65">
            <v>52</v>
          </cell>
          <cell r="F65">
            <v>5413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-1025469</v>
          </cell>
          <cell r="P65">
            <v>0</v>
          </cell>
          <cell r="Q65">
            <v>0</v>
          </cell>
          <cell r="R65">
            <v>0</v>
          </cell>
          <cell r="S65">
            <v>-425622</v>
          </cell>
          <cell r="T65">
            <v>0</v>
          </cell>
          <cell r="U65">
            <v>0</v>
          </cell>
          <cell r="V65">
            <v>0</v>
          </cell>
          <cell r="W65">
            <v>1</v>
          </cell>
          <cell r="X65">
            <v>0</v>
          </cell>
          <cell r="Y65">
            <v>47434</v>
          </cell>
          <cell r="Z65">
            <v>1897360</v>
          </cell>
          <cell r="AA65">
            <v>932614</v>
          </cell>
          <cell r="AB65">
            <v>229519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-557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206942</v>
          </cell>
          <cell r="AS65">
            <v>2588161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260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</row>
        <row r="66">
          <cell r="A66">
            <v>14</v>
          </cell>
          <cell r="B66">
            <v>37288</v>
          </cell>
          <cell r="C66">
            <v>1651889</v>
          </cell>
          <cell r="D66">
            <v>904704</v>
          </cell>
          <cell r="E66">
            <v>130</v>
          </cell>
          <cell r="F66">
            <v>13910</v>
          </cell>
          <cell r="G66">
            <v>-1273</v>
          </cell>
          <cell r="H66">
            <v>0</v>
          </cell>
          <cell r="I66">
            <v>0</v>
          </cell>
          <cell r="J66">
            <v>0</v>
          </cell>
          <cell r="K66">
            <v>400</v>
          </cell>
          <cell r="L66">
            <v>0</v>
          </cell>
          <cell r="M66">
            <v>0</v>
          </cell>
          <cell r="N66">
            <v>0</v>
          </cell>
          <cell r="O66">
            <v>-2051909</v>
          </cell>
          <cell r="P66">
            <v>0</v>
          </cell>
          <cell r="Q66">
            <v>0</v>
          </cell>
          <cell r="R66">
            <v>0</v>
          </cell>
          <cell r="S66">
            <v>-658695</v>
          </cell>
          <cell r="T66">
            <v>0</v>
          </cell>
          <cell r="U66">
            <v>0</v>
          </cell>
          <cell r="V66">
            <v>232673</v>
          </cell>
          <cell r="W66">
            <v>2</v>
          </cell>
          <cell r="X66">
            <v>0</v>
          </cell>
          <cell r="Y66">
            <v>94837</v>
          </cell>
          <cell r="Z66">
            <v>3793480</v>
          </cell>
          <cell r="AA66">
            <v>1855691</v>
          </cell>
          <cell r="AB66">
            <v>494007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301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413884</v>
          </cell>
          <cell r="AS66">
            <v>26412514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418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</row>
        <row r="67">
          <cell r="A67">
            <v>15</v>
          </cell>
          <cell r="B67">
            <v>37316</v>
          </cell>
          <cell r="C67">
            <v>1674427</v>
          </cell>
          <cell r="D67">
            <v>877554</v>
          </cell>
          <cell r="E67">
            <v>237</v>
          </cell>
          <cell r="F67">
            <v>25755</v>
          </cell>
          <cell r="G67">
            <v>-1273</v>
          </cell>
          <cell r="H67">
            <v>0</v>
          </cell>
          <cell r="I67">
            <v>432</v>
          </cell>
          <cell r="J67">
            <v>176364</v>
          </cell>
          <cell r="K67">
            <v>4832</v>
          </cell>
          <cell r="L67">
            <v>0</v>
          </cell>
          <cell r="M67">
            <v>0</v>
          </cell>
          <cell r="N67">
            <v>0</v>
          </cell>
          <cell r="O67">
            <v>-2904949</v>
          </cell>
          <cell r="P67">
            <v>0</v>
          </cell>
          <cell r="Q67">
            <v>0</v>
          </cell>
          <cell r="R67">
            <v>0</v>
          </cell>
          <cell r="S67">
            <v>-656929</v>
          </cell>
          <cell r="T67">
            <v>0</v>
          </cell>
          <cell r="U67">
            <v>-22538</v>
          </cell>
          <cell r="V67">
            <v>232673</v>
          </cell>
          <cell r="W67">
            <v>4</v>
          </cell>
          <cell r="X67">
            <v>0</v>
          </cell>
          <cell r="Y67">
            <v>142665</v>
          </cell>
          <cell r="Z67">
            <v>5706600</v>
          </cell>
          <cell r="AA67">
            <v>2805416</v>
          </cell>
          <cell r="AB67">
            <v>680050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-38908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620826</v>
          </cell>
          <cell r="AS67">
            <v>25893577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418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</row>
        <row r="68">
          <cell r="A68">
            <v>16</v>
          </cell>
          <cell r="B68">
            <v>37347</v>
          </cell>
          <cell r="C68">
            <v>1663733</v>
          </cell>
          <cell r="D68">
            <v>857468</v>
          </cell>
          <cell r="E68">
            <v>323</v>
          </cell>
          <cell r="F68">
            <v>34470</v>
          </cell>
          <cell r="G68">
            <v>-1132</v>
          </cell>
          <cell r="H68">
            <v>0</v>
          </cell>
          <cell r="I68">
            <v>-44662</v>
          </cell>
          <cell r="J68">
            <v>176364</v>
          </cell>
          <cell r="K68">
            <v>-118820</v>
          </cell>
          <cell r="L68">
            <v>0</v>
          </cell>
          <cell r="M68">
            <v>0</v>
          </cell>
          <cell r="N68">
            <v>0</v>
          </cell>
          <cell r="O68">
            <v>-4138462</v>
          </cell>
          <cell r="P68">
            <v>0</v>
          </cell>
          <cell r="Q68">
            <v>0</v>
          </cell>
          <cell r="R68">
            <v>0</v>
          </cell>
          <cell r="S68">
            <v>-585150</v>
          </cell>
          <cell r="T68">
            <v>0</v>
          </cell>
          <cell r="U68">
            <v>-11844</v>
          </cell>
          <cell r="V68">
            <v>232673</v>
          </cell>
          <cell r="W68">
            <v>2</v>
          </cell>
          <cell r="X68">
            <v>0</v>
          </cell>
          <cell r="Y68">
            <v>189712</v>
          </cell>
          <cell r="Z68">
            <v>7588480</v>
          </cell>
          <cell r="AA68">
            <v>3793101</v>
          </cell>
          <cell r="AB68">
            <v>680050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-90738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620826</v>
          </cell>
          <cell r="AS68">
            <v>-7736118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501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</row>
        <row r="69">
          <cell r="A69">
            <v>17</v>
          </cell>
          <cell r="B69">
            <v>37377</v>
          </cell>
          <cell r="C69">
            <v>1677753</v>
          </cell>
          <cell r="D69">
            <v>830876</v>
          </cell>
          <cell r="E69">
            <v>416</v>
          </cell>
          <cell r="F69">
            <v>44197</v>
          </cell>
          <cell r="G69">
            <v>-1132</v>
          </cell>
          <cell r="H69">
            <v>0</v>
          </cell>
          <cell r="I69">
            <v>-59720</v>
          </cell>
          <cell r="J69">
            <v>176364</v>
          </cell>
          <cell r="K69">
            <v>-118820</v>
          </cell>
          <cell r="L69">
            <v>0</v>
          </cell>
          <cell r="M69">
            <v>-3530736</v>
          </cell>
          <cell r="N69">
            <v>0</v>
          </cell>
          <cell r="O69">
            <v>-5451212</v>
          </cell>
          <cell r="P69">
            <v>100000</v>
          </cell>
          <cell r="Q69">
            <v>0</v>
          </cell>
          <cell r="R69">
            <v>0</v>
          </cell>
          <cell r="S69">
            <v>-608648</v>
          </cell>
          <cell r="T69">
            <v>0</v>
          </cell>
          <cell r="U69">
            <v>536</v>
          </cell>
          <cell r="V69">
            <v>232673</v>
          </cell>
          <cell r="W69">
            <v>0</v>
          </cell>
          <cell r="X69">
            <v>0</v>
          </cell>
          <cell r="Y69">
            <v>233019</v>
          </cell>
          <cell r="Z69">
            <v>9320760</v>
          </cell>
          <cell r="AA69">
            <v>4758369</v>
          </cell>
          <cell r="AB69">
            <v>680050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-11625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620826</v>
          </cell>
          <cell r="AS69">
            <v>-41633554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893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</row>
        <row r="70">
          <cell r="A70">
            <v>18</v>
          </cell>
          <cell r="B70">
            <v>37408</v>
          </cell>
          <cell r="C70">
            <v>1578365</v>
          </cell>
          <cell r="D70">
            <v>994184</v>
          </cell>
          <cell r="E70">
            <v>495</v>
          </cell>
          <cell r="F70">
            <v>52006</v>
          </cell>
          <cell r="G70">
            <v>27868</v>
          </cell>
          <cell r="H70">
            <v>0</v>
          </cell>
          <cell r="I70">
            <v>225185</v>
          </cell>
          <cell r="J70">
            <v>380712</v>
          </cell>
          <cell r="K70">
            <v>-456794</v>
          </cell>
          <cell r="L70">
            <v>0</v>
          </cell>
          <cell r="M70">
            <v>-3530736</v>
          </cell>
          <cell r="N70">
            <v>0</v>
          </cell>
          <cell r="O70">
            <v>-6426488</v>
          </cell>
          <cell r="P70">
            <v>200000</v>
          </cell>
          <cell r="Q70">
            <v>0</v>
          </cell>
          <cell r="R70">
            <v>0</v>
          </cell>
          <cell r="S70">
            <v>-1141900</v>
          </cell>
          <cell r="T70">
            <v>0</v>
          </cell>
          <cell r="U70">
            <v>12993</v>
          </cell>
          <cell r="V70">
            <v>114401</v>
          </cell>
          <cell r="W70">
            <v>2</v>
          </cell>
          <cell r="X70">
            <v>-101353</v>
          </cell>
          <cell r="Y70">
            <v>277397</v>
          </cell>
          <cell r="Z70">
            <v>11007124</v>
          </cell>
          <cell r="AA70">
            <v>5883030</v>
          </cell>
          <cell r="AB70">
            <v>680050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-69143</v>
          </cell>
          <cell r="AK70">
            <v>0</v>
          </cell>
          <cell r="AL70">
            <v>0</v>
          </cell>
          <cell r="AM70">
            <v>0</v>
          </cell>
          <cell r="AN70">
            <v>3300000</v>
          </cell>
          <cell r="AO70">
            <v>0</v>
          </cell>
          <cell r="AP70">
            <v>0</v>
          </cell>
          <cell r="AQ70">
            <v>0</v>
          </cell>
          <cell r="AR70">
            <v>620826</v>
          </cell>
          <cell r="AS70">
            <v>-87916726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978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</row>
        <row r="71">
          <cell r="A71">
            <v>19</v>
          </cell>
          <cell r="B71">
            <v>37438</v>
          </cell>
          <cell r="C71">
            <v>2840130</v>
          </cell>
          <cell r="D71">
            <v>1651757</v>
          </cell>
          <cell r="E71">
            <v>605</v>
          </cell>
          <cell r="F71">
            <v>63321</v>
          </cell>
          <cell r="G71">
            <v>511951</v>
          </cell>
          <cell r="H71">
            <v>0</v>
          </cell>
          <cell r="I71">
            <v>366481</v>
          </cell>
          <cell r="J71">
            <v>381198</v>
          </cell>
          <cell r="K71">
            <v>-301739</v>
          </cell>
          <cell r="L71">
            <v>0</v>
          </cell>
          <cell r="M71">
            <v>-3530736</v>
          </cell>
          <cell r="N71">
            <v>0</v>
          </cell>
          <cell r="O71">
            <v>-7565711</v>
          </cell>
          <cell r="P71">
            <v>300000</v>
          </cell>
          <cell r="Q71">
            <v>0</v>
          </cell>
          <cell r="R71">
            <v>0</v>
          </cell>
          <cell r="S71">
            <v>-2319976</v>
          </cell>
          <cell r="T71">
            <v>0</v>
          </cell>
          <cell r="U71">
            <v>96506</v>
          </cell>
          <cell r="V71">
            <v>-234715</v>
          </cell>
          <cell r="W71">
            <v>0</v>
          </cell>
          <cell r="X71">
            <v>224899</v>
          </cell>
          <cell r="Y71">
            <v>321917</v>
          </cell>
          <cell r="Z71">
            <v>12698884</v>
          </cell>
          <cell r="AA71">
            <v>6995588</v>
          </cell>
          <cell r="AB71">
            <v>680050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-66852</v>
          </cell>
          <cell r="AK71">
            <v>0</v>
          </cell>
          <cell r="AL71">
            <v>0</v>
          </cell>
          <cell r="AM71">
            <v>0</v>
          </cell>
          <cell r="AN71">
            <v>3300000</v>
          </cell>
          <cell r="AO71">
            <v>0</v>
          </cell>
          <cell r="AP71">
            <v>0</v>
          </cell>
          <cell r="AQ71">
            <v>0</v>
          </cell>
          <cell r="AR71">
            <v>620826</v>
          </cell>
          <cell r="AS71">
            <v>-112213242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2597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</row>
        <row r="72">
          <cell r="A72">
            <v>20</v>
          </cell>
          <cell r="B72">
            <v>37469</v>
          </cell>
          <cell r="C72">
            <v>3237995</v>
          </cell>
          <cell r="D72">
            <v>1651757</v>
          </cell>
          <cell r="E72">
            <v>727</v>
          </cell>
          <cell r="F72">
            <v>73703</v>
          </cell>
          <cell r="G72">
            <v>570202</v>
          </cell>
          <cell r="H72">
            <v>0</v>
          </cell>
          <cell r="I72">
            <v>-3065</v>
          </cell>
          <cell r="J72">
            <v>381198</v>
          </cell>
          <cell r="K72">
            <v>-543533</v>
          </cell>
          <cell r="L72">
            <v>0</v>
          </cell>
          <cell r="M72">
            <v>-3530736</v>
          </cell>
          <cell r="N72">
            <v>0</v>
          </cell>
          <cell r="O72">
            <v>-9207211</v>
          </cell>
          <cell r="P72">
            <v>400000</v>
          </cell>
          <cell r="Q72">
            <v>0</v>
          </cell>
          <cell r="R72">
            <v>0</v>
          </cell>
          <cell r="S72">
            <v>-2883267</v>
          </cell>
          <cell r="T72">
            <v>0</v>
          </cell>
          <cell r="U72">
            <v>187669</v>
          </cell>
          <cell r="V72">
            <v>-1774455</v>
          </cell>
          <cell r="W72">
            <v>0</v>
          </cell>
          <cell r="X72">
            <v>274660</v>
          </cell>
          <cell r="Y72">
            <v>369600</v>
          </cell>
          <cell r="Z72">
            <v>14510838</v>
          </cell>
          <cell r="AA72">
            <v>8132205</v>
          </cell>
          <cell r="AB72">
            <v>680050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511</v>
          </cell>
          <cell r="AK72">
            <v>0</v>
          </cell>
          <cell r="AL72">
            <v>0</v>
          </cell>
          <cell r="AM72">
            <v>0</v>
          </cell>
          <cell r="AN72">
            <v>3300000</v>
          </cell>
          <cell r="AO72">
            <v>0</v>
          </cell>
          <cell r="AP72">
            <v>0</v>
          </cell>
          <cell r="AQ72">
            <v>0</v>
          </cell>
          <cell r="AR72">
            <v>620826</v>
          </cell>
          <cell r="AS72">
            <v>-115838505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2597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</row>
        <row r="73">
          <cell r="A73">
            <v>21</v>
          </cell>
          <cell r="B73">
            <v>37500</v>
          </cell>
          <cell r="C73">
            <v>3233886</v>
          </cell>
          <cell r="D73">
            <v>1651757</v>
          </cell>
          <cell r="E73">
            <v>854</v>
          </cell>
          <cell r="F73">
            <v>87775</v>
          </cell>
          <cell r="G73">
            <v>570202</v>
          </cell>
          <cell r="H73">
            <v>0</v>
          </cell>
          <cell r="I73">
            <v>-3065</v>
          </cell>
          <cell r="J73">
            <v>673457</v>
          </cell>
          <cell r="K73">
            <v>-538076</v>
          </cell>
          <cell r="L73">
            <v>0</v>
          </cell>
          <cell r="M73">
            <v>-3530736</v>
          </cell>
          <cell r="N73">
            <v>0</v>
          </cell>
          <cell r="O73">
            <v>-10747364</v>
          </cell>
          <cell r="P73">
            <v>500000</v>
          </cell>
          <cell r="Q73">
            <v>0</v>
          </cell>
          <cell r="R73">
            <v>0</v>
          </cell>
          <cell r="S73">
            <v>-2914123</v>
          </cell>
          <cell r="T73">
            <v>0</v>
          </cell>
          <cell r="U73">
            <v>215778</v>
          </cell>
          <cell r="V73">
            <v>-1767798</v>
          </cell>
          <cell r="W73">
            <v>1</v>
          </cell>
          <cell r="X73">
            <v>274660</v>
          </cell>
          <cell r="Y73">
            <v>412926</v>
          </cell>
          <cell r="Z73">
            <v>16157226</v>
          </cell>
          <cell r="AA73">
            <v>9184728</v>
          </cell>
          <cell r="AB73">
            <v>1182650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-334</v>
          </cell>
          <cell r="AK73">
            <v>0</v>
          </cell>
          <cell r="AL73">
            <v>0</v>
          </cell>
          <cell r="AM73">
            <v>0</v>
          </cell>
          <cell r="AN73">
            <v>3300000</v>
          </cell>
          <cell r="AO73">
            <v>0</v>
          </cell>
          <cell r="AP73">
            <v>0</v>
          </cell>
          <cell r="AQ73">
            <v>0</v>
          </cell>
          <cell r="AR73">
            <v>620826</v>
          </cell>
          <cell r="AS73">
            <v>-63835005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5365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31343</v>
          </cell>
          <cell r="BF73">
            <v>767793</v>
          </cell>
          <cell r="BG73">
            <v>2947981</v>
          </cell>
          <cell r="BH73">
            <v>588172</v>
          </cell>
          <cell r="BI73">
            <v>2320667</v>
          </cell>
          <cell r="BJ73">
            <v>4885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</row>
        <row r="74">
          <cell r="A74">
            <v>22</v>
          </cell>
          <cell r="B74">
            <v>37530</v>
          </cell>
          <cell r="C74">
            <v>3190692</v>
          </cell>
          <cell r="D74">
            <v>1651757</v>
          </cell>
          <cell r="E74">
            <v>953</v>
          </cell>
          <cell r="F74">
            <v>97554</v>
          </cell>
          <cell r="G74">
            <v>570202</v>
          </cell>
          <cell r="H74">
            <v>0</v>
          </cell>
          <cell r="I74">
            <v>-3065</v>
          </cell>
          <cell r="J74">
            <v>677856</v>
          </cell>
          <cell r="K74">
            <v>-540825</v>
          </cell>
          <cell r="L74">
            <v>0</v>
          </cell>
          <cell r="M74">
            <v>-3530736</v>
          </cell>
          <cell r="N74">
            <v>0</v>
          </cell>
          <cell r="O74">
            <v>-12135468</v>
          </cell>
          <cell r="P74">
            <v>600000</v>
          </cell>
          <cell r="Q74">
            <v>0</v>
          </cell>
          <cell r="R74">
            <v>0</v>
          </cell>
          <cell r="S74">
            <v>-2952103</v>
          </cell>
          <cell r="T74">
            <v>0</v>
          </cell>
          <cell r="U74">
            <v>258972</v>
          </cell>
          <cell r="V74">
            <v>-1763430</v>
          </cell>
          <cell r="W74">
            <v>0</v>
          </cell>
          <cell r="X74">
            <v>274660</v>
          </cell>
          <cell r="Y74">
            <v>454074</v>
          </cell>
          <cell r="Z74">
            <v>17167728</v>
          </cell>
          <cell r="AA74">
            <v>10624908</v>
          </cell>
          <cell r="AB74">
            <v>1802719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-42</v>
          </cell>
          <cell r="AK74">
            <v>0</v>
          </cell>
          <cell r="AL74">
            <v>0</v>
          </cell>
          <cell r="AM74">
            <v>0</v>
          </cell>
          <cell r="AN74">
            <v>3300000</v>
          </cell>
          <cell r="AO74">
            <v>0</v>
          </cell>
          <cell r="AP74">
            <v>0</v>
          </cell>
          <cell r="AQ74">
            <v>0</v>
          </cell>
          <cell r="AR74">
            <v>620826</v>
          </cell>
          <cell r="AS74">
            <v>-53616018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5365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36618</v>
          </cell>
          <cell r="BF74">
            <v>926271</v>
          </cell>
          <cell r="BG74">
            <v>3182362</v>
          </cell>
          <cell r="BH74">
            <v>635352</v>
          </cell>
          <cell r="BI74">
            <v>2507868</v>
          </cell>
          <cell r="BJ74">
            <v>4885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5">
          <cell r="A75">
            <v>23</v>
          </cell>
          <cell r="B75">
            <v>37561</v>
          </cell>
          <cell r="C75">
            <v>3146101</v>
          </cell>
          <cell r="D75">
            <v>1649526</v>
          </cell>
          <cell r="E75">
            <v>1041</v>
          </cell>
          <cell r="F75">
            <v>106538</v>
          </cell>
          <cell r="G75">
            <v>570202</v>
          </cell>
          <cell r="H75">
            <v>0</v>
          </cell>
          <cell r="I75">
            <v>-3065</v>
          </cell>
          <cell r="J75">
            <v>1812724</v>
          </cell>
          <cell r="K75">
            <v>-540825</v>
          </cell>
          <cell r="L75">
            <v>46000</v>
          </cell>
          <cell r="M75">
            <v>-3530736</v>
          </cell>
          <cell r="N75">
            <v>875000</v>
          </cell>
          <cell r="O75">
            <v>-13253263</v>
          </cell>
          <cell r="P75">
            <v>600000</v>
          </cell>
          <cell r="Q75">
            <v>0</v>
          </cell>
          <cell r="R75">
            <v>0</v>
          </cell>
          <cell r="S75">
            <v>-2949889</v>
          </cell>
          <cell r="T75">
            <v>265</v>
          </cell>
          <cell r="U75">
            <v>303563</v>
          </cell>
          <cell r="V75">
            <v>-1764273</v>
          </cell>
          <cell r="W75">
            <v>-1</v>
          </cell>
          <cell r="X75">
            <v>274660</v>
          </cell>
          <cell r="Y75">
            <v>490223</v>
          </cell>
          <cell r="Z75">
            <v>18432943</v>
          </cell>
          <cell r="AA75">
            <v>11544093</v>
          </cell>
          <cell r="AB75">
            <v>2300662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-59809</v>
          </cell>
          <cell r="AK75">
            <v>0</v>
          </cell>
          <cell r="AL75">
            <v>0</v>
          </cell>
          <cell r="AM75">
            <v>0</v>
          </cell>
          <cell r="AN75">
            <v>3300000</v>
          </cell>
          <cell r="AO75">
            <v>0</v>
          </cell>
          <cell r="AP75">
            <v>0</v>
          </cell>
          <cell r="AQ75">
            <v>0</v>
          </cell>
          <cell r="AR75">
            <v>620826</v>
          </cell>
          <cell r="AS75">
            <v>-63007907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5432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38686</v>
          </cell>
          <cell r="BF75">
            <v>1115497</v>
          </cell>
          <cell r="BG75">
            <v>3468887</v>
          </cell>
          <cell r="BH75">
            <v>692963</v>
          </cell>
          <cell r="BI75">
            <v>2436289</v>
          </cell>
          <cell r="BJ75">
            <v>4885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</row>
        <row r="76">
          <cell r="A76">
            <v>24</v>
          </cell>
          <cell r="B76">
            <v>37591</v>
          </cell>
          <cell r="C76">
            <v>3075230</v>
          </cell>
          <cell r="D76">
            <v>1652192</v>
          </cell>
          <cell r="E76">
            <v>1128</v>
          </cell>
          <cell r="F76">
            <v>115165</v>
          </cell>
          <cell r="G76">
            <v>570202</v>
          </cell>
          <cell r="H76">
            <v>0</v>
          </cell>
          <cell r="I76">
            <v>-3065</v>
          </cell>
          <cell r="J76">
            <v>2129565</v>
          </cell>
          <cell r="K76">
            <v>-538770</v>
          </cell>
          <cell r="L76">
            <v>46000</v>
          </cell>
          <cell r="M76">
            <v>-3530736</v>
          </cell>
          <cell r="N76">
            <v>1750000</v>
          </cell>
          <cell r="O76">
            <v>-14765584</v>
          </cell>
          <cell r="P76">
            <v>600000</v>
          </cell>
          <cell r="Q76">
            <v>0</v>
          </cell>
          <cell r="R76">
            <v>0</v>
          </cell>
          <cell r="S76">
            <v>-2952555</v>
          </cell>
          <cell r="T76">
            <v>265</v>
          </cell>
          <cell r="U76">
            <v>374434</v>
          </cell>
          <cell r="V76">
            <v>-1764273</v>
          </cell>
          <cell r="W76">
            <v>0</v>
          </cell>
          <cell r="X76">
            <v>274660</v>
          </cell>
          <cell r="Y76">
            <v>524648</v>
          </cell>
          <cell r="Z76">
            <v>19379631</v>
          </cell>
          <cell r="AA76">
            <v>12221674</v>
          </cell>
          <cell r="AB76">
            <v>2699253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21200</v>
          </cell>
          <cell r="AK76">
            <v>0</v>
          </cell>
          <cell r="AL76">
            <v>0</v>
          </cell>
          <cell r="AM76">
            <v>0</v>
          </cell>
          <cell r="AN76">
            <v>3300000</v>
          </cell>
          <cell r="AO76">
            <v>5400000</v>
          </cell>
          <cell r="AP76">
            <v>200000</v>
          </cell>
          <cell r="AQ76">
            <v>0</v>
          </cell>
          <cell r="AR76">
            <v>620826</v>
          </cell>
          <cell r="AS76">
            <v>-52588472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5432</v>
          </cell>
          <cell r="AZ76">
            <v>0</v>
          </cell>
        </row>
        <row r="77">
          <cell r="A77">
            <v>25</v>
          </cell>
        </row>
        <row r="78">
          <cell r="A78">
            <v>26</v>
          </cell>
        </row>
        <row r="79">
          <cell r="A79">
            <v>27</v>
          </cell>
        </row>
        <row r="80">
          <cell r="A80">
            <v>28</v>
          </cell>
        </row>
        <row r="81">
          <cell r="A81">
            <v>29</v>
          </cell>
        </row>
        <row r="82">
          <cell r="A82">
            <v>30</v>
          </cell>
        </row>
        <row r="83">
          <cell r="A83">
            <v>31</v>
          </cell>
        </row>
        <row r="84">
          <cell r="A84">
            <v>32</v>
          </cell>
        </row>
        <row r="85">
          <cell r="A85">
            <v>33</v>
          </cell>
        </row>
        <row r="86">
          <cell r="A86">
            <v>34</v>
          </cell>
        </row>
        <row r="87">
          <cell r="A87">
            <v>35</v>
          </cell>
        </row>
        <row r="88">
          <cell r="A88">
            <v>36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 Data"/>
      <sheetName val="NYC Chart"/>
      <sheetName val="Hudson Valley"/>
      <sheetName val="PJM"/>
      <sheetName val="Historical On-Peak Prices"/>
      <sheetName val="Calc Sheet"/>
      <sheetName val="PJM Forward Curve"/>
      <sheetName val="$-Delt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5">
          <cell r="B15">
            <v>4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aterfall_1"/>
      <sheetName val="Waterfall_2"/>
      <sheetName val="Waterfall_3"/>
      <sheetName val="Waterfall_4"/>
      <sheetName val="Waterfall_5"/>
      <sheetName val="Waterfall_6"/>
      <sheetName val="Waterfall_7"/>
      <sheetName val="Waterfall_8"/>
    </sheetNames>
    <sheetDataSet>
      <sheetData sheetId="0">
        <row r="67">
          <cell r="C67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+count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S"/>
      <sheetName val="Table A "/>
      <sheetName val="FIRM"/>
      <sheetName val="SPOT"/>
      <sheetName val="NYISO"/>
      <sheetName val="Misc."/>
      <sheetName val="Module1"/>
      <sheetName val="Module2"/>
      <sheetName val="Module3"/>
    </sheetNames>
    <sheetDataSet>
      <sheetData sheetId="0">
        <row r="3">
          <cell r="A3">
            <v>1</v>
          </cell>
          <cell r="B3">
            <v>37622</v>
          </cell>
          <cell r="C3">
            <v>347950</v>
          </cell>
          <cell r="D3">
            <v>35290556</v>
          </cell>
          <cell r="G3">
            <v>7567732</v>
          </cell>
          <cell r="I3">
            <v>95063</v>
          </cell>
          <cell r="J3">
            <v>3168167</v>
          </cell>
          <cell r="K3">
            <v>2358823</v>
          </cell>
          <cell r="L3">
            <v>431089</v>
          </cell>
          <cell r="M3">
            <v>2132788</v>
          </cell>
          <cell r="U3">
            <v>67</v>
          </cell>
          <cell r="V3">
            <v>5236</v>
          </cell>
          <cell r="AA3">
            <v>167831</v>
          </cell>
          <cell r="AB3">
            <v>6850299</v>
          </cell>
          <cell r="AC3">
            <v>3990197</v>
          </cell>
          <cell r="AG3">
            <v>29726</v>
          </cell>
          <cell r="AH3">
            <v>1469197</v>
          </cell>
          <cell r="AM3">
            <v>194917</v>
          </cell>
          <cell r="AN3">
            <v>6070277</v>
          </cell>
          <cell r="AO3">
            <v>4460002</v>
          </cell>
          <cell r="AP3">
            <v>758180</v>
          </cell>
          <cell r="AQ3">
            <v>2858180</v>
          </cell>
          <cell r="AU3">
            <v>10555973</v>
          </cell>
          <cell r="AY3">
            <v>487</v>
          </cell>
          <cell r="AZ3">
            <v>39933</v>
          </cell>
          <cell r="BE3">
            <v>7136</v>
          </cell>
          <cell r="BF3">
            <v>282395</v>
          </cell>
          <cell r="BG3">
            <v>123735</v>
          </cell>
          <cell r="BH3">
            <v>36903</v>
          </cell>
          <cell r="BI3">
            <v>146223</v>
          </cell>
          <cell r="BJ3">
            <v>3613</v>
          </cell>
        </row>
        <row r="4">
          <cell r="A4">
            <v>2</v>
          </cell>
          <cell r="B4">
            <v>37653</v>
          </cell>
          <cell r="C4">
            <v>280502</v>
          </cell>
          <cell r="D4">
            <v>28136381</v>
          </cell>
          <cell r="G4">
            <v>6835370</v>
          </cell>
          <cell r="I4">
            <v>85458</v>
          </cell>
          <cell r="J4">
            <v>3227294</v>
          </cell>
          <cell r="K4">
            <v>2134178</v>
          </cell>
          <cell r="L4">
            <v>391656</v>
          </cell>
          <cell r="M4">
            <v>2002155</v>
          </cell>
          <cell r="U4">
            <v>341</v>
          </cell>
          <cell r="V4">
            <v>30027</v>
          </cell>
          <cell r="AA4">
            <v>152516</v>
          </cell>
          <cell r="AB4">
            <v>6561196</v>
          </cell>
          <cell r="AC4">
            <v>3748225</v>
          </cell>
          <cell r="AG4">
            <v>23533</v>
          </cell>
          <cell r="AH4">
            <v>1609614</v>
          </cell>
          <cell r="AM4">
            <v>175680</v>
          </cell>
          <cell r="AN4">
            <v>6260319</v>
          </cell>
          <cell r="AO4">
            <v>4478155</v>
          </cell>
          <cell r="AP4">
            <v>756616</v>
          </cell>
          <cell r="AQ4">
            <v>2756617</v>
          </cell>
          <cell r="AU4">
            <v>10555973</v>
          </cell>
          <cell r="AY4">
            <v>441</v>
          </cell>
          <cell r="AZ4">
            <v>38775</v>
          </cell>
          <cell r="BE4">
            <v>7093</v>
          </cell>
          <cell r="BF4">
            <v>313224</v>
          </cell>
          <cell r="BG4">
            <v>106753</v>
          </cell>
          <cell r="BH4">
            <v>30807</v>
          </cell>
          <cell r="BI4">
            <v>122504</v>
          </cell>
        </row>
        <row r="5">
          <cell r="A5">
            <v>3</v>
          </cell>
          <cell r="B5">
            <v>37681</v>
          </cell>
          <cell r="C5">
            <v>386751</v>
          </cell>
          <cell r="D5">
            <v>41262631</v>
          </cell>
          <cell r="G5">
            <v>7567732</v>
          </cell>
          <cell r="I5">
            <v>94152</v>
          </cell>
          <cell r="J5">
            <v>3613532</v>
          </cell>
          <cell r="K5">
            <v>2352597</v>
          </cell>
          <cell r="L5">
            <v>433398</v>
          </cell>
          <cell r="M5">
            <v>2218798</v>
          </cell>
          <cell r="N5">
            <v>93819</v>
          </cell>
          <cell r="U5">
            <v>442</v>
          </cell>
          <cell r="V5">
            <v>35638</v>
          </cell>
          <cell r="AA5">
            <v>159061</v>
          </cell>
          <cell r="AB5">
            <v>11215073</v>
          </cell>
          <cell r="AC5">
            <v>3494446</v>
          </cell>
          <cell r="AF5">
            <v>429617</v>
          </cell>
          <cell r="AG5">
            <v>30771</v>
          </cell>
          <cell r="AH5">
            <v>2281818</v>
          </cell>
          <cell r="AM5">
            <v>191755</v>
          </cell>
          <cell r="AN5">
            <v>9598680</v>
          </cell>
          <cell r="AO5">
            <v>4496381</v>
          </cell>
          <cell r="AP5">
            <v>766382</v>
          </cell>
          <cell r="AQ5">
            <v>2866382</v>
          </cell>
          <cell r="AR5">
            <v>143024</v>
          </cell>
          <cell r="AU5">
            <v>10555973</v>
          </cell>
          <cell r="AY5">
            <v>618</v>
          </cell>
          <cell r="AZ5">
            <v>49944</v>
          </cell>
          <cell r="BE5">
            <v>5537</v>
          </cell>
          <cell r="BF5">
            <v>250650</v>
          </cell>
          <cell r="BG5">
            <v>179760</v>
          </cell>
          <cell r="BH5">
            <v>52072</v>
          </cell>
          <cell r="BI5">
            <v>207545</v>
          </cell>
        </row>
        <row r="6">
          <cell r="A6">
            <v>4</v>
          </cell>
          <cell r="B6">
            <v>37712</v>
          </cell>
          <cell r="C6">
            <v>363480</v>
          </cell>
          <cell r="D6">
            <v>30452704</v>
          </cell>
          <cell r="G6">
            <v>7313440</v>
          </cell>
          <cell r="I6">
            <v>89767</v>
          </cell>
          <cell r="J6">
            <v>5457772</v>
          </cell>
          <cell r="K6">
            <v>2260287</v>
          </cell>
          <cell r="L6">
            <v>417354</v>
          </cell>
          <cell r="M6">
            <v>2138509</v>
          </cell>
          <cell r="U6">
            <v>387</v>
          </cell>
          <cell r="V6">
            <v>24546</v>
          </cell>
          <cell r="AA6">
            <v>176388</v>
          </cell>
          <cell r="AB6">
            <v>4564444</v>
          </cell>
          <cell r="AC6">
            <v>3952839</v>
          </cell>
          <cell r="AF6">
            <v>139655</v>
          </cell>
          <cell r="AG6">
            <v>32848</v>
          </cell>
          <cell r="AH6">
            <v>2031414</v>
          </cell>
          <cell r="AM6">
            <v>144392</v>
          </cell>
          <cell r="AN6">
            <v>4863416</v>
          </cell>
          <cell r="AO6">
            <v>4514681</v>
          </cell>
          <cell r="AP6">
            <v>769898</v>
          </cell>
          <cell r="AQ6">
            <v>2869898</v>
          </cell>
          <cell r="AU6">
            <v>10555973</v>
          </cell>
          <cell r="AY6">
            <v>585</v>
          </cell>
          <cell r="AZ6">
            <v>37194</v>
          </cell>
          <cell r="BE6">
            <v>7116</v>
          </cell>
          <cell r="BF6">
            <v>219153</v>
          </cell>
          <cell r="BG6">
            <v>171246</v>
          </cell>
          <cell r="BH6">
            <v>49782</v>
          </cell>
          <cell r="BI6">
            <v>198856</v>
          </cell>
          <cell r="BJ6">
            <v>3558</v>
          </cell>
        </row>
        <row r="7">
          <cell r="A7">
            <v>5</v>
          </cell>
          <cell r="B7">
            <v>37742</v>
          </cell>
          <cell r="C7">
            <v>361779</v>
          </cell>
          <cell r="D7">
            <v>28927876</v>
          </cell>
          <cell r="G7">
            <v>7567732</v>
          </cell>
          <cell r="I7">
            <v>86528</v>
          </cell>
          <cell r="J7">
            <v>3621943</v>
          </cell>
          <cell r="K7">
            <v>2079299</v>
          </cell>
          <cell r="L7">
            <v>383531</v>
          </cell>
          <cell r="M7">
            <v>1964412</v>
          </cell>
          <cell r="U7">
            <v>310</v>
          </cell>
          <cell r="V7">
            <v>13782</v>
          </cell>
          <cell r="AA7">
            <v>163185</v>
          </cell>
          <cell r="AB7">
            <v>6637963</v>
          </cell>
          <cell r="AC7">
            <v>3915413</v>
          </cell>
          <cell r="AG7">
            <v>35340</v>
          </cell>
          <cell r="AH7">
            <v>1316991</v>
          </cell>
          <cell r="AM7">
            <v>77912</v>
          </cell>
          <cell r="AN7">
            <v>3270649</v>
          </cell>
          <cell r="AO7">
            <v>4533055</v>
          </cell>
          <cell r="AP7">
            <v>768336</v>
          </cell>
          <cell r="AQ7">
            <v>2868336</v>
          </cell>
          <cell r="AU7">
            <v>10555973</v>
          </cell>
          <cell r="AY7">
            <v>807</v>
          </cell>
          <cell r="AZ7">
            <v>36673</v>
          </cell>
          <cell r="BE7">
            <v>5460</v>
          </cell>
          <cell r="BF7">
            <v>207277</v>
          </cell>
          <cell r="BG7">
            <v>199617</v>
          </cell>
          <cell r="BH7">
            <v>57940</v>
          </cell>
          <cell r="BI7">
            <v>231221</v>
          </cell>
        </row>
        <row r="8">
          <cell r="A8">
            <v>6</v>
          </cell>
          <cell r="B8">
            <v>37773</v>
          </cell>
          <cell r="C8">
            <v>385696</v>
          </cell>
          <cell r="D8">
            <v>30581828</v>
          </cell>
          <cell r="G8">
            <v>7323611</v>
          </cell>
          <cell r="I8">
            <v>91766</v>
          </cell>
          <cell r="J8">
            <v>3661867</v>
          </cell>
          <cell r="K8">
            <v>2255194</v>
          </cell>
          <cell r="L8">
            <v>416076</v>
          </cell>
          <cell r="M8">
            <v>2131317</v>
          </cell>
          <cell r="N8">
            <v>65336</v>
          </cell>
          <cell r="U8">
            <v>179</v>
          </cell>
          <cell r="V8">
            <v>10115</v>
          </cell>
          <cell r="AA8">
            <v>171613</v>
          </cell>
          <cell r="AB8">
            <v>7290733</v>
          </cell>
          <cell r="AC8">
            <v>4040314</v>
          </cell>
          <cell r="AG8">
            <v>30726</v>
          </cell>
          <cell r="AH8">
            <v>1339967</v>
          </cell>
          <cell r="AM8">
            <v>188580</v>
          </cell>
          <cell r="AN8">
            <v>6612237</v>
          </cell>
          <cell r="AO8">
            <v>4551506</v>
          </cell>
          <cell r="AP8">
            <v>768726</v>
          </cell>
          <cell r="AQ8">
            <v>2868726</v>
          </cell>
          <cell r="AR8">
            <v>113128</v>
          </cell>
          <cell r="AU8">
            <v>10555973</v>
          </cell>
          <cell r="AY8">
            <v>767</v>
          </cell>
          <cell r="AZ8">
            <v>41235</v>
          </cell>
          <cell r="BE8">
            <v>9060</v>
          </cell>
          <cell r="BF8">
            <v>382343</v>
          </cell>
          <cell r="BG8">
            <v>194347</v>
          </cell>
          <cell r="BH8">
            <v>56428</v>
          </cell>
          <cell r="BI8">
            <v>225231</v>
          </cell>
        </row>
        <row r="9">
          <cell r="A9">
            <v>7</v>
          </cell>
          <cell r="B9">
            <v>37803</v>
          </cell>
          <cell r="C9">
            <v>422207</v>
          </cell>
          <cell r="D9">
            <v>35129914</v>
          </cell>
          <cell r="G9">
            <v>7567732</v>
          </cell>
          <cell r="I9">
            <v>91930</v>
          </cell>
          <cell r="J9">
            <v>4293037</v>
          </cell>
          <cell r="K9">
            <v>2313683</v>
          </cell>
          <cell r="L9">
            <v>412132</v>
          </cell>
          <cell r="M9">
            <v>2122856</v>
          </cell>
          <cell r="U9">
            <v>198</v>
          </cell>
          <cell r="V9">
            <v>14796</v>
          </cell>
          <cell r="AA9">
            <v>170097</v>
          </cell>
          <cell r="AB9">
            <v>6945496</v>
          </cell>
          <cell r="AC9">
            <v>3907974</v>
          </cell>
          <cell r="AF9">
            <v>125255</v>
          </cell>
          <cell r="AG9">
            <v>35374</v>
          </cell>
          <cell r="AH9">
            <v>2132475</v>
          </cell>
          <cell r="AM9">
            <v>193473</v>
          </cell>
          <cell r="AN9">
            <v>6430517</v>
          </cell>
          <cell r="AO9">
            <v>4570030</v>
          </cell>
          <cell r="AP9">
            <v>769117</v>
          </cell>
          <cell r="AQ9">
            <v>2869117</v>
          </cell>
          <cell r="AU9">
            <v>10555973</v>
          </cell>
          <cell r="AY9">
            <v>592</v>
          </cell>
          <cell r="AZ9">
            <v>47063</v>
          </cell>
          <cell r="BE9">
            <v>9266</v>
          </cell>
          <cell r="BF9">
            <v>398712</v>
          </cell>
          <cell r="BG9">
            <v>175902</v>
          </cell>
          <cell r="BH9">
            <v>51090</v>
          </cell>
          <cell r="BI9">
            <v>203966</v>
          </cell>
          <cell r="BJ9">
            <v>3234</v>
          </cell>
        </row>
        <row r="10">
          <cell r="A10">
            <v>8</v>
          </cell>
          <cell r="B10">
            <v>37834</v>
          </cell>
          <cell r="C10">
            <v>408149</v>
          </cell>
          <cell r="D10">
            <v>30927117</v>
          </cell>
          <cell r="G10">
            <v>7567732</v>
          </cell>
          <cell r="I10">
            <v>94411</v>
          </cell>
          <cell r="J10">
            <v>3516513</v>
          </cell>
          <cell r="K10">
            <v>2360043</v>
          </cell>
          <cell r="L10">
            <v>427554</v>
          </cell>
          <cell r="M10">
            <v>2180486</v>
          </cell>
          <cell r="U10">
            <v>181</v>
          </cell>
          <cell r="V10">
            <v>14069</v>
          </cell>
          <cell r="AA10">
            <v>147710</v>
          </cell>
          <cell r="AB10">
            <v>5448443</v>
          </cell>
          <cell r="AC10">
            <v>3503903</v>
          </cell>
          <cell r="AG10">
            <v>30568</v>
          </cell>
          <cell r="AH10">
            <v>1925552</v>
          </cell>
          <cell r="AM10">
            <v>187428</v>
          </cell>
          <cell r="AN10">
            <v>5849929</v>
          </cell>
          <cell r="AO10">
            <v>4588629</v>
          </cell>
          <cell r="AP10">
            <v>772242</v>
          </cell>
          <cell r="AQ10">
            <v>2872242</v>
          </cell>
          <cell r="AU10">
            <v>10555973</v>
          </cell>
          <cell r="AY10">
            <v>588</v>
          </cell>
          <cell r="AZ10">
            <v>45709</v>
          </cell>
          <cell r="BE10">
            <v>9278</v>
          </cell>
          <cell r="BF10">
            <v>381781</v>
          </cell>
          <cell r="BG10">
            <v>142558</v>
          </cell>
          <cell r="BH10">
            <v>41521</v>
          </cell>
          <cell r="BI10">
            <v>166049</v>
          </cell>
        </row>
        <row r="11">
          <cell r="A11">
            <v>9</v>
          </cell>
          <cell r="B11">
            <v>37865</v>
          </cell>
          <cell r="C11">
            <v>361637</v>
          </cell>
          <cell r="D11">
            <v>29572374</v>
          </cell>
          <cell r="G11">
            <v>7323611</v>
          </cell>
          <cell r="I11">
            <v>93629</v>
          </cell>
          <cell r="J11">
            <v>3622920</v>
          </cell>
          <cell r="K11">
            <v>2333096</v>
          </cell>
          <cell r="L11">
            <v>424346</v>
          </cell>
          <cell r="M11">
            <v>2178412</v>
          </cell>
          <cell r="N11">
            <v>53704</v>
          </cell>
          <cell r="U11">
            <v>229</v>
          </cell>
          <cell r="V11">
            <v>13117</v>
          </cell>
          <cell r="AA11">
            <v>167805</v>
          </cell>
          <cell r="AB11">
            <v>6498274</v>
          </cell>
          <cell r="AC11">
            <v>3980016</v>
          </cell>
          <cell r="AF11">
            <v>124668</v>
          </cell>
          <cell r="AG11">
            <v>32873</v>
          </cell>
          <cell r="AH11">
            <v>1420490</v>
          </cell>
          <cell r="AM11">
            <v>168768</v>
          </cell>
          <cell r="AN11">
            <v>5525302</v>
          </cell>
          <cell r="AO11">
            <v>4607306</v>
          </cell>
          <cell r="AP11">
            <v>777710</v>
          </cell>
          <cell r="AQ11">
            <v>2877710</v>
          </cell>
          <cell r="AR11">
            <v>117136</v>
          </cell>
          <cell r="AU11">
            <v>10555973</v>
          </cell>
          <cell r="AY11">
            <v>723</v>
          </cell>
          <cell r="AZ11">
            <v>41472</v>
          </cell>
          <cell r="BE11">
            <v>8783</v>
          </cell>
          <cell r="BF11">
            <v>340038</v>
          </cell>
          <cell r="BG11">
            <v>157784</v>
          </cell>
          <cell r="BH11">
            <v>46142</v>
          </cell>
          <cell r="BI11">
            <v>184989</v>
          </cell>
          <cell r="BJ11">
            <v>4639</v>
          </cell>
        </row>
        <row r="12">
          <cell r="A12">
            <v>10</v>
          </cell>
          <cell r="B12">
            <v>37895</v>
          </cell>
          <cell r="C12">
            <v>321411</v>
          </cell>
          <cell r="D12">
            <v>26512670</v>
          </cell>
          <cell r="G12">
            <v>7577903</v>
          </cell>
          <cell r="I12">
            <v>9319</v>
          </cell>
          <cell r="J12">
            <v>382420</v>
          </cell>
          <cell r="K12">
            <v>233202</v>
          </cell>
          <cell r="L12">
            <v>42469</v>
          </cell>
          <cell r="M12">
            <v>218128</v>
          </cell>
          <cell r="U12">
            <v>278</v>
          </cell>
          <cell r="V12">
            <v>13957</v>
          </cell>
          <cell r="AA12">
            <v>185818</v>
          </cell>
          <cell r="AB12">
            <v>6829019</v>
          </cell>
          <cell r="AC12">
            <v>3968249</v>
          </cell>
          <cell r="AG12">
            <v>34704</v>
          </cell>
          <cell r="AH12">
            <v>1501579</v>
          </cell>
          <cell r="AM12">
            <v>192444</v>
          </cell>
          <cell r="AN12">
            <v>6032983</v>
          </cell>
          <cell r="AO12">
            <v>4626058</v>
          </cell>
          <cell r="AP12">
            <v>779663</v>
          </cell>
          <cell r="AQ12">
            <v>2879663</v>
          </cell>
          <cell r="AU12">
            <v>10555973</v>
          </cell>
          <cell r="AY12">
            <v>766</v>
          </cell>
          <cell r="AZ12">
            <v>38344</v>
          </cell>
          <cell r="BE12">
            <v>7951</v>
          </cell>
          <cell r="BF12">
            <v>305763</v>
          </cell>
          <cell r="BG12">
            <v>193732</v>
          </cell>
          <cell r="BH12">
            <v>56743</v>
          </cell>
          <cell r="BI12">
            <v>227705</v>
          </cell>
        </row>
        <row r="13">
          <cell r="A13">
            <v>11</v>
          </cell>
          <cell r="B13">
            <v>37926</v>
          </cell>
          <cell r="C13">
            <v>290328</v>
          </cell>
          <cell r="D13">
            <v>20964195</v>
          </cell>
          <cell r="G13">
            <v>7323611</v>
          </cell>
          <cell r="I13">
            <v>52168</v>
          </cell>
          <cell r="J13">
            <v>2006010</v>
          </cell>
          <cell r="K13">
            <v>2333095</v>
          </cell>
          <cell r="L13">
            <v>425316</v>
          </cell>
          <cell r="M13">
            <v>2185239</v>
          </cell>
          <cell r="U13">
            <v>195</v>
          </cell>
          <cell r="V13">
            <v>8625</v>
          </cell>
          <cell r="AA13">
            <v>161666</v>
          </cell>
          <cell r="AB13">
            <v>5821484</v>
          </cell>
          <cell r="AC13">
            <v>3845133</v>
          </cell>
          <cell r="AG13">
            <v>32405</v>
          </cell>
          <cell r="AH13">
            <v>1319261</v>
          </cell>
          <cell r="AM13">
            <v>164497</v>
          </cell>
          <cell r="AN13">
            <v>5259152</v>
          </cell>
          <cell r="AO13">
            <v>4644886</v>
          </cell>
          <cell r="AP13">
            <v>781226</v>
          </cell>
          <cell r="AQ13">
            <v>2881226</v>
          </cell>
          <cell r="AU13">
            <v>10555973</v>
          </cell>
          <cell r="AY13">
            <v>699</v>
          </cell>
          <cell r="AZ13">
            <v>31106</v>
          </cell>
          <cell r="BE13">
            <v>7506</v>
          </cell>
          <cell r="BF13">
            <v>303156</v>
          </cell>
          <cell r="BG13">
            <v>211621</v>
          </cell>
          <cell r="BH13">
            <v>62060</v>
          </cell>
          <cell r="BI13">
            <v>249229</v>
          </cell>
        </row>
        <row r="14">
          <cell r="A14">
            <v>12</v>
          </cell>
          <cell r="B14">
            <v>37956</v>
          </cell>
          <cell r="C14">
            <v>354487</v>
          </cell>
          <cell r="D14">
            <v>25344126</v>
          </cell>
          <cell r="G14">
            <v>7567732</v>
          </cell>
          <cell r="I14">
            <v>96336</v>
          </cell>
          <cell r="J14">
            <v>3865107</v>
          </cell>
          <cell r="K14">
            <v>1991841</v>
          </cell>
          <cell r="L14">
            <v>362140</v>
          </cell>
          <cell r="M14">
            <v>-460945</v>
          </cell>
          <cell r="N14">
            <v>27809</v>
          </cell>
          <cell r="U14">
            <v>443</v>
          </cell>
          <cell r="V14">
            <v>24582</v>
          </cell>
          <cell r="AA14">
            <v>165025</v>
          </cell>
          <cell r="AB14">
            <v>7350052</v>
          </cell>
          <cell r="AC14">
            <v>3981849</v>
          </cell>
          <cell r="AG14">
            <v>32831</v>
          </cell>
          <cell r="AH14">
            <v>1583921</v>
          </cell>
          <cell r="AM14">
            <v>168194</v>
          </cell>
          <cell r="AN14">
            <v>5519835</v>
          </cell>
          <cell r="AO14">
            <v>4663791</v>
          </cell>
          <cell r="AP14">
            <v>778882</v>
          </cell>
          <cell r="AQ14">
            <v>2878882</v>
          </cell>
          <cell r="AR14">
            <v>99913</v>
          </cell>
          <cell r="AU14">
            <v>10555973</v>
          </cell>
          <cell r="AY14">
            <v>563</v>
          </cell>
          <cell r="AZ14">
            <v>31244</v>
          </cell>
          <cell r="BE14">
            <v>6720</v>
          </cell>
          <cell r="BF14">
            <v>288706</v>
          </cell>
          <cell r="BG14">
            <v>187104</v>
          </cell>
          <cell r="BH14">
            <v>55063</v>
          </cell>
          <cell r="BI14">
            <v>219661</v>
          </cell>
        </row>
        <row r="15">
          <cell r="A15">
            <v>13</v>
          </cell>
          <cell r="B15">
            <v>37987</v>
          </cell>
          <cell r="C15">
            <v>303706</v>
          </cell>
          <cell r="D15">
            <v>40227667</v>
          </cell>
          <cell r="G15">
            <v>7567732</v>
          </cell>
          <cell r="I15">
            <v>94516</v>
          </cell>
          <cell r="J15">
            <v>3905715</v>
          </cell>
          <cell r="K15">
            <v>2362648</v>
          </cell>
          <cell r="L15">
            <v>429789</v>
          </cell>
          <cell r="M15">
            <v>2207101</v>
          </cell>
          <cell r="U15">
            <v>435</v>
          </cell>
          <cell r="V15">
            <v>42005</v>
          </cell>
          <cell r="AA15">
            <v>166637</v>
          </cell>
          <cell r="AB15">
            <v>5693068</v>
          </cell>
          <cell r="AC15">
            <v>3927409</v>
          </cell>
          <cell r="AF15">
            <v>91347</v>
          </cell>
          <cell r="AG15">
            <v>29246</v>
          </cell>
          <cell r="AH15">
            <v>1818101</v>
          </cell>
          <cell r="AM15">
            <v>149798</v>
          </cell>
          <cell r="AN15">
            <v>5811616</v>
          </cell>
          <cell r="AO15">
            <v>4682771</v>
          </cell>
          <cell r="AP15">
            <v>778491</v>
          </cell>
          <cell r="AQ15">
            <v>2878491</v>
          </cell>
          <cell r="AR15">
            <v>286</v>
          </cell>
          <cell r="AU15">
            <v>10658457</v>
          </cell>
          <cell r="AY15">
            <v>512</v>
          </cell>
          <cell r="AZ15">
            <v>49373</v>
          </cell>
          <cell r="BE15">
            <v>3707</v>
          </cell>
          <cell r="BF15">
            <v>138516</v>
          </cell>
          <cell r="BG15">
            <v>36944</v>
          </cell>
          <cell r="BH15">
            <v>0</v>
          </cell>
          <cell r="BI15">
            <v>53835</v>
          </cell>
          <cell r="BJ15">
            <v>4736</v>
          </cell>
        </row>
        <row r="16">
          <cell r="A16">
            <v>14</v>
          </cell>
          <cell r="B16">
            <v>38018</v>
          </cell>
          <cell r="C16">
            <v>301520</v>
          </cell>
          <cell r="D16">
            <v>22613180</v>
          </cell>
          <cell r="G16">
            <v>7079491</v>
          </cell>
          <cell r="I16">
            <v>84575</v>
          </cell>
          <cell r="J16">
            <v>4296302</v>
          </cell>
          <cell r="K16">
            <v>2255085</v>
          </cell>
          <cell r="L16">
            <v>410836</v>
          </cell>
          <cell r="M16">
            <v>2110951</v>
          </cell>
          <cell r="U16">
            <v>395</v>
          </cell>
          <cell r="V16">
            <v>23558</v>
          </cell>
          <cell r="AA16">
            <v>150692</v>
          </cell>
          <cell r="AB16">
            <v>9697413</v>
          </cell>
          <cell r="AC16">
            <v>3490794</v>
          </cell>
          <cell r="AG16">
            <v>25814</v>
          </cell>
          <cell r="AH16">
            <v>1341650</v>
          </cell>
          <cell r="AM16">
            <v>179681</v>
          </cell>
          <cell r="AN16">
            <v>6141855</v>
          </cell>
          <cell r="AO16">
            <v>4701831</v>
          </cell>
          <cell r="AP16">
            <v>780835</v>
          </cell>
          <cell r="AQ16">
            <v>2880836</v>
          </cell>
          <cell r="AU16">
            <v>10717549</v>
          </cell>
          <cell r="AY16">
            <v>457</v>
          </cell>
          <cell r="AZ16">
            <v>27250</v>
          </cell>
          <cell r="BE16">
            <v>7370</v>
          </cell>
          <cell r="BF16">
            <v>313353</v>
          </cell>
          <cell r="BG16">
            <v>126717</v>
          </cell>
          <cell r="BH16">
            <v>0</v>
          </cell>
          <cell r="BI16">
            <v>186408</v>
          </cell>
        </row>
        <row r="17">
          <cell r="A17">
            <v>15</v>
          </cell>
          <cell r="B17">
            <v>38047</v>
          </cell>
          <cell r="C17">
            <v>318724</v>
          </cell>
          <cell r="D17">
            <v>30782011</v>
          </cell>
          <cell r="G17">
            <v>7567732</v>
          </cell>
          <cell r="I17">
            <v>88643</v>
          </cell>
          <cell r="J17">
            <v>4161445</v>
          </cell>
          <cell r="K17">
            <v>2409285</v>
          </cell>
          <cell r="L17">
            <v>440243</v>
          </cell>
          <cell r="M17">
            <v>2264612</v>
          </cell>
          <cell r="N17">
            <v>30128</v>
          </cell>
          <cell r="U17">
            <v>363</v>
          </cell>
          <cell r="V17">
            <v>23936</v>
          </cell>
          <cell r="AA17">
            <v>172834</v>
          </cell>
          <cell r="AB17">
            <v>4723620</v>
          </cell>
          <cell r="AC17">
            <v>4181355</v>
          </cell>
          <cell r="AF17">
            <v>44317</v>
          </cell>
          <cell r="AG17">
            <v>36202</v>
          </cell>
          <cell r="AH17">
            <v>1685724</v>
          </cell>
          <cell r="AM17">
            <v>189846</v>
          </cell>
          <cell r="AN17">
            <v>6399045</v>
          </cell>
          <cell r="AO17">
            <v>4720967</v>
          </cell>
          <cell r="AP17">
            <v>785523</v>
          </cell>
          <cell r="AQ17">
            <v>2885523</v>
          </cell>
          <cell r="AR17">
            <v>65405</v>
          </cell>
          <cell r="AU17">
            <v>10688003</v>
          </cell>
          <cell r="AY17">
            <v>544</v>
          </cell>
          <cell r="AZ17">
            <v>35854</v>
          </cell>
          <cell r="BE17">
            <v>7135</v>
          </cell>
          <cell r="BF17">
            <v>289223</v>
          </cell>
          <cell r="BG17">
            <v>174989</v>
          </cell>
          <cell r="BH17">
            <v>0</v>
          </cell>
          <cell r="BI17">
            <v>258714</v>
          </cell>
        </row>
        <row r="18">
          <cell r="A18">
            <v>16</v>
          </cell>
          <cell r="B18">
            <v>38078</v>
          </cell>
          <cell r="C18">
            <v>317870</v>
          </cell>
          <cell r="D18">
            <v>27184760</v>
          </cell>
          <cell r="G18">
            <v>7313440</v>
          </cell>
          <cell r="I18">
            <v>86855</v>
          </cell>
          <cell r="J18">
            <v>3929882</v>
          </cell>
          <cell r="K18">
            <v>2312496</v>
          </cell>
          <cell r="L18">
            <v>424993</v>
          </cell>
          <cell r="M18">
            <v>2190903</v>
          </cell>
          <cell r="U18">
            <v>352</v>
          </cell>
          <cell r="V18">
            <v>16102</v>
          </cell>
          <cell r="AA18">
            <v>149982</v>
          </cell>
          <cell r="AB18">
            <v>5170797</v>
          </cell>
          <cell r="AC18">
            <v>3942499</v>
          </cell>
          <cell r="AG18">
            <v>26396</v>
          </cell>
          <cell r="AH18">
            <v>1354231</v>
          </cell>
          <cell r="AM18">
            <v>171072</v>
          </cell>
          <cell r="AN18">
            <v>5869409</v>
          </cell>
          <cell r="AO18">
            <v>4740181</v>
          </cell>
          <cell r="AP18">
            <v>794507</v>
          </cell>
          <cell r="AQ18">
            <v>2894507</v>
          </cell>
          <cell r="AU18">
            <v>10688003</v>
          </cell>
          <cell r="AY18">
            <v>566</v>
          </cell>
          <cell r="AZ18">
            <v>26283</v>
          </cell>
          <cell r="BE18">
            <v>5431</v>
          </cell>
          <cell r="BF18">
            <v>230222</v>
          </cell>
          <cell r="BG18">
            <v>183259</v>
          </cell>
          <cell r="BH18">
            <v>0</v>
          </cell>
          <cell r="BI18">
            <v>273821</v>
          </cell>
        </row>
        <row r="19">
          <cell r="A19">
            <v>17</v>
          </cell>
          <cell r="B19">
            <v>38108</v>
          </cell>
          <cell r="C19">
            <v>339721</v>
          </cell>
          <cell r="D19">
            <v>31430539</v>
          </cell>
          <cell r="G19">
            <v>7567732</v>
          </cell>
          <cell r="I19">
            <v>79407</v>
          </cell>
          <cell r="J19">
            <v>3443881</v>
          </cell>
          <cell r="K19">
            <v>1928692</v>
          </cell>
          <cell r="L19">
            <v>354967</v>
          </cell>
          <cell r="M19">
            <v>1830919</v>
          </cell>
          <cell r="U19">
            <v>278</v>
          </cell>
          <cell r="V19">
            <v>17973</v>
          </cell>
          <cell r="AA19">
            <v>159815</v>
          </cell>
          <cell r="AB19">
            <v>6704370</v>
          </cell>
          <cell r="AC19">
            <v>3957368</v>
          </cell>
          <cell r="AG19">
            <v>34553</v>
          </cell>
          <cell r="AH19">
            <v>1975676</v>
          </cell>
          <cell r="AM19">
            <v>189462</v>
          </cell>
          <cell r="AN19">
            <v>6684149</v>
          </cell>
          <cell r="AO19">
            <v>4759474</v>
          </cell>
          <cell r="AP19">
            <v>796850</v>
          </cell>
          <cell r="AQ19">
            <v>2896850</v>
          </cell>
          <cell r="AU19">
            <v>10688003</v>
          </cell>
          <cell r="AY19">
            <v>630</v>
          </cell>
          <cell r="AZ19">
            <v>40636</v>
          </cell>
          <cell r="BE19">
            <v>5987</v>
          </cell>
          <cell r="BF19">
            <v>280550</v>
          </cell>
          <cell r="BG19">
            <v>174989</v>
          </cell>
          <cell r="BH19">
            <v>0</v>
          </cell>
          <cell r="BI19">
            <v>262165</v>
          </cell>
        </row>
        <row r="20">
          <cell r="A20">
            <v>18</v>
          </cell>
          <cell r="B20">
            <v>38139</v>
          </cell>
          <cell r="C20">
            <v>356259</v>
          </cell>
          <cell r="D20">
            <v>30549119</v>
          </cell>
          <cell r="G20">
            <v>7323611</v>
          </cell>
          <cell r="I20">
            <v>91382</v>
          </cell>
          <cell r="J20">
            <v>4246777</v>
          </cell>
          <cell r="K20">
            <v>2427119</v>
          </cell>
          <cell r="L20">
            <v>447134</v>
          </cell>
          <cell r="M20">
            <v>2307101</v>
          </cell>
          <cell r="N20">
            <v>21430</v>
          </cell>
          <cell r="U20">
            <v>218</v>
          </cell>
          <cell r="V20">
            <v>14349</v>
          </cell>
          <cell r="AA20">
            <v>160838</v>
          </cell>
          <cell r="AB20">
            <v>7390349</v>
          </cell>
          <cell r="AC20">
            <v>4036911</v>
          </cell>
          <cell r="AF20">
            <v>36026</v>
          </cell>
          <cell r="AG20">
            <v>28421</v>
          </cell>
          <cell r="AH20">
            <v>1506932</v>
          </cell>
          <cell r="AM20">
            <v>178639</v>
          </cell>
          <cell r="AN20">
            <v>6817155</v>
          </cell>
          <cell r="AO20">
            <v>4778845</v>
          </cell>
          <cell r="AP20">
            <v>798413</v>
          </cell>
          <cell r="AQ20">
            <v>2898413</v>
          </cell>
          <cell r="AR20">
            <v>51162</v>
          </cell>
          <cell r="AU20">
            <v>10688003</v>
          </cell>
          <cell r="AY20">
            <v>290</v>
          </cell>
          <cell r="AZ20">
            <v>18902</v>
          </cell>
          <cell r="BE20">
            <v>5134</v>
          </cell>
          <cell r="BF20">
            <v>208419</v>
          </cell>
          <cell r="BG20">
            <v>160415</v>
          </cell>
          <cell r="BH20">
            <v>0</v>
          </cell>
          <cell r="BI20">
            <v>240735</v>
          </cell>
        </row>
        <row r="21">
          <cell r="A21">
            <v>19</v>
          </cell>
          <cell r="B21">
            <v>38169</v>
          </cell>
          <cell r="C21">
            <v>351712</v>
          </cell>
          <cell r="D21">
            <v>36515841</v>
          </cell>
          <cell r="G21">
            <v>7567732</v>
          </cell>
          <cell r="I21">
            <v>96587</v>
          </cell>
          <cell r="J21">
            <v>4874835</v>
          </cell>
          <cell r="K21">
            <v>2411563</v>
          </cell>
          <cell r="L21">
            <v>426881</v>
          </cell>
          <cell r="M21">
            <v>2222330</v>
          </cell>
          <cell r="U21">
            <v>193</v>
          </cell>
          <cell r="V21">
            <v>9399</v>
          </cell>
          <cell r="AA21">
            <v>167203</v>
          </cell>
          <cell r="AB21">
            <v>7452460</v>
          </cell>
          <cell r="AC21">
            <v>3989422</v>
          </cell>
          <cell r="AG21">
            <v>35638</v>
          </cell>
          <cell r="AH21">
            <v>1894356</v>
          </cell>
          <cell r="AM21">
            <v>189868</v>
          </cell>
          <cell r="AN21">
            <v>6926439</v>
          </cell>
          <cell r="AO21">
            <v>4798295</v>
          </cell>
          <cell r="AP21">
            <v>804662</v>
          </cell>
          <cell r="AQ21">
            <v>2904663</v>
          </cell>
          <cell r="AU21">
            <v>10688003</v>
          </cell>
          <cell r="AY21">
            <v>626</v>
          </cell>
          <cell r="AZ21">
            <v>31125</v>
          </cell>
          <cell r="BE21">
            <v>6070</v>
          </cell>
          <cell r="BF21">
            <v>216807</v>
          </cell>
          <cell r="BG21">
            <v>105828</v>
          </cell>
          <cell r="BH21">
            <v>0</v>
          </cell>
          <cell r="BI21">
            <v>160272</v>
          </cell>
          <cell r="BJ21">
            <v>1560</v>
          </cell>
        </row>
        <row r="22">
          <cell r="A22">
            <v>20</v>
          </cell>
          <cell r="B22">
            <v>38200</v>
          </cell>
          <cell r="C22">
            <v>356788</v>
          </cell>
          <cell r="D22">
            <v>33569724</v>
          </cell>
          <cell r="G22">
            <v>7567732</v>
          </cell>
          <cell r="I22">
            <v>82261</v>
          </cell>
          <cell r="J22">
            <v>4042826</v>
          </cell>
          <cell r="K22">
            <v>2460908</v>
          </cell>
          <cell r="L22">
            <v>452922</v>
          </cell>
          <cell r="M22">
            <v>2323145</v>
          </cell>
          <cell r="U22">
            <v>189</v>
          </cell>
          <cell r="V22">
            <v>14167</v>
          </cell>
          <cell r="AA22">
            <v>159321</v>
          </cell>
          <cell r="AB22">
            <v>6765816</v>
          </cell>
          <cell r="AC22">
            <v>3930063</v>
          </cell>
          <cell r="AG22">
            <v>32431</v>
          </cell>
          <cell r="AH22">
            <v>1613578</v>
          </cell>
          <cell r="AM22">
            <v>189749</v>
          </cell>
          <cell r="AN22">
            <v>6927545</v>
          </cell>
          <cell r="AO22">
            <v>4817824</v>
          </cell>
          <cell r="AP22">
            <v>802709</v>
          </cell>
          <cell r="AQ22">
            <v>2902710</v>
          </cell>
          <cell r="AU22">
            <v>10688003</v>
          </cell>
          <cell r="AY22">
            <v>622</v>
          </cell>
          <cell r="AZ22">
            <v>46363</v>
          </cell>
          <cell r="BE22">
            <v>5289</v>
          </cell>
          <cell r="BF22">
            <v>242633</v>
          </cell>
          <cell r="BG22">
            <v>131241</v>
          </cell>
          <cell r="BH22">
            <v>0</v>
          </cell>
          <cell r="BI22">
            <v>197963</v>
          </cell>
        </row>
        <row r="23">
          <cell r="A23">
            <v>21</v>
          </cell>
          <cell r="B23">
            <v>38231</v>
          </cell>
          <cell r="C23">
            <v>323057</v>
          </cell>
          <cell r="D23">
            <v>30006510</v>
          </cell>
          <cell r="G23">
            <v>7323611</v>
          </cell>
          <cell r="I23">
            <v>84632</v>
          </cell>
          <cell r="J23">
            <v>4126699</v>
          </cell>
          <cell r="K23">
            <v>2381651</v>
          </cell>
          <cell r="L23">
            <v>430543</v>
          </cell>
          <cell r="M23">
            <v>2224261</v>
          </cell>
          <cell r="N23">
            <v>35921</v>
          </cell>
          <cell r="U23">
            <v>320</v>
          </cell>
          <cell r="V23">
            <v>19141</v>
          </cell>
          <cell r="AA23">
            <v>167203</v>
          </cell>
          <cell r="AB23">
            <v>6508334</v>
          </cell>
          <cell r="AC23">
            <v>4115188</v>
          </cell>
          <cell r="AF23">
            <v>58055</v>
          </cell>
          <cell r="AG23">
            <v>30673</v>
          </cell>
          <cell r="AH23">
            <v>1445112</v>
          </cell>
          <cell r="AM23">
            <v>189879</v>
          </cell>
          <cell r="AN23">
            <v>6244203</v>
          </cell>
          <cell r="AO23">
            <v>4837432</v>
          </cell>
          <cell r="AP23">
            <v>803491</v>
          </cell>
          <cell r="AQ23">
            <v>2903491</v>
          </cell>
          <cell r="AR23">
            <v>59243</v>
          </cell>
          <cell r="AU23">
            <v>10688003</v>
          </cell>
          <cell r="AY23">
            <v>720</v>
          </cell>
          <cell r="AZ23">
            <v>43432</v>
          </cell>
          <cell r="BE23">
            <v>7718</v>
          </cell>
          <cell r="BF23">
            <v>300721</v>
          </cell>
          <cell r="BG23">
            <v>215046</v>
          </cell>
          <cell r="BH23">
            <v>0</v>
          </cell>
          <cell r="BI23">
            <v>324628</v>
          </cell>
          <cell r="BJ23">
            <v>3535</v>
          </cell>
        </row>
        <row r="24">
          <cell r="A24">
            <v>22</v>
          </cell>
          <cell r="B24">
            <v>38261</v>
          </cell>
          <cell r="C24">
            <v>325842</v>
          </cell>
          <cell r="D24">
            <v>26397457</v>
          </cell>
          <cell r="G24">
            <v>7577903</v>
          </cell>
          <cell r="I24">
            <v>71804</v>
          </cell>
          <cell r="J24">
            <v>3184393</v>
          </cell>
          <cell r="K24">
            <v>2447166</v>
          </cell>
          <cell r="L24">
            <v>442595</v>
          </cell>
          <cell r="M24">
            <v>2287006</v>
          </cell>
          <cell r="U24">
            <v>365</v>
          </cell>
          <cell r="V24">
            <v>21583</v>
          </cell>
          <cell r="AA24">
            <v>162976</v>
          </cell>
          <cell r="AB24">
            <v>6806764</v>
          </cell>
          <cell r="AC24">
            <v>3732363</v>
          </cell>
          <cell r="AG24">
            <v>33135</v>
          </cell>
          <cell r="AH24">
            <v>1671385</v>
          </cell>
          <cell r="AM24">
            <v>33860</v>
          </cell>
          <cell r="AN24">
            <v>1896987</v>
          </cell>
          <cell r="AO24">
            <v>4857121</v>
          </cell>
          <cell r="AP24">
            <v>804272</v>
          </cell>
          <cell r="AQ24">
            <v>2904272</v>
          </cell>
          <cell r="AU24">
            <v>10688003</v>
          </cell>
          <cell r="AY24">
            <v>803</v>
          </cell>
          <cell r="AZ24">
            <v>47515</v>
          </cell>
          <cell r="BE24">
            <v>7365</v>
          </cell>
          <cell r="BF24">
            <v>376242</v>
          </cell>
          <cell r="BG24">
            <v>201973</v>
          </cell>
          <cell r="BH24">
            <v>0</v>
          </cell>
          <cell r="BI24">
            <v>305201</v>
          </cell>
        </row>
        <row r="25">
          <cell r="A25">
            <v>23</v>
          </cell>
          <cell r="B25">
            <v>38292</v>
          </cell>
          <cell r="C25">
            <v>319610</v>
          </cell>
          <cell r="D25">
            <v>32958318</v>
          </cell>
          <cell r="G25">
            <v>7323611</v>
          </cell>
          <cell r="I25">
            <v>61940</v>
          </cell>
          <cell r="J25">
            <v>2899723</v>
          </cell>
          <cell r="K25">
            <v>2084894</v>
          </cell>
          <cell r="L25">
            <v>372379</v>
          </cell>
          <cell r="M25">
            <v>1938630</v>
          </cell>
          <cell r="U25">
            <v>222</v>
          </cell>
          <cell r="V25">
            <v>13911</v>
          </cell>
          <cell r="AA25">
            <v>160866</v>
          </cell>
          <cell r="AB25">
            <v>8202346</v>
          </cell>
          <cell r="AC25">
            <v>3963070</v>
          </cell>
          <cell r="AG25">
            <v>33568</v>
          </cell>
          <cell r="AH25">
            <v>1910182</v>
          </cell>
          <cell r="AM25">
            <v>189961</v>
          </cell>
          <cell r="AN25">
            <v>8736943</v>
          </cell>
          <cell r="AO25">
            <v>4876888</v>
          </cell>
          <cell r="AP25">
            <v>809741</v>
          </cell>
          <cell r="AQ25">
            <v>2909741</v>
          </cell>
          <cell r="AU25">
            <v>10688003</v>
          </cell>
          <cell r="AY25">
            <v>697</v>
          </cell>
          <cell r="AZ25">
            <v>43191</v>
          </cell>
          <cell r="BE25">
            <v>6147</v>
          </cell>
          <cell r="BF25">
            <v>308359</v>
          </cell>
          <cell r="BG25">
            <v>196789</v>
          </cell>
          <cell r="BH25">
            <v>0</v>
          </cell>
          <cell r="BI25">
            <v>299243</v>
          </cell>
        </row>
        <row r="26">
          <cell r="A26">
            <v>24</v>
          </cell>
          <cell r="B26">
            <v>38322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o, Peter Y." id="{6E24F6B0-2A36-4C03-96CE-52BE6C7C2390}" userId="S::gop@coned.com::c5ee2cb6-1a26-4915-bc93-2927884aad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3" dT="2021-03-08T15:26:46.67" personId="{6E24F6B0-2A36-4C03-96CE-52BE6C7C2390}" id="{61403067-FB2F-47F6-9388-B02CAC70040F}">
    <text>This is for the monthly customer</text>
  </threadedComment>
  <threadedComment ref="H96" dT="2021-03-08T15:27:02.23" personId="{6E24F6B0-2A36-4C03-96CE-52BE6C7C2390}" id="{F62149CB-A9EF-486C-9281-56239F8AB105}">
    <text>Energy Delivery Charges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"/>
  <sheetViews>
    <sheetView workbookViewId="0">
      <selection activeCell="N33" sqref="N33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66"/>
  <sheetViews>
    <sheetView zoomScale="85" zoomScaleNormal="85" workbookViewId="0">
      <selection activeCell="D11" sqref="D11"/>
    </sheetView>
  </sheetViews>
  <sheetFormatPr defaultColWidth="9.1796875" defaultRowHeight="12.5" x14ac:dyDescent="0.25"/>
  <cols>
    <col min="1" max="1" width="6.7265625" style="6" customWidth="1"/>
    <col min="2" max="3" width="9.1796875" style="6"/>
    <col min="4" max="4" width="11" style="6" bestFit="1" customWidth="1"/>
    <col min="5" max="7" width="11.7265625" style="6" bestFit="1" customWidth="1"/>
    <col min="8" max="10" width="11" style="6" bestFit="1" customWidth="1"/>
    <col min="11" max="11" width="10.1796875" style="6" bestFit="1" customWidth="1"/>
    <col min="12" max="13" width="9.7265625" style="6" bestFit="1" customWidth="1"/>
    <col min="14" max="14" width="8.453125" style="6" bestFit="1" customWidth="1"/>
    <col min="15" max="16384" width="9.1796875" style="6"/>
  </cols>
  <sheetData>
    <row r="2" spans="2:14" ht="13" x14ac:dyDescent="0.3">
      <c r="B2" s="20" t="s">
        <v>324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3" x14ac:dyDescent="0.3"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>
        <v>9</v>
      </c>
      <c r="M3" s="18">
        <v>10</v>
      </c>
      <c r="N3" s="18">
        <v>11</v>
      </c>
    </row>
    <row r="4" spans="2:14" x14ac:dyDescent="0.25">
      <c r="B4" s="6" t="s">
        <v>325</v>
      </c>
      <c r="D4" s="21">
        <v>0.2</v>
      </c>
      <c r="E4" s="21">
        <v>0.32</v>
      </c>
      <c r="F4" s="21">
        <v>0.192</v>
      </c>
      <c r="G4" s="21">
        <v>0.1152</v>
      </c>
      <c r="H4" s="21">
        <v>0.1152</v>
      </c>
      <c r="I4" s="21">
        <v>5.7599999999999998E-2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</row>
    <row r="5" spans="2:14" x14ac:dyDescent="0.25">
      <c r="B5" s="44" t="s">
        <v>326</v>
      </c>
      <c r="D5" s="21">
        <f>1/10/2</f>
        <v>0.05</v>
      </c>
      <c r="E5" s="21">
        <f>1/10</f>
        <v>0.1</v>
      </c>
      <c r="F5" s="21">
        <f t="shared" ref="F5:M5" si="0">1/10</f>
        <v>0.1</v>
      </c>
      <c r="G5" s="21">
        <f t="shared" si="0"/>
        <v>0.1</v>
      </c>
      <c r="H5" s="21">
        <f t="shared" si="0"/>
        <v>0.1</v>
      </c>
      <c r="I5" s="21">
        <f t="shared" si="0"/>
        <v>0.1</v>
      </c>
      <c r="J5" s="21">
        <f t="shared" si="0"/>
        <v>0.1</v>
      </c>
      <c r="K5" s="21">
        <f t="shared" si="0"/>
        <v>0.1</v>
      </c>
      <c r="L5" s="21">
        <f t="shared" si="0"/>
        <v>0.1</v>
      </c>
      <c r="M5" s="21">
        <f t="shared" si="0"/>
        <v>0.1</v>
      </c>
      <c r="N5" s="21">
        <v>0.05</v>
      </c>
    </row>
    <row r="7" spans="2:14" ht="13" x14ac:dyDescent="0.3">
      <c r="B7" s="20" t="s">
        <v>327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9" spans="2:14" ht="13" x14ac:dyDescent="0.3">
      <c r="D9" s="18">
        <v>1</v>
      </c>
      <c r="E9" s="18">
        <v>2</v>
      </c>
      <c r="F9" s="18">
        <v>3</v>
      </c>
      <c r="G9" s="18">
        <v>4</v>
      </c>
      <c r="H9" s="18">
        <v>5</v>
      </c>
      <c r="I9" s="18">
        <v>6</v>
      </c>
      <c r="J9" s="18">
        <v>7</v>
      </c>
      <c r="K9" s="18">
        <v>8</v>
      </c>
      <c r="L9" s="18">
        <v>9</v>
      </c>
      <c r="M9" s="18">
        <v>10</v>
      </c>
      <c r="N9" s="18">
        <v>11</v>
      </c>
    </row>
    <row r="10" spans="2:14" x14ac:dyDescent="0.25">
      <c r="B10" s="6" t="s">
        <v>43</v>
      </c>
      <c r="D10" s="48">
        <f>+'Demo financial pro forma'!C81</f>
        <v>5736680</v>
      </c>
      <c r="E10" s="48">
        <f>+'Demo financial pro forma'!D78</f>
        <v>0</v>
      </c>
      <c r="F10" s="48">
        <f>+'Demo financial pro forma'!E78</f>
        <v>0</v>
      </c>
      <c r="G10" s="48">
        <f>+'Demo financial pro forma'!F78</f>
        <v>0</v>
      </c>
      <c r="H10" s="48">
        <f>+'Demo financial pro forma'!G78</f>
        <v>0</v>
      </c>
      <c r="I10" s="48">
        <f>+'Demo financial pro forma'!H78</f>
        <v>0</v>
      </c>
      <c r="J10" s="48">
        <f>+'Demo financial pro forma'!I78</f>
        <v>0</v>
      </c>
      <c r="K10" s="48">
        <f>+'Demo financial pro forma'!J78</f>
        <v>0</v>
      </c>
      <c r="L10" s="48">
        <f>+'Demo financial pro forma'!K78</f>
        <v>0</v>
      </c>
      <c r="M10" s="48">
        <f>+'Demo financial pro forma'!L78</f>
        <v>0</v>
      </c>
      <c r="N10" s="48" t="e">
        <f>+'Demo financial pro forma'!#REF!</f>
        <v>#REF!</v>
      </c>
    </row>
    <row r="11" spans="2:14" x14ac:dyDescent="0.25"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2:14" x14ac:dyDescent="0.25">
      <c r="B12" s="6" t="s">
        <v>328</v>
      </c>
      <c r="C12" s="1">
        <v>1</v>
      </c>
      <c r="D12" s="48">
        <f t="shared" ref="D12:N21" ca="1" si="1">IFERROR(OFFSET($C$10,0,MATCH($C12,$D$9:$N$9,0))*OFFSET($C$3,2,MATCH(D$9-$C12+1,$D$3:$N$3,0)),0)</f>
        <v>286834</v>
      </c>
      <c r="E12" s="48">
        <f t="shared" ca="1" si="1"/>
        <v>573668</v>
      </c>
      <c r="F12" s="48">
        <f t="shared" ca="1" si="1"/>
        <v>573668</v>
      </c>
      <c r="G12" s="48">
        <f t="shared" ca="1" si="1"/>
        <v>573668</v>
      </c>
      <c r="H12" s="48">
        <f t="shared" ca="1" si="1"/>
        <v>573668</v>
      </c>
      <c r="I12" s="48">
        <f t="shared" ca="1" si="1"/>
        <v>573668</v>
      </c>
      <c r="J12" s="48">
        <f t="shared" ca="1" si="1"/>
        <v>573668</v>
      </c>
      <c r="K12" s="48">
        <f t="shared" ca="1" si="1"/>
        <v>573668</v>
      </c>
      <c r="L12" s="48">
        <f t="shared" ca="1" si="1"/>
        <v>573668</v>
      </c>
      <c r="M12" s="48">
        <f t="shared" ca="1" si="1"/>
        <v>573668</v>
      </c>
      <c r="N12" s="48">
        <f t="shared" ca="1" si="1"/>
        <v>286834</v>
      </c>
    </row>
    <row r="13" spans="2:14" x14ac:dyDescent="0.25">
      <c r="B13" s="6" t="s">
        <v>328</v>
      </c>
      <c r="C13" s="1">
        <v>2</v>
      </c>
      <c r="D13" s="48">
        <f t="shared" ca="1" si="1"/>
        <v>0</v>
      </c>
      <c r="E13" s="48">
        <f t="shared" ca="1" si="1"/>
        <v>0</v>
      </c>
      <c r="F13" s="48">
        <f t="shared" ca="1" si="1"/>
        <v>0</v>
      </c>
      <c r="G13" s="48">
        <f t="shared" ca="1" si="1"/>
        <v>0</v>
      </c>
      <c r="H13" s="48">
        <f t="shared" ca="1" si="1"/>
        <v>0</v>
      </c>
      <c r="I13" s="48">
        <f t="shared" ca="1" si="1"/>
        <v>0</v>
      </c>
      <c r="J13" s="48">
        <f t="shared" ca="1" si="1"/>
        <v>0</v>
      </c>
      <c r="K13" s="48">
        <f t="shared" ca="1" si="1"/>
        <v>0</v>
      </c>
      <c r="L13" s="48">
        <f t="shared" ca="1" si="1"/>
        <v>0</v>
      </c>
      <c r="M13" s="48">
        <f t="shared" ca="1" si="1"/>
        <v>0</v>
      </c>
      <c r="N13" s="48">
        <f t="shared" ca="1" si="1"/>
        <v>0</v>
      </c>
    </row>
    <row r="14" spans="2:14" x14ac:dyDescent="0.25">
      <c r="B14" s="6" t="s">
        <v>328</v>
      </c>
      <c r="C14" s="1">
        <v>3</v>
      </c>
      <c r="D14" s="48">
        <f t="shared" ca="1" si="1"/>
        <v>0</v>
      </c>
      <c r="E14" s="48">
        <f t="shared" ca="1" si="1"/>
        <v>0</v>
      </c>
      <c r="F14" s="48">
        <f t="shared" ca="1" si="1"/>
        <v>0</v>
      </c>
      <c r="G14" s="48">
        <f t="shared" ca="1" si="1"/>
        <v>0</v>
      </c>
      <c r="H14" s="48">
        <f t="shared" ca="1" si="1"/>
        <v>0</v>
      </c>
      <c r="I14" s="48">
        <f t="shared" ca="1" si="1"/>
        <v>0</v>
      </c>
      <c r="J14" s="48">
        <f t="shared" ca="1" si="1"/>
        <v>0</v>
      </c>
      <c r="K14" s="48">
        <f t="shared" ca="1" si="1"/>
        <v>0</v>
      </c>
      <c r="L14" s="48">
        <f t="shared" ca="1" si="1"/>
        <v>0</v>
      </c>
      <c r="M14" s="48">
        <f t="shared" ca="1" si="1"/>
        <v>0</v>
      </c>
      <c r="N14" s="48">
        <f t="shared" ca="1" si="1"/>
        <v>0</v>
      </c>
    </row>
    <row r="15" spans="2:14" x14ac:dyDescent="0.25">
      <c r="B15" s="6" t="s">
        <v>328</v>
      </c>
      <c r="C15" s="1">
        <v>4</v>
      </c>
      <c r="D15" s="48">
        <f t="shared" ca="1" si="1"/>
        <v>0</v>
      </c>
      <c r="E15" s="48">
        <f t="shared" ca="1" si="1"/>
        <v>0</v>
      </c>
      <c r="F15" s="48">
        <f t="shared" ca="1" si="1"/>
        <v>0</v>
      </c>
      <c r="G15" s="48">
        <f t="shared" ca="1" si="1"/>
        <v>0</v>
      </c>
      <c r="H15" s="48">
        <f t="shared" ca="1" si="1"/>
        <v>0</v>
      </c>
      <c r="I15" s="48">
        <f t="shared" ca="1" si="1"/>
        <v>0</v>
      </c>
      <c r="J15" s="48">
        <f t="shared" ca="1" si="1"/>
        <v>0</v>
      </c>
      <c r="K15" s="48">
        <f t="shared" ca="1" si="1"/>
        <v>0</v>
      </c>
      <c r="L15" s="48">
        <f t="shared" ca="1" si="1"/>
        <v>0</v>
      </c>
      <c r="M15" s="48">
        <f t="shared" ca="1" si="1"/>
        <v>0</v>
      </c>
      <c r="N15" s="48">
        <f t="shared" ca="1" si="1"/>
        <v>0</v>
      </c>
    </row>
    <row r="16" spans="2:14" x14ac:dyDescent="0.25">
      <c r="B16" s="6" t="s">
        <v>328</v>
      </c>
      <c r="C16" s="1">
        <v>5</v>
      </c>
      <c r="D16" s="48">
        <f t="shared" ca="1" si="1"/>
        <v>0</v>
      </c>
      <c r="E16" s="48">
        <f t="shared" ca="1" si="1"/>
        <v>0</v>
      </c>
      <c r="F16" s="48">
        <f t="shared" ca="1" si="1"/>
        <v>0</v>
      </c>
      <c r="G16" s="48">
        <f t="shared" ca="1" si="1"/>
        <v>0</v>
      </c>
      <c r="H16" s="48">
        <f t="shared" ca="1" si="1"/>
        <v>0</v>
      </c>
      <c r="I16" s="48">
        <f t="shared" ca="1" si="1"/>
        <v>0</v>
      </c>
      <c r="J16" s="48">
        <f t="shared" ca="1" si="1"/>
        <v>0</v>
      </c>
      <c r="K16" s="48">
        <f t="shared" ca="1" si="1"/>
        <v>0</v>
      </c>
      <c r="L16" s="48">
        <f t="shared" ca="1" si="1"/>
        <v>0</v>
      </c>
      <c r="M16" s="48">
        <f t="shared" ca="1" si="1"/>
        <v>0</v>
      </c>
      <c r="N16" s="48">
        <f t="shared" ca="1" si="1"/>
        <v>0</v>
      </c>
    </row>
    <row r="17" spans="2:14" x14ac:dyDescent="0.25">
      <c r="B17" s="6" t="s">
        <v>328</v>
      </c>
      <c r="C17" s="1">
        <v>6</v>
      </c>
      <c r="D17" s="48">
        <f t="shared" ca="1" si="1"/>
        <v>0</v>
      </c>
      <c r="E17" s="48">
        <f t="shared" ca="1" si="1"/>
        <v>0</v>
      </c>
      <c r="F17" s="48">
        <f t="shared" ca="1" si="1"/>
        <v>0</v>
      </c>
      <c r="G17" s="48">
        <f t="shared" ca="1" si="1"/>
        <v>0</v>
      </c>
      <c r="H17" s="48">
        <f t="shared" ca="1" si="1"/>
        <v>0</v>
      </c>
      <c r="I17" s="48">
        <f t="shared" ca="1" si="1"/>
        <v>0</v>
      </c>
      <c r="J17" s="48">
        <f t="shared" ca="1" si="1"/>
        <v>0</v>
      </c>
      <c r="K17" s="48">
        <f t="shared" ca="1" si="1"/>
        <v>0</v>
      </c>
      <c r="L17" s="48">
        <f t="shared" ca="1" si="1"/>
        <v>0</v>
      </c>
      <c r="M17" s="48">
        <f t="shared" ca="1" si="1"/>
        <v>0</v>
      </c>
      <c r="N17" s="48">
        <f t="shared" ca="1" si="1"/>
        <v>0</v>
      </c>
    </row>
    <row r="18" spans="2:14" x14ac:dyDescent="0.25">
      <c r="B18" s="6" t="s">
        <v>328</v>
      </c>
      <c r="C18" s="1">
        <v>7</v>
      </c>
      <c r="D18" s="48">
        <f t="shared" ca="1" si="1"/>
        <v>0</v>
      </c>
      <c r="E18" s="48">
        <f t="shared" ca="1" si="1"/>
        <v>0</v>
      </c>
      <c r="F18" s="48">
        <f t="shared" ca="1" si="1"/>
        <v>0</v>
      </c>
      <c r="G18" s="48">
        <f t="shared" ca="1" si="1"/>
        <v>0</v>
      </c>
      <c r="H18" s="48">
        <f t="shared" ca="1" si="1"/>
        <v>0</v>
      </c>
      <c r="I18" s="48">
        <f t="shared" ca="1" si="1"/>
        <v>0</v>
      </c>
      <c r="J18" s="48">
        <f t="shared" ca="1" si="1"/>
        <v>0</v>
      </c>
      <c r="K18" s="48">
        <f t="shared" ca="1" si="1"/>
        <v>0</v>
      </c>
      <c r="L18" s="48">
        <f t="shared" ca="1" si="1"/>
        <v>0</v>
      </c>
      <c r="M18" s="48">
        <f t="shared" ca="1" si="1"/>
        <v>0</v>
      </c>
      <c r="N18" s="48">
        <f t="shared" ca="1" si="1"/>
        <v>0</v>
      </c>
    </row>
    <row r="19" spans="2:14" x14ac:dyDescent="0.25">
      <c r="B19" s="6" t="s">
        <v>328</v>
      </c>
      <c r="C19" s="1">
        <v>8</v>
      </c>
      <c r="D19" s="48">
        <f t="shared" ca="1" si="1"/>
        <v>0</v>
      </c>
      <c r="E19" s="48">
        <f t="shared" ca="1" si="1"/>
        <v>0</v>
      </c>
      <c r="F19" s="48">
        <f t="shared" ca="1" si="1"/>
        <v>0</v>
      </c>
      <c r="G19" s="48">
        <f t="shared" ca="1" si="1"/>
        <v>0</v>
      </c>
      <c r="H19" s="48">
        <f t="shared" ca="1" si="1"/>
        <v>0</v>
      </c>
      <c r="I19" s="48">
        <f t="shared" ca="1" si="1"/>
        <v>0</v>
      </c>
      <c r="J19" s="48">
        <f t="shared" ca="1" si="1"/>
        <v>0</v>
      </c>
      <c r="K19" s="48">
        <f t="shared" ca="1" si="1"/>
        <v>0</v>
      </c>
      <c r="L19" s="48">
        <f t="shared" ca="1" si="1"/>
        <v>0</v>
      </c>
      <c r="M19" s="48">
        <f t="shared" ca="1" si="1"/>
        <v>0</v>
      </c>
      <c r="N19" s="48">
        <f t="shared" ca="1" si="1"/>
        <v>0</v>
      </c>
    </row>
    <row r="20" spans="2:14" x14ac:dyDescent="0.25">
      <c r="B20" s="6" t="s">
        <v>328</v>
      </c>
      <c r="C20" s="1">
        <v>9</v>
      </c>
      <c r="D20" s="48">
        <f t="shared" ca="1" si="1"/>
        <v>0</v>
      </c>
      <c r="E20" s="48">
        <f t="shared" ca="1" si="1"/>
        <v>0</v>
      </c>
      <c r="F20" s="48">
        <f t="shared" ca="1" si="1"/>
        <v>0</v>
      </c>
      <c r="G20" s="48">
        <f t="shared" ca="1" si="1"/>
        <v>0</v>
      </c>
      <c r="H20" s="48">
        <f t="shared" ca="1" si="1"/>
        <v>0</v>
      </c>
      <c r="I20" s="48">
        <f t="shared" ca="1" si="1"/>
        <v>0</v>
      </c>
      <c r="J20" s="48">
        <f t="shared" ca="1" si="1"/>
        <v>0</v>
      </c>
      <c r="K20" s="48">
        <f t="shared" ca="1" si="1"/>
        <v>0</v>
      </c>
      <c r="L20" s="48">
        <f t="shared" ca="1" si="1"/>
        <v>0</v>
      </c>
      <c r="M20" s="48">
        <f t="shared" ca="1" si="1"/>
        <v>0</v>
      </c>
      <c r="N20" s="48">
        <f t="shared" ca="1" si="1"/>
        <v>0</v>
      </c>
    </row>
    <row r="21" spans="2:14" x14ac:dyDescent="0.25">
      <c r="B21" s="6" t="s">
        <v>328</v>
      </c>
      <c r="C21" s="1">
        <v>10</v>
      </c>
      <c r="D21" s="48">
        <f t="shared" ca="1" si="1"/>
        <v>0</v>
      </c>
      <c r="E21" s="48">
        <f t="shared" ca="1" si="1"/>
        <v>0</v>
      </c>
      <c r="F21" s="48">
        <f t="shared" ca="1" si="1"/>
        <v>0</v>
      </c>
      <c r="G21" s="48">
        <f t="shared" ca="1" si="1"/>
        <v>0</v>
      </c>
      <c r="H21" s="48">
        <f t="shared" ca="1" si="1"/>
        <v>0</v>
      </c>
      <c r="I21" s="48">
        <f t="shared" ca="1" si="1"/>
        <v>0</v>
      </c>
      <c r="J21" s="48">
        <f t="shared" ca="1" si="1"/>
        <v>0</v>
      </c>
      <c r="K21" s="48">
        <f t="shared" ca="1" si="1"/>
        <v>0</v>
      </c>
      <c r="L21" s="48">
        <f t="shared" ca="1" si="1"/>
        <v>0</v>
      </c>
      <c r="M21" s="48">
        <f t="shared" ca="1" si="1"/>
        <v>0</v>
      </c>
      <c r="N21" s="48">
        <f t="shared" ca="1" si="1"/>
        <v>0</v>
      </c>
    </row>
    <row r="22" spans="2:14" x14ac:dyDescent="0.25">
      <c r="B22" s="6" t="s">
        <v>328</v>
      </c>
      <c r="C22" s="1">
        <v>11</v>
      </c>
      <c r="D22" s="48">
        <f t="shared" ref="D22:N31" ca="1" si="2">IFERROR(OFFSET($C$10,0,MATCH($C22,$D$9:$N$9,0))*OFFSET($C$3,2,MATCH(D$9-$C22+1,$D$3:$N$3,0)),0)</f>
        <v>0</v>
      </c>
      <c r="E22" s="48">
        <f t="shared" ca="1" si="2"/>
        <v>0</v>
      </c>
      <c r="F22" s="48">
        <f t="shared" ca="1" si="2"/>
        <v>0</v>
      </c>
      <c r="G22" s="48">
        <f t="shared" ca="1" si="2"/>
        <v>0</v>
      </c>
      <c r="H22" s="48">
        <f t="shared" ca="1" si="2"/>
        <v>0</v>
      </c>
      <c r="I22" s="48">
        <f t="shared" ca="1" si="2"/>
        <v>0</v>
      </c>
      <c r="J22" s="48">
        <f t="shared" ca="1" si="2"/>
        <v>0</v>
      </c>
      <c r="K22" s="48">
        <f t="shared" ca="1" si="2"/>
        <v>0</v>
      </c>
      <c r="L22" s="48">
        <f t="shared" ca="1" si="2"/>
        <v>0</v>
      </c>
      <c r="M22" s="48">
        <f t="shared" ca="1" si="2"/>
        <v>0</v>
      </c>
      <c r="N22" s="48">
        <f t="shared" ca="1" si="2"/>
        <v>0</v>
      </c>
    </row>
    <row r="23" spans="2:14" x14ac:dyDescent="0.25">
      <c r="B23" s="6" t="s">
        <v>328</v>
      </c>
      <c r="C23" s="1">
        <v>12</v>
      </c>
      <c r="D23" s="48">
        <f t="shared" ca="1" si="2"/>
        <v>0</v>
      </c>
      <c r="E23" s="48">
        <f t="shared" ca="1" si="2"/>
        <v>0</v>
      </c>
      <c r="F23" s="48">
        <f t="shared" ca="1" si="2"/>
        <v>0</v>
      </c>
      <c r="G23" s="48">
        <f t="shared" ca="1" si="2"/>
        <v>0</v>
      </c>
      <c r="H23" s="48">
        <f t="shared" ca="1" si="2"/>
        <v>0</v>
      </c>
      <c r="I23" s="48">
        <f t="shared" ca="1" si="2"/>
        <v>0</v>
      </c>
      <c r="J23" s="48">
        <f t="shared" ca="1" si="2"/>
        <v>0</v>
      </c>
      <c r="K23" s="48">
        <f t="shared" ca="1" si="2"/>
        <v>0</v>
      </c>
      <c r="L23" s="48">
        <f t="shared" ca="1" si="2"/>
        <v>0</v>
      </c>
      <c r="M23" s="48">
        <f t="shared" ca="1" si="2"/>
        <v>0</v>
      </c>
      <c r="N23" s="48">
        <f t="shared" ca="1" si="2"/>
        <v>0</v>
      </c>
    </row>
    <row r="24" spans="2:14" x14ac:dyDescent="0.25">
      <c r="B24" s="6" t="s">
        <v>328</v>
      </c>
      <c r="C24" s="1">
        <v>13</v>
      </c>
      <c r="D24" s="48">
        <f t="shared" ca="1" si="2"/>
        <v>0</v>
      </c>
      <c r="E24" s="48">
        <f t="shared" ca="1" si="2"/>
        <v>0</v>
      </c>
      <c r="F24" s="48">
        <f t="shared" ca="1" si="2"/>
        <v>0</v>
      </c>
      <c r="G24" s="48">
        <f t="shared" ca="1" si="2"/>
        <v>0</v>
      </c>
      <c r="H24" s="48">
        <f t="shared" ca="1" si="2"/>
        <v>0</v>
      </c>
      <c r="I24" s="48">
        <f t="shared" ca="1" si="2"/>
        <v>0</v>
      </c>
      <c r="J24" s="48">
        <f t="shared" ca="1" si="2"/>
        <v>0</v>
      </c>
      <c r="K24" s="48">
        <f t="shared" ca="1" si="2"/>
        <v>0</v>
      </c>
      <c r="L24" s="48">
        <f t="shared" ca="1" si="2"/>
        <v>0</v>
      </c>
      <c r="M24" s="48">
        <f t="shared" ca="1" si="2"/>
        <v>0</v>
      </c>
      <c r="N24" s="48">
        <f t="shared" ca="1" si="2"/>
        <v>0</v>
      </c>
    </row>
    <row r="25" spans="2:14" x14ac:dyDescent="0.25">
      <c r="B25" s="6" t="s">
        <v>328</v>
      </c>
      <c r="C25" s="1">
        <v>14</v>
      </c>
      <c r="D25" s="48">
        <f t="shared" ca="1" si="2"/>
        <v>0</v>
      </c>
      <c r="E25" s="48">
        <f t="shared" ca="1" si="2"/>
        <v>0</v>
      </c>
      <c r="F25" s="48">
        <f t="shared" ca="1" si="2"/>
        <v>0</v>
      </c>
      <c r="G25" s="48">
        <f t="shared" ca="1" si="2"/>
        <v>0</v>
      </c>
      <c r="H25" s="48">
        <f t="shared" ca="1" si="2"/>
        <v>0</v>
      </c>
      <c r="I25" s="48">
        <f t="shared" ca="1" si="2"/>
        <v>0</v>
      </c>
      <c r="J25" s="48">
        <f t="shared" ca="1" si="2"/>
        <v>0</v>
      </c>
      <c r="K25" s="48">
        <f t="shared" ca="1" si="2"/>
        <v>0</v>
      </c>
      <c r="L25" s="48">
        <f t="shared" ca="1" si="2"/>
        <v>0</v>
      </c>
      <c r="M25" s="48">
        <f t="shared" ca="1" si="2"/>
        <v>0</v>
      </c>
      <c r="N25" s="48">
        <f t="shared" ca="1" si="2"/>
        <v>0</v>
      </c>
    </row>
    <row r="26" spans="2:14" x14ac:dyDescent="0.25">
      <c r="B26" s="6" t="s">
        <v>328</v>
      </c>
      <c r="C26" s="1">
        <v>15</v>
      </c>
      <c r="D26" s="48">
        <f t="shared" ca="1" si="2"/>
        <v>0</v>
      </c>
      <c r="E26" s="48">
        <f t="shared" ca="1" si="2"/>
        <v>0</v>
      </c>
      <c r="F26" s="48">
        <f t="shared" ca="1" si="2"/>
        <v>0</v>
      </c>
      <c r="G26" s="48">
        <f t="shared" ca="1" si="2"/>
        <v>0</v>
      </c>
      <c r="H26" s="48">
        <f t="shared" ca="1" si="2"/>
        <v>0</v>
      </c>
      <c r="I26" s="48">
        <f t="shared" ca="1" si="2"/>
        <v>0</v>
      </c>
      <c r="J26" s="48">
        <f t="shared" ca="1" si="2"/>
        <v>0</v>
      </c>
      <c r="K26" s="48">
        <f t="shared" ca="1" si="2"/>
        <v>0</v>
      </c>
      <c r="L26" s="48">
        <f t="shared" ca="1" si="2"/>
        <v>0</v>
      </c>
      <c r="M26" s="48">
        <f t="shared" ca="1" si="2"/>
        <v>0</v>
      </c>
      <c r="N26" s="48">
        <f t="shared" ca="1" si="2"/>
        <v>0</v>
      </c>
    </row>
    <row r="27" spans="2:14" x14ac:dyDescent="0.25">
      <c r="B27" s="6" t="s">
        <v>328</v>
      </c>
      <c r="C27" s="1">
        <v>16</v>
      </c>
      <c r="D27" s="48">
        <f t="shared" ca="1" si="2"/>
        <v>0</v>
      </c>
      <c r="E27" s="48">
        <f t="shared" ca="1" si="2"/>
        <v>0</v>
      </c>
      <c r="F27" s="48">
        <f t="shared" ca="1" si="2"/>
        <v>0</v>
      </c>
      <c r="G27" s="48">
        <f t="shared" ca="1" si="2"/>
        <v>0</v>
      </c>
      <c r="H27" s="48">
        <f t="shared" ca="1" si="2"/>
        <v>0</v>
      </c>
      <c r="I27" s="48">
        <f t="shared" ca="1" si="2"/>
        <v>0</v>
      </c>
      <c r="J27" s="48">
        <f t="shared" ca="1" si="2"/>
        <v>0</v>
      </c>
      <c r="K27" s="48">
        <f t="shared" ca="1" si="2"/>
        <v>0</v>
      </c>
      <c r="L27" s="48">
        <f t="shared" ca="1" si="2"/>
        <v>0</v>
      </c>
      <c r="M27" s="48">
        <f t="shared" ca="1" si="2"/>
        <v>0</v>
      </c>
      <c r="N27" s="48">
        <f t="shared" ca="1" si="2"/>
        <v>0</v>
      </c>
    </row>
    <row r="28" spans="2:14" x14ac:dyDescent="0.25">
      <c r="B28" s="6" t="s">
        <v>328</v>
      </c>
      <c r="C28" s="1">
        <v>17</v>
      </c>
      <c r="D28" s="48">
        <f t="shared" ca="1" si="2"/>
        <v>0</v>
      </c>
      <c r="E28" s="48">
        <f t="shared" ca="1" si="2"/>
        <v>0</v>
      </c>
      <c r="F28" s="48">
        <f t="shared" ca="1" si="2"/>
        <v>0</v>
      </c>
      <c r="G28" s="48">
        <f t="shared" ca="1" si="2"/>
        <v>0</v>
      </c>
      <c r="H28" s="48">
        <f t="shared" ca="1" si="2"/>
        <v>0</v>
      </c>
      <c r="I28" s="48">
        <f t="shared" ca="1" si="2"/>
        <v>0</v>
      </c>
      <c r="J28" s="48">
        <f t="shared" ca="1" si="2"/>
        <v>0</v>
      </c>
      <c r="K28" s="48">
        <f t="shared" ca="1" si="2"/>
        <v>0</v>
      </c>
      <c r="L28" s="48">
        <f t="shared" ca="1" si="2"/>
        <v>0</v>
      </c>
      <c r="M28" s="48">
        <f t="shared" ca="1" si="2"/>
        <v>0</v>
      </c>
      <c r="N28" s="48">
        <f t="shared" ca="1" si="2"/>
        <v>0</v>
      </c>
    </row>
    <row r="29" spans="2:14" x14ac:dyDescent="0.25">
      <c r="B29" s="6" t="s">
        <v>328</v>
      </c>
      <c r="C29" s="1">
        <v>18</v>
      </c>
      <c r="D29" s="48">
        <f t="shared" ca="1" si="2"/>
        <v>0</v>
      </c>
      <c r="E29" s="48">
        <f t="shared" ca="1" si="2"/>
        <v>0</v>
      </c>
      <c r="F29" s="48">
        <f t="shared" ca="1" si="2"/>
        <v>0</v>
      </c>
      <c r="G29" s="48">
        <f t="shared" ca="1" si="2"/>
        <v>0</v>
      </c>
      <c r="H29" s="48">
        <f t="shared" ca="1" si="2"/>
        <v>0</v>
      </c>
      <c r="I29" s="48">
        <f t="shared" ca="1" si="2"/>
        <v>0</v>
      </c>
      <c r="J29" s="48">
        <f t="shared" ca="1" si="2"/>
        <v>0</v>
      </c>
      <c r="K29" s="48">
        <f t="shared" ca="1" si="2"/>
        <v>0</v>
      </c>
      <c r="L29" s="48">
        <f t="shared" ca="1" si="2"/>
        <v>0</v>
      </c>
      <c r="M29" s="48">
        <f t="shared" ca="1" si="2"/>
        <v>0</v>
      </c>
      <c r="N29" s="48">
        <f t="shared" ca="1" si="2"/>
        <v>0</v>
      </c>
    </row>
    <row r="30" spans="2:14" x14ac:dyDescent="0.25">
      <c r="B30" s="6" t="s">
        <v>328</v>
      </c>
      <c r="C30" s="1">
        <v>19</v>
      </c>
      <c r="D30" s="48">
        <f t="shared" ca="1" si="2"/>
        <v>0</v>
      </c>
      <c r="E30" s="48">
        <f t="shared" ca="1" si="2"/>
        <v>0</v>
      </c>
      <c r="F30" s="48">
        <f t="shared" ca="1" si="2"/>
        <v>0</v>
      </c>
      <c r="G30" s="48">
        <f t="shared" ca="1" si="2"/>
        <v>0</v>
      </c>
      <c r="H30" s="48">
        <f t="shared" ca="1" si="2"/>
        <v>0</v>
      </c>
      <c r="I30" s="48">
        <f t="shared" ca="1" si="2"/>
        <v>0</v>
      </c>
      <c r="J30" s="48">
        <f t="shared" ca="1" si="2"/>
        <v>0</v>
      </c>
      <c r="K30" s="48">
        <f t="shared" ca="1" si="2"/>
        <v>0</v>
      </c>
      <c r="L30" s="48">
        <f t="shared" ca="1" si="2"/>
        <v>0</v>
      </c>
      <c r="M30" s="48">
        <f t="shared" ca="1" si="2"/>
        <v>0</v>
      </c>
      <c r="N30" s="48">
        <f t="shared" ca="1" si="2"/>
        <v>0</v>
      </c>
    </row>
    <row r="31" spans="2:14" x14ac:dyDescent="0.25">
      <c r="B31" s="6" t="s">
        <v>328</v>
      </c>
      <c r="C31" s="1">
        <v>20</v>
      </c>
      <c r="D31" s="48">
        <f t="shared" ca="1" si="2"/>
        <v>0</v>
      </c>
      <c r="E31" s="48">
        <f t="shared" ca="1" si="2"/>
        <v>0</v>
      </c>
      <c r="F31" s="48">
        <f t="shared" ca="1" si="2"/>
        <v>0</v>
      </c>
      <c r="G31" s="48">
        <f t="shared" ca="1" si="2"/>
        <v>0</v>
      </c>
      <c r="H31" s="48">
        <f t="shared" ca="1" si="2"/>
        <v>0</v>
      </c>
      <c r="I31" s="48">
        <f t="shared" ca="1" si="2"/>
        <v>0</v>
      </c>
      <c r="J31" s="48">
        <f t="shared" ca="1" si="2"/>
        <v>0</v>
      </c>
      <c r="K31" s="48">
        <f t="shared" ca="1" si="2"/>
        <v>0</v>
      </c>
      <c r="L31" s="48">
        <f t="shared" ca="1" si="2"/>
        <v>0</v>
      </c>
      <c r="M31" s="48">
        <f t="shared" ca="1" si="2"/>
        <v>0</v>
      </c>
      <c r="N31" s="48">
        <f t="shared" ca="1" si="2"/>
        <v>0</v>
      </c>
    </row>
    <row r="32" spans="2:14" ht="13" x14ac:dyDescent="0.3">
      <c r="B32" s="6" t="s">
        <v>324</v>
      </c>
      <c r="D32" s="49">
        <f ca="1">SUM(D12:D31)</f>
        <v>286834</v>
      </c>
      <c r="E32" s="49">
        <f t="shared" ref="E32:N32" ca="1" si="3">SUM(E12:E31)</f>
        <v>573668</v>
      </c>
      <c r="F32" s="49">
        <f t="shared" ca="1" si="3"/>
        <v>573668</v>
      </c>
      <c r="G32" s="49">
        <f t="shared" ca="1" si="3"/>
        <v>573668</v>
      </c>
      <c r="H32" s="49">
        <f t="shared" ca="1" si="3"/>
        <v>573668</v>
      </c>
      <c r="I32" s="49">
        <f t="shared" ca="1" si="3"/>
        <v>573668</v>
      </c>
      <c r="J32" s="49">
        <f t="shared" ca="1" si="3"/>
        <v>573668</v>
      </c>
      <c r="K32" s="49">
        <f t="shared" ca="1" si="3"/>
        <v>573668</v>
      </c>
      <c r="L32" s="49">
        <f t="shared" ca="1" si="3"/>
        <v>573668</v>
      </c>
      <c r="M32" s="49">
        <f t="shared" ca="1" si="3"/>
        <v>573668</v>
      </c>
      <c r="N32" s="49">
        <f t="shared" ca="1" si="3"/>
        <v>286834</v>
      </c>
    </row>
    <row r="34" spans="2:14" ht="13" x14ac:dyDescent="0.3">
      <c r="B34" s="20" t="s">
        <v>329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6" spans="2:14" ht="13" x14ac:dyDescent="0.3">
      <c r="D36" s="18">
        <v>1</v>
      </c>
      <c r="E36" s="18">
        <v>2</v>
      </c>
      <c r="F36" s="18">
        <v>3</v>
      </c>
      <c r="G36" s="18">
        <v>4</v>
      </c>
      <c r="H36" s="18">
        <v>5</v>
      </c>
      <c r="I36" s="18">
        <v>6</v>
      </c>
      <c r="J36" s="18">
        <v>7</v>
      </c>
      <c r="K36" s="18">
        <v>8</v>
      </c>
      <c r="L36" s="18">
        <v>9</v>
      </c>
      <c r="M36" s="18">
        <v>10</v>
      </c>
      <c r="N36" s="18">
        <v>11</v>
      </c>
    </row>
    <row r="37" spans="2:14" x14ac:dyDescent="0.25">
      <c r="B37" s="6" t="s">
        <v>43</v>
      </c>
      <c r="D37" s="48">
        <f>+D10</f>
        <v>5736680</v>
      </c>
      <c r="E37" s="48">
        <f t="shared" ref="E37:N37" si="4">+E10</f>
        <v>0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 t="e">
        <f t="shared" si="4"/>
        <v>#REF!</v>
      </c>
    </row>
    <row r="38" spans="2:14" x14ac:dyDescent="0.25">
      <c r="B38" s="6" t="s">
        <v>330</v>
      </c>
      <c r="D38" s="46">
        <v>0.85</v>
      </c>
      <c r="E38" s="46">
        <v>0.85</v>
      </c>
      <c r="F38" s="46">
        <v>0.85</v>
      </c>
      <c r="G38" s="46">
        <v>0.85</v>
      </c>
      <c r="H38" s="46">
        <v>0.85</v>
      </c>
      <c r="I38" s="46">
        <v>0.85</v>
      </c>
      <c r="J38" s="46">
        <v>0.85</v>
      </c>
      <c r="K38" s="46">
        <v>0.85</v>
      </c>
      <c r="L38" s="46">
        <v>0.85</v>
      </c>
      <c r="M38" s="46">
        <v>0.85</v>
      </c>
      <c r="N38" s="46">
        <v>0.85</v>
      </c>
    </row>
    <row r="39" spans="2:14" x14ac:dyDescent="0.25">
      <c r="B39" s="6" t="s">
        <v>331</v>
      </c>
      <c r="D39" s="47">
        <f>D37*D38</f>
        <v>4876178</v>
      </c>
      <c r="E39" s="47">
        <f t="shared" ref="E39:N39" si="5">E37*E38</f>
        <v>0</v>
      </c>
      <c r="F39" s="47">
        <f t="shared" si="5"/>
        <v>0</v>
      </c>
      <c r="G39" s="47">
        <f t="shared" si="5"/>
        <v>0</v>
      </c>
      <c r="H39" s="47">
        <f t="shared" si="5"/>
        <v>0</v>
      </c>
      <c r="I39" s="47">
        <f t="shared" si="5"/>
        <v>0</v>
      </c>
      <c r="J39" s="47">
        <f t="shared" si="5"/>
        <v>0</v>
      </c>
      <c r="K39" s="47">
        <f t="shared" si="5"/>
        <v>0</v>
      </c>
      <c r="L39" s="47">
        <f t="shared" si="5"/>
        <v>0</v>
      </c>
      <c r="M39" s="47">
        <f t="shared" si="5"/>
        <v>0</v>
      </c>
      <c r="N39" s="47" t="e">
        <f t="shared" si="5"/>
        <v>#REF!</v>
      </c>
    </row>
    <row r="41" spans="2:14" x14ac:dyDescent="0.25">
      <c r="B41" s="6" t="s">
        <v>332</v>
      </c>
      <c r="D41" s="46">
        <v>0.2</v>
      </c>
      <c r="E41" s="46">
        <v>0.2</v>
      </c>
      <c r="F41" s="46">
        <v>0.2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</row>
    <row r="42" spans="2:14" x14ac:dyDescent="0.25">
      <c r="B42" s="6" t="s">
        <v>43</v>
      </c>
      <c r="D42" s="47">
        <f>D39*(1-D41)</f>
        <v>3900942.4000000004</v>
      </c>
      <c r="E42" s="47">
        <f t="shared" ref="E42:N42" si="6">E39*(1-E41)</f>
        <v>0</v>
      </c>
      <c r="F42" s="47">
        <f t="shared" si="6"/>
        <v>0</v>
      </c>
      <c r="G42" s="47">
        <f t="shared" si="6"/>
        <v>0</v>
      </c>
      <c r="H42" s="47">
        <f t="shared" si="6"/>
        <v>0</v>
      </c>
      <c r="I42" s="47">
        <f t="shared" si="6"/>
        <v>0</v>
      </c>
      <c r="J42" s="47">
        <f t="shared" si="6"/>
        <v>0</v>
      </c>
      <c r="K42" s="47">
        <f t="shared" si="6"/>
        <v>0</v>
      </c>
      <c r="L42" s="47">
        <f t="shared" si="6"/>
        <v>0</v>
      </c>
      <c r="M42" s="47">
        <f t="shared" si="6"/>
        <v>0</v>
      </c>
      <c r="N42" s="47" t="e">
        <f t="shared" si="6"/>
        <v>#REF!</v>
      </c>
    </row>
    <row r="43" spans="2:14" x14ac:dyDescent="0.25"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2:14" x14ac:dyDescent="0.25">
      <c r="B44" s="6" t="s">
        <v>328</v>
      </c>
      <c r="C44" s="1">
        <v>1</v>
      </c>
      <c r="D44" s="48">
        <f t="shared" ref="D44:N53" ca="1" si="7">IFERROR(OFFSET($C$42,0,MATCH($C44,$D$36:$N$36,0))*OFFSET($C$3,1,MATCH(D$36-$C44+1,$D$3:$N$3,0)),0)</f>
        <v>780188.4800000001</v>
      </c>
      <c r="E44" s="48">
        <f t="shared" ca="1" si="7"/>
        <v>1248301.5680000002</v>
      </c>
      <c r="F44" s="48">
        <f t="shared" ca="1" si="7"/>
        <v>748980.9408000001</v>
      </c>
      <c r="G44" s="48">
        <f t="shared" ca="1" si="7"/>
        <v>449388.56448000006</v>
      </c>
      <c r="H44" s="48">
        <f t="shared" ca="1" si="7"/>
        <v>449388.56448000006</v>
      </c>
      <c r="I44" s="48">
        <f t="shared" ca="1" si="7"/>
        <v>224694.28224000003</v>
      </c>
      <c r="J44" s="48">
        <f t="shared" ca="1" si="7"/>
        <v>0</v>
      </c>
      <c r="K44" s="48">
        <f t="shared" ca="1" si="7"/>
        <v>0</v>
      </c>
      <c r="L44" s="48">
        <f t="shared" ca="1" si="7"/>
        <v>0</v>
      </c>
      <c r="M44" s="48">
        <f t="shared" ca="1" si="7"/>
        <v>0</v>
      </c>
      <c r="N44" s="48">
        <f t="shared" ca="1" si="7"/>
        <v>0</v>
      </c>
    </row>
    <row r="45" spans="2:14" x14ac:dyDescent="0.25">
      <c r="B45" s="6" t="s">
        <v>328</v>
      </c>
      <c r="C45" s="1">
        <v>2</v>
      </c>
      <c r="D45" s="48">
        <f t="shared" ca="1" si="7"/>
        <v>0</v>
      </c>
      <c r="E45" s="48">
        <f t="shared" ca="1" si="7"/>
        <v>0</v>
      </c>
      <c r="F45" s="48">
        <f t="shared" ca="1" si="7"/>
        <v>0</v>
      </c>
      <c r="G45" s="48">
        <f t="shared" ca="1" si="7"/>
        <v>0</v>
      </c>
      <c r="H45" s="48">
        <f t="shared" ca="1" si="7"/>
        <v>0</v>
      </c>
      <c r="I45" s="48">
        <f t="shared" ca="1" si="7"/>
        <v>0</v>
      </c>
      <c r="J45" s="48">
        <f t="shared" ca="1" si="7"/>
        <v>0</v>
      </c>
      <c r="K45" s="48">
        <f t="shared" ca="1" si="7"/>
        <v>0</v>
      </c>
      <c r="L45" s="48">
        <f t="shared" ca="1" si="7"/>
        <v>0</v>
      </c>
      <c r="M45" s="48">
        <f t="shared" ca="1" si="7"/>
        <v>0</v>
      </c>
      <c r="N45" s="48">
        <f t="shared" ca="1" si="7"/>
        <v>0</v>
      </c>
    </row>
    <row r="46" spans="2:14" x14ac:dyDescent="0.25">
      <c r="B46" s="6" t="s">
        <v>328</v>
      </c>
      <c r="C46" s="1">
        <v>3</v>
      </c>
      <c r="D46" s="48">
        <f t="shared" ca="1" si="7"/>
        <v>0</v>
      </c>
      <c r="E46" s="48">
        <f t="shared" ca="1" si="7"/>
        <v>0</v>
      </c>
      <c r="F46" s="48">
        <f t="shared" ca="1" si="7"/>
        <v>0</v>
      </c>
      <c r="G46" s="48">
        <f t="shared" ca="1" si="7"/>
        <v>0</v>
      </c>
      <c r="H46" s="48">
        <f t="shared" ca="1" si="7"/>
        <v>0</v>
      </c>
      <c r="I46" s="48">
        <f t="shared" ca="1" si="7"/>
        <v>0</v>
      </c>
      <c r="J46" s="48">
        <f t="shared" ca="1" si="7"/>
        <v>0</v>
      </c>
      <c r="K46" s="48">
        <f t="shared" ca="1" si="7"/>
        <v>0</v>
      </c>
      <c r="L46" s="48">
        <f t="shared" ca="1" si="7"/>
        <v>0</v>
      </c>
      <c r="M46" s="48">
        <f t="shared" ca="1" si="7"/>
        <v>0</v>
      </c>
      <c r="N46" s="48">
        <f t="shared" ca="1" si="7"/>
        <v>0</v>
      </c>
    </row>
    <row r="47" spans="2:14" x14ac:dyDescent="0.25">
      <c r="B47" s="6" t="s">
        <v>328</v>
      </c>
      <c r="C47" s="1">
        <v>4</v>
      </c>
      <c r="D47" s="48">
        <f t="shared" ca="1" si="7"/>
        <v>0</v>
      </c>
      <c r="E47" s="48">
        <f t="shared" ca="1" si="7"/>
        <v>0</v>
      </c>
      <c r="F47" s="48">
        <f t="shared" ca="1" si="7"/>
        <v>0</v>
      </c>
      <c r="G47" s="48">
        <f t="shared" ca="1" si="7"/>
        <v>0</v>
      </c>
      <c r="H47" s="48">
        <f t="shared" ca="1" si="7"/>
        <v>0</v>
      </c>
      <c r="I47" s="48">
        <f t="shared" ca="1" si="7"/>
        <v>0</v>
      </c>
      <c r="J47" s="48">
        <f t="shared" ca="1" si="7"/>
        <v>0</v>
      </c>
      <c r="K47" s="48">
        <f t="shared" ca="1" si="7"/>
        <v>0</v>
      </c>
      <c r="L47" s="48">
        <f t="shared" ca="1" si="7"/>
        <v>0</v>
      </c>
      <c r="M47" s="48">
        <f t="shared" ca="1" si="7"/>
        <v>0</v>
      </c>
      <c r="N47" s="48">
        <f t="shared" ca="1" si="7"/>
        <v>0</v>
      </c>
    </row>
    <row r="48" spans="2:14" x14ac:dyDescent="0.25">
      <c r="B48" s="6" t="s">
        <v>328</v>
      </c>
      <c r="C48" s="1">
        <v>5</v>
      </c>
      <c r="D48" s="48">
        <f t="shared" ca="1" si="7"/>
        <v>0</v>
      </c>
      <c r="E48" s="48">
        <f t="shared" ca="1" si="7"/>
        <v>0</v>
      </c>
      <c r="F48" s="48">
        <f t="shared" ca="1" si="7"/>
        <v>0</v>
      </c>
      <c r="G48" s="48">
        <f t="shared" ca="1" si="7"/>
        <v>0</v>
      </c>
      <c r="H48" s="48">
        <f t="shared" ca="1" si="7"/>
        <v>0</v>
      </c>
      <c r="I48" s="48">
        <f t="shared" ca="1" si="7"/>
        <v>0</v>
      </c>
      <c r="J48" s="48">
        <f t="shared" ca="1" si="7"/>
        <v>0</v>
      </c>
      <c r="K48" s="48">
        <f t="shared" ca="1" si="7"/>
        <v>0</v>
      </c>
      <c r="L48" s="48">
        <f t="shared" ca="1" si="7"/>
        <v>0</v>
      </c>
      <c r="M48" s="48">
        <f t="shared" ca="1" si="7"/>
        <v>0</v>
      </c>
      <c r="N48" s="48">
        <f t="shared" ca="1" si="7"/>
        <v>0</v>
      </c>
    </row>
    <row r="49" spans="2:14" x14ac:dyDescent="0.25">
      <c r="B49" s="6" t="s">
        <v>328</v>
      </c>
      <c r="C49" s="1">
        <v>6</v>
      </c>
      <c r="D49" s="48">
        <f t="shared" ca="1" si="7"/>
        <v>0</v>
      </c>
      <c r="E49" s="48">
        <f t="shared" ca="1" si="7"/>
        <v>0</v>
      </c>
      <c r="F49" s="48">
        <f t="shared" ca="1" si="7"/>
        <v>0</v>
      </c>
      <c r="G49" s="48">
        <f t="shared" ca="1" si="7"/>
        <v>0</v>
      </c>
      <c r="H49" s="48">
        <f t="shared" ca="1" si="7"/>
        <v>0</v>
      </c>
      <c r="I49" s="48">
        <f t="shared" ca="1" si="7"/>
        <v>0</v>
      </c>
      <c r="J49" s="48">
        <f t="shared" ca="1" si="7"/>
        <v>0</v>
      </c>
      <c r="K49" s="48">
        <f t="shared" ca="1" si="7"/>
        <v>0</v>
      </c>
      <c r="L49" s="48">
        <f t="shared" ca="1" si="7"/>
        <v>0</v>
      </c>
      <c r="M49" s="48">
        <f t="shared" ca="1" si="7"/>
        <v>0</v>
      </c>
      <c r="N49" s="48">
        <f t="shared" ca="1" si="7"/>
        <v>0</v>
      </c>
    </row>
    <row r="50" spans="2:14" x14ac:dyDescent="0.25">
      <c r="B50" s="6" t="s">
        <v>328</v>
      </c>
      <c r="C50" s="1">
        <v>7</v>
      </c>
      <c r="D50" s="48">
        <f t="shared" ca="1" si="7"/>
        <v>0</v>
      </c>
      <c r="E50" s="48">
        <f t="shared" ca="1" si="7"/>
        <v>0</v>
      </c>
      <c r="F50" s="48">
        <f t="shared" ca="1" si="7"/>
        <v>0</v>
      </c>
      <c r="G50" s="48">
        <f t="shared" ca="1" si="7"/>
        <v>0</v>
      </c>
      <c r="H50" s="48">
        <f t="shared" ca="1" si="7"/>
        <v>0</v>
      </c>
      <c r="I50" s="48">
        <f t="shared" ca="1" si="7"/>
        <v>0</v>
      </c>
      <c r="J50" s="48">
        <f t="shared" ca="1" si="7"/>
        <v>0</v>
      </c>
      <c r="K50" s="48">
        <f t="shared" ca="1" si="7"/>
        <v>0</v>
      </c>
      <c r="L50" s="48">
        <f t="shared" ca="1" si="7"/>
        <v>0</v>
      </c>
      <c r="M50" s="48">
        <f t="shared" ca="1" si="7"/>
        <v>0</v>
      </c>
      <c r="N50" s="48">
        <f t="shared" ca="1" si="7"/>
        <v>0</v>
      </c>
    </row>
    <row r="51" spans="2:14" x14ac:dyDescent="0.25">
      <c r="B51" s="6" t="s">
        <v>328</v>
      </c>
      <c r="C51" s="1">
        <v>8</v>
      </c>
      <c r="D51" s="48">
        <f t="shared" ca="1" si="7"/>
        <v>0</v>
      </c>
      <c r="E51" s="48">
        <f t="shared" ca="1" si="7"/>
        <v>0</v>
      </c>
      <c r="F51" s="48">
        <f t="shared" ca="1" si="7"/>
        <v>0</v>
      </c>
      <c r="G51" s="48">
        <f t="shared" ca="1" si="7"/>
        <v>0</v>
      </c>
      <c r="H51" s="48">
        <f t="shared" ca="1" si="7"/>
        <v>0</v>
      </c>
      <c r="I51" s="48">
        <f t="shared" ca="1" si="7"/>
        <v>0</v>
      </c>
      <c r="J51" s="48">
        <f t="shared" ca="1" si="7"/>
        <v>0</v>
      </c>
      <c r="K51" s="48">
        <f t="shared" ca="1" si="7"/>
        <v>0</v>
      </c>
      <c r="L51" s="48">
        <f t="shared" ca="1" si="7"/>
        <v>0</v>
      </c>
      <c r="M51" s="48">
        <f t="shared" ca="1" si="7"/>
        <v>0</v>
      </c>
      <c r="N51" s="48">
        <f t="shared" ca="1" si="7"/>
        <v>0</v>
      </c>
    </row>
    <row r="52" spans="2:14" x14ac:dyDescent="0.25">
      <c r="B52" s="6" t="s">
        <v>328</v>
      </c>
      <c r="C52" s="1">
        <v>9</v>
      </c>
      <c r="D52" s="48">
        <f t="shared" ca="1" si="7"/>
        <v>0</v>
      </c>
      <c r="E52" s="48">
        <f t="shared" ca="1" si="7"/>
        <v>0</v>
      </c>
      <c r="F52" s="48">
        <f t="shared" ca="1" si="7"/>
        <v>0</v>
      </c>
      <c r="G52" s="48">
        <f t="shared" ca="1" si="7"/>
        <v>0</v>
      </c>
      <c r="H52" s="48">
        <f t="shared" ca="1" si="7"/>
        <v>0</v>
      </c>
      <c r="I52" s="48">
        <f t="shared" ca="1" si="7"/>
        <v>0</v>
      </c>
      <c r="J52" s="48">
        <f t="shared" ca="1" si="7"/>
        <v>0</v>
      </c>
      <c r="K52" s="48">
        <f t="shared" ca="1" si="7"/>
        <v>0</v>
      </c>
      <c r="L52" s="48">
        <f t="shared" ca="1" si="7"/>
        <v>0</v>
      </c>
      <c r="M52" s="48">
        <f t="shared" ca="1" si="7"/>
        <v>0</v>
      </c>
      <c r="N52" s="48">
        <f t="shared" ca="1" si="7"/>
        <v>0</v>
      </c>
    </row>
    <row r="53" spans="2:14" x14ac:dyDescent="0.25">
      <c r="B53" s="6" t="s">
        <v>328</v>
      </c>
      <c r="C53" s="1">
        <v>10</v>
      </c>
      <c r="D53" s="48">
        <f t="shared" ca="1" si="7"/>
        <v>0</v>
      </c>
      <c r="E53" s="48">
        <f t="shared" ca="1" si="7"/>
        <v>0</v>
      </c>
      <c r="F53" s="48">
        <f t="shared" ca="1" si="7"/>
        <v>0</v>
      </c>
      <c r="G53" s="48">
        <f t="shared" ca="1" si="7"/>
        <v>0</v>
      </c>
      <c r="H53" s="48">
        <f t="shared" ca="1" si="7"/>
        <v>0</v>
      </c>
      <c r="I53" s="48">
        <f t="shared" ca="1" si="7"/>
        <v>0</v>
      </c>
      <c r="J53" s="48">
        <f t="shared" ca="1" si="7"/>
        <v>0</v>
      </c>
      <c r="K53" s="48">
        <f t="shared" ca="1" si="7"/>
        <v>0</v>
      </c>
      <c r="L53" s="48">
        <f t="shared" ca="1" si="7"/>
        <v>0</v>
      </c>
      <c r="M53" s="48">
        <f t="shared" ca="1" si="7"/>
        <v>0</v>
      </c>
      <c r="N53" s="48">
        <f t="shared" ca="1" si="7"/>
        <v>0</v>
      </c>
    </row>
    <row r="54" spans="2:14" x14ac:dyDescent="0.25">
      <c r="B54" s="6" t="s">
        <v>328</v>
      </c>
      <c r="C54" s="1">
        <v>11</v>
      </c>
      <c r="D54" s="48">
        <f t="shared" ref="D54:N63" ca="1" si="8">IFERROR(OFFSET($C$42,0,MATCH($C54,$D$36:$N$36,0))*OFFSET($C$3,1,MATCH(D$36-$C54+1,$D$3:$N$3,0)),0)</f>
        <v>0</v>
      </c>
      <c r="E54" s="48">
        <f t="shared" ca="1" si="8"/>
        <v>0</v>
      </c>
      <c r="F54" s="48">
        <f t="shared" ca="1" si="8"/>
        <v>0</v>
      </c>
      <c r="G54" s="48">
        <f t="shared" ca="1" si="8"/>
        <v>0</v>
      </c>
      <c r="H54" s="48">
        <f t="shared" ca="1" si="8"/>
        <v>0</v>
      </c>
      <c r="I54" s="48">
        <f t="shared" ca="1" si="8"/>
        <v>0</v>
      </c>
      <c r="J54" s="48">
        <f t="shared" ca="1" si="8"/>
        <v>0</v>
      </c>
      <c r="K54" s="48">
        <f t="shared" ca="1" si="8"/>
        <v>0</v>
      </c>
      <c r="L54" s="48">
        <f t="shared" ca="1" si="8"/>
        <v>0</v>
      </c>
      <c r="M54" s="48">
        <f t="shared" ca="1" si="8"/>
        <v>0</v>
      </c>
      <c r="N54" s="48">
        <f t="shared" ca="1" si="8"/>
        <v>0</v>
      </c>
    </row>
    <row r="55" spans="2:14" x14ac:dyDescent="0.25">
      <c r="B55" s="6" t="s">
        <v>328</v>
      </c>
      <c r="C55" s="1">
        <v>12</v>
      </c>
      <c r="D55" s="48">
        <f t="shared" ca="1" si="8"/>
        <v>0</v>
      </c>
      <c r="E55" s="48">
        <f t="shared" ca="1" si="8"/>
        <v>0</v>
      </c>
      <c r="F55" s="48">
        <f t="shared" ca="1" si="8"/>
        <v>0</v>
      </c>
      <c r="G55" s="48">
        <f t="shared" ca="1" si="8"/>
        <v>0</v>
      </c>
      <c r="H55" s="48">
        <f t="shared" ca="1" si="8"/>
        <v>0</v>
      </c>
      <c r="I55" s="48">
        <f t="shared" ca="1" si="8"/>
        <v>0</v>
      </c>
      <c r="J55" s="48">
        <f t="shared" ca="1" si="8"/>
        <v>0</v>
      </c>
      <c r="K55" s="48">
        <f t="shared" ca="1" si="8"/>
        <v>0</v>
      </c>
      <c r="L55" s="48">
        <f t="shared" ca="1" si="8"/>
        <v>0</v>
      </c>
      <c r="M55" s="48">
        <f t="shared" ca="1" si="8"/>
        <v>0</v>
      </c>
      <c r="N55" s="48">
        <f t="shared" ca="1" si="8"/>
        <v>0</v>
      </c>
    </row>
    <row r="56" spans="2:14" x14ac:dyDescent="0.25">
      <c r="B56" s="6" t="s">
        <v>328</v>
      </c>
      <c r="C56" s="1">
        <v>13</v>
      </c>
      <c r="D56" s="48">
        <f t="shared" ca="1" si="8"/>
        <v>0</v>
      </c>
      <c r="E56" s="48">
        <f t="shared" ca="1" si="8"/>
        <v>0</v>
      </c>
      <c r="F56" s="48">
        <f t="shared" ca="1" si="8"/>
        <v>0</v>
      </c>
      <c r="G56" s="48">
        <f t="shared" ca="1" si="8"/>
        <v>0</v>
      </c>
      <c r="H56" s="48">
        <f t="shared" ca="1" si="8"/>
        <v>0</v>
      </c>
      <c r="I56" s="48">
        <f t="shared" ca="1" si="8"/>
        <v>0</v>
      </c>
      <c r="J56" s="48">
        <f t="shared" ca="1" si="8"/>
        <v>0</v>
      </c>
      <c r="K56" s="48">
        <f t="shared" ca="1" si="8"/>
        <v>0</v>
      </c>
      <c r="L56" s="48">
        <f t="shared" ca="1" si="8"/>
        <v>0</v>
      </c>
      <c r="M56" s="48">
        <f t="shared" ca="1" si="8"/>
        <v>0</v>
      </c>
      <c r="N56" s="48">
        <f t="shared" ca="1" si="8"/>
        <v>0</v>
      </c>
    </row>
    <row r="57" spans="2:14" x14ac:dyDescent="0.25">
      <c r="B57" s="6" t="s">
        <v>328</v>
      </c>
      <c r="C57" s="1">
        <v>14</v>
      </c>
      <c r="D57" s="48">
        <f t="shared" ca="1" si="8"/>
        <v>0</v>
      </c>
      <c r="E57" s="48">
        <f t="shared" ca="1" si="8"/>
        <v>0</v>
      </c>
      <c r="F57" s="48">
        <f t="shared" ca="1" si="8"/>
        <v>0</v>
      </c>
      <c r="G57" s="48">
        <f t="shared" ca="1" si="8"/>
        <v>0</v>
      </c>
      <c r="H57" s="48">
        <f t="shared" ca="1" si="8"/>
        <v>0</v>
      </c>
      <c r="I57" s="48">
        <f t="shared" ca="1" si="8"/>
        <v>0</v>
      </c>
      <c r="J57" s="48">
        <f t="shared" ca="1" si="8"/>
        <v>0</v>
      </c>
      <c r="K57" s="48">
        <f t="shared" ca="1" si="8"/>
        <v>0</v>
      </c>
      <c r="L57" s="48">
        <f t="shared" ca="1" si="8"/>
        <v>0</v>
      </c>
      <c r="M57" s="48">
        <f t="shared" ca="1" si="8"/>
        <v>0</v>
      </c>
      <c r="N57" s="48">
        <f t="shared" ca="1" si="8"/>
        <v>0</v>
      </c>
    </row>
    <row r="58" spans="2:14" x14ac:dyDescent="0.25">
      <c r="B58" s="6" t="s">
        <v>328</v>
      </c>
      <c r="C58" s="1">
        <v>15</v>
      </c>
      <c r="D58" s="48">
        <f t="shared" ca="1" si="8"/>
        <v>0</v>
      </c>
      <c r="E58" s="48">
        <f t="shared" ca="1" si="8"/>
        <v>0</v>
      </c>
      <c r="F58" s="48">
        <f t="shared" ca="1" si="8"/>
        <v>0</v>
      </c>
      <c r="G58" s="48">
        <f t="shared" ca="1" si="8"/>
        <v>0</v>
      </c>
      <c r="H58" s="48">
        <f t="shared" ca="1" si="8"/>
        <v>0</v>
      </c>
      <c r="I58" s="48">
        <f t="shared" ca="1" si="8"/>
        <v>0</v>
      </c>
      <c r="J58" s="48">
        <f t="shared" ca="1" si="8"/>
        <v>0</v>
      </c>
      <c r="K58" s="48">
        <f t="shared" ca="1" si="8"/>
        <v>0</v>
      </c>
      <c r="L58" s="48">
        <f t="shared" ca="1" si="8"/>
        <v>0</v>
      </c>
      <c r="M58" s="48">
        <f t="shared" ca="1" si="8"/>
        <v>0</v>
      </c>
      <c r="N58" s="48">
        <f t="shared" ca="1" si="8"/>
        <v>0</v>
      </c>
    </row>
    <row r="59" spans="2:14" x14ac:dyDescent="0.25">
      <c r="B59" s="6" t="s">
        <v>328</v>
      </c>
      <c r="C59" s="1">
        <v>16</v>
      </c>
      <c r="D59" s="48">
        <f t="shared" ca="1" si="8"/>
        <v>0</v>
      </c>
      <c r="E59" s="48">
        <f t="shared" ca="1" si="8"/>
        <v>0</v>
      </c>
      <c r="F59" s="48">
        <f t="shared" ca="1" si="8"/>
        <v>0</v>
      </c>
      <c r="G59" s="48">
        <f t="shared" ca="1" si="8"/>
        <v>0</v>
      </c>
      <c r="H59" s="48">
        <f t="shared" ca="1" si="8"/>
        <v>0</v>
      </c>
      <c r="I59" s="48">
        <f t="shared" ca="1" si="8"/>
        <v>0</v>
      </c>
      <c r="J59" s="48">
        <f t="shared" ca="1" si="8"/>
        <v>0</v>
      </c>
      <c r="K59" s="48">
        <f t="shared" ca="1" si="8"/>
        <v>0</v>
      </c>
      <c r="L59" s="48">
        <f t="shared" ca="1" si="8"/>
        <v>0</v>
      </c>
      <c r="M59" s="48">
        <f t="shared" ca="1" si="8"/>
        <v>0</v>
      </c>
      <c r="N59" s="48">
        <f t="shared" ca="1" si="8"/>
        <v>0</v>
      </c>
    </row>
    <row r="60" spans="2:14" x14ac:dyDescent="0.25">
      <c r="B60" s="6" t="s">
        <v>328</v>
      </c>
      <c r="C60" s="1">
        <v>17</v>
      </c>
      <c r="D60" s="48">
        <f t="shared" ca="1" si="8"/>
        <v>0</v>
      </c>
      <c r="E60" s="48">
        <f t="shared" ca="1" si="8"/>
        <v>0</v>
      </c>
      <c r="F60" s="48">
        <f t="shared" ca="1" si="8"/>
        <v>0</v>
      </c>
      <c r="G60" s="48">
        <f t="shared" ca="1" si="8"/>
        <v>0</v>
      </c>
      <c r="H60" s="48">
        <f t="shared" ca="1" si="8"/>
        <v>0</v>
      </c>
      <c r="I60" s="48">
        <f t="shared" ca="1" si="8"/>
        <v>0</v>
      </c>
      <c r="J60" s="48">
        <f t="shared" ca="1" si="8"/>
        <v>0</v>
      </c>
      <c r="K60" s="48">
        <f t="shared" ca="1" si="8"/>
        <v>0</v>
      </c>
      <c r="L60" s="48">
        <f t="shared" ca="1" si="8"/>
        <v>0</v>
      </c>
      <c r="M60" s="48">
        <f t="shared" ca="1" si="8"/>
        <v>0</v>
      </c>
      <c r="N60" s="48">
        <f t="shared" ca="1" si="8"/>
        <v>0</v>
      </c>
    </row>
    <row r="61" spans="2:14" x14ac:dyDescent="0.25">
      <c r="B61" s="6" t="s">
        <v>328</v>
      </c>
      <c r="C61" s="1">
        <v>18</v>
      </c>
      <c r="D61" s="48">
        <f t="shared" ca="1" si="8"/>
        <v>0</v>
      </c>
      <c r="E61" s="48">
        <f t="shared" ca="1" si="8"/>
        <v>0</v>
      </c>
      <c r="F61" s="48">
        <f t="shared" ca="1" si="8"/>
        <v>0</v>
      </c>
      <c r="G61" s="48">
        <f t="shared" ca="1" si="8"/>
        <v>0</v>
      </c>
      <c r="H61" s="48">
        <f t="shared" ca="1" si="8"/>
        <v>0</v>
      </c>
      <c r="I61" s="48">
        <f t="shared" ca="1" si="8"/>
        <v>0</v>
      </c>
      <c r="J61" s="48">
        <f t="shared" ca="1" si="8"/>
        <v>0</v>
      </c>
      <c r="K61" s="48">
        <f t="shared" ca="1" si="8"/>
        <v>0</v>
      </c>
      <c r="L61" s="48">
        <f t="shared" ca="1" si="8"/>
        <v>0</v>
      </c>
      <c r="M61" s="48">
        <f t="shared" ca="1" si="8"/>
        <v>0</v>
      </c>
      <c r="N61" s="48">
        <f t="shared" ca="1" si="8"/>
        <v>0</v>
      </c>
    </row>
    <row r="62" spans="2:14" x14ac:dyDescent="0.25">
      <c r="B62" s="6" t="s">
        <v>328</v>
      </c>
      <c r="C62" s="1">
        <v>19</v>
      </c>
      <c r="D62" s="48">
        <f t="shared" ca="1" si="8"/>
        <v>0</v>
      </c>
      <c r="E62" s="48">
        <f t="shared" ca="1" si="8"/>
        <v>0</v>
      </c>
      <c r="F62" s="48">
        <f t="shared" ca="1" si="8"/>
        <v>0</v>
      </c>
      <c r="G62" s="48">
        <f t="shared" ca="1" si="8"/>
        <v>0</v>
      </c>
      <c r="H62" s="48">
        <f t="shared" ca="1" si="8"/>
        <v>0</v>
      </c>
      <c r="I62" s="48">
        <f t="shared" ca="1" si="8"/>
        <v>0</v>
      </c>
      <c r="J62" s="48">
        <f t="shared" ca="1" si="8"/>
        <v>0</v>
      </c>
      <c r="K62" s="48">
        <f t="shared" ca="1" si="8"/>
        <v>0</v>
      </c>
      <c r="L62" s="48">
        <f t="shared" ca="1" si="8"/>
        <v>0</v>
      </c>
      <c r="M62" s="48">
        <f t="shared" ca="1" si="8"/>
        <v>0</v>
      </c>
      <c r="N62" s="48">
        <f t="shared" ca="1" si="8"/>
        <v>0</v>
      </c>
    </row>
    <row r="63" spans="2:14" x14ac:dyDescent="0.25">
      <c r="B63" s="6" t="s">
        <v>328</v>
      </c>
      <c r="C63" s="1">
        <v>20</v>
      </c>
      <c r="D63" s="48">
        <f t="shared" ca="1" si="8"/>
        <v>0</v>
      </c>
      <c r="E63" s="48">
        <f t="shared" ca="1" si="8"/>
        <v>0</v>
      </c>
      <c r="F63" s="48">
        <f t="shared" ca="1" si="8"/>
        <v>0</v>
      </c>
      <c r="G63" s="48">
        <f t="shared" ca="1" si="8"/>
        <v>0</v>
      </c>
      <c r="H63" s="48">
        <f t="shared" ca="1" si="8"/>
        <v>0</v>
      </c>
      <c r="I63" s="48">
        <f t="shared" ca="1" si="8"/>
        <v>0</v>
      </c>
      <c r="J63" s="48">
        <f t="shared" ca="1" si="8"/>
        <v>0</v>
      </c>
      <c r="K63" s="48">
        <f t="shared" ca="1" si="8"/>
        <v>0</v>
      </c>
      <c r="L63" s="48">
        <f t="shared" ca="1" si="8"/>
        <v>0</v>
      </c>
      <c r="M63" s="48">
        <f t="shared" ca="1" si="8"/>
        <v>0</v>
      </c>
      <c r="N63" s="48">
        <f t="shared" ca="1" si="8"/>
        <v>0</v>
      </c>
    </row>
    <row r="64" spans="2:14" x14ac:dyDescent="0.25">
      <c r="B64" s="6" t="s">
        <v>333</v>
      </c>
      <c r="D64" s="47">
        <f ca="1">SUM(D44:D63)</f>
        <v>780188.4800000001</v>
      </c>
      <c r="E64" s="47">
        <f t="shared" ref="E64" ca="1" si="9">SUM(E44:E63)</f>
        <v>1248301.5680000002</v>
      </c>
      <c r="F64" s="47">
        <f t="shared" ref="F64" ca="1" si="10">SUM(F44:F63)</f>
        <v>748980.9408000001</v>
      </c>
      <c r="G64" s="47">
        <f t="shared" ref="G64" ca="1" si="11">SUM(G44:G63)</f>
        <v>449388.56448000006</v>
      </c>
      <c r="H64" s="47">
        <f t="shared" ref="H64" ca="1" si="12">SUM(H44:H63)</f>
        <v>449388.56448000006</v>
      </c>
      <c r="I64" s="47">
        <f t="shared" ref="I64" ca="1" si="13">SUM(I44:I63)</f>
        <v>224694.28224000003</v>
      </c>
      <c r="J64" s="47">
        <f t="shared" ref="J64" ca="1" si="14">SUM(J44:J63)</f>
        <v>0</v>
      </c>
      <c r="K64" s="47">
        <f t="shared" ref="K64" ca="1" si="15">SUM(K44:K63)</f>
        <v>0</v>
      </c>
      <c r="L64" s="47">
        <f t="shared" ref="L64" ca="1" si="16">SUM(L44:L63)</f>
        <v>0</v>
      </c>
      <c r="M64" s="47">
        <f t="shared" ref="M64" ca="1" si="17">SUM(M44:M63)</f>
        <v>0</v>
      </c>
      <c r="N64" s="47">
        <f t="shared" ref="N64" ca="1" si="18">SUM(N44:N63)</f>
        <v>0</v>
      </c>
    </row>
    <row r="65" spans="2:14" x14ac:dyDescent="0.25">
      <c r="B65" s="6" t="s">
        <v>334</v>
      </c>
      <c r="D65" s="48">
        <f>D39*D41</f>
        <v>975235.60000000009</v>
      </c>
      <c r="E65" s="48">
        <f>E39*E41</f>
        <v>0</v>
      </c>
      <c r="F65" s="48">
        <f t="shared" ref="F65:N65" si="19">F39*F41</f>
        <v>0</v>
      </c>
      <c r="G65" s="48">
        <f t="shared" si="19"/>
        <v>0</v>
      </c>
      <c r="H65" s="48">
        <f t="shared" si="19"/>
        <v>0</v>
      </c>
      <c r="I65" s="48">
        <f t="shared" si="19"/>
        <v>0</v>
      </c>
      <c r="J65" s="48">
        <f t="shared" si="19"/>
        <v>0</v>
      </c>
      <c r="K65" s="48">
        <f t="shared" si="19"/>
        <v>0</v>
      </c>
      <c r="L65" s="48">
        <f t="shared" si="19"/>
        <v>0</v>
      </c>
      <c r="M65" s="48">
        <f t="shared" si="19"/>
        <v>0</v>
      </c>
      <c r="N65" s="48" t="e">
        <f t="shared" si="19"/>
        <v>#REF!</v>
      </c>
    </row>
    <row r="66" spans="2:14" x14ac:dyDescent="0.25">
      <c r="B66" s="6" t="s">
        <v>335</v>
      </c>
      <c r="D66" s="47">
        <f ca="1">SUM(D64:D65)</f>
        <v>1755424.08</v>
      </c>
      <c r="E66" s="47">
        <f t="shared" ref="E66:N66" ca="1" si="20">SUM(E64:E65)</f>
        <v>1248301.5680000002</v>
      </c>
      <c r="F66" s="47">
        <f t="shared" ca="1" si="20"/>
        <v>748980.9408000001</v>
      </c>
      <c r="G66" s="47">
        <f t="shared" ca="1" si="20"/>
        <v>449388.56448000006</v>
      </c>
      <c r="H66" s="47">
        <f t="shared" ca="1" si="20"/>
        <v>449388.56448000006</v>
      </c>
      <c r="I66" s="47">
        <f t="shared" ca="1" si="20"/>
        <v>224694.28224000003</v>
      </c>
      <c r="J66" s="47">
        <f t="shared" ca="1" si="20"/>
        <v>0</v>
      </c>
      <c r="K66" s="47">
        <f t="shared" ca="1" si="20"/>
        <v>0</v>
      </c>
      <c r="L66" s="47">
        <f t="shared" ca="1" si="20"/>
        <v>0</v>
      </c>
      <c r="M66" s="47">
        <f t="shared" ca="1" si="20"/>
        <v>0</v>
      </c>
      <c r="N66" s="47" t="e">
        <f t="shared" ca="1" si="20"/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BR76"/>
  <sheetViews>
    <sheetView topLeftCell="A43" zoomScaleNormal="100" workbookViewId="0">
      <selection activeCell="C24" sqref="C24"/>
    </sheetView>
  </sheetViews>
  <sheetFormatPr defaultColWidth="9.1796875" defaultRowHeight="14.5" x14ac:dyDescent="0.35"/>
  <cols>
    <col min="1" max="1" width="1.453125" customWidth="1"/>
    <col min="2" max="2" width="27.1796875" customWidth="1"/>
    <col min="3" max="3" width="17.81640625" bestFit="1" customWidth="1"/>
    <col min="4" max="4" width="14.26953125" customWidth="1"/>
    <col min="5" max="5" width="18.7265625" bestFit="1" customWidth="1"/>
    <col min="6" max="6" width="13.81640625" bestFit="1" customWidth="1"/>
    <col min="7" max="7" width="15" bestFit="1" customWidth="1"/>
    <col min="8" max="8" width="2.453125" customWidth="1"/>
    <col min="9" max="9" width="27.1796875" customWidth="1"/>
    <col min="10" max="10" width="17.81640625" bestFit="1" customWidth="1"/>
    <col min="11" max="11" width="14.26953125" customWidth="1"/>
    <col min="12" max="12" width="22.7265625" bestFit="1" customWidth="1"/>
    <col min="13" max="13" width="13.81640625" bestFit="1" customWidth="1"/>
    <col min="14" max="14" width="15" bestFit="1" customWidth="1"/>
    <col min="15" max="15" width="3.1796875" customWidth="1"/>
    <col min="16" max="16" width="27.1796875" customWidth="1"/>
    <col min="17" max="17" width="17.81640625" bestFit="1" customWidth="1"/>
    <col min="18" max="18" width="14.26953125" customWidth="1"/>
    <col min="19" max="19" width="22.7265625" bestFit="1" customWidth="1"/>
    <col min="20" max="20" width="13.81640625" bestFit="1" customWidth="1"/>
    <col min="21" max="21" width="15" bestFit="1" customWidth="1"/>
    <col min="22" max="22" width="3.1796875" customWidth="1"/>
    <col min="23" max="23" width="27.1796875" customWidth="1"/>
    <col min="24" max="24" width="17.81640625" bestFit="1" customWidth="1"/>
    <col min="25" max="25" width="14.26953125" customWidth="1"/>
    <col min="26" max="26" width="22.7265625" bestFit="1" customWidth="1"/>
    <col min="27" max="27" width="13.81640625" bestFit="1" customWidth="1"/>
    <col min="28" max="28" width="15" bestFit="1" customWidth="1"/>
    <col min="29" max="29" width="3.1796875" customWidth="1"/>
    <col min="30" max="30" width="27.1796875" customWidth="1"/>
    <col min="31" max="31" width="17.81640625" bestFit="1" customWidth="1"/>
    <col min="32" max="32" width="14.26953125" customWidth="1"/>
    <col min="33" max="33" width="22.7265625" bestFit="1" customWidth="1"/>
    <col min="34" max="34" width="13.81640625" bestFit="1" customWidth="1"/>
    <col min="35" max="35" width="15" bestFit="1" customWidth="1"/>
    <col min="36" max="36" width="3.1796875" customWidth="1"/>
    <col min="37" max="37" width="27.1796875" customWidth="1"/>
    <col min="38" max="38" width="17.81640625" bestFit="1" customWidth="1"/>
    <col min="39" max="39" width="14.26953125" customWidth="1"/>
    <col min="40" max="40" width="22.7265625" bestFit="1" customWidth="1"/>
    <col min="41" max="41" width="13.81640625" bestFit="1" customWidth="1"/>
    <col min="42" max="42" width="15" bestFit="1" customWidth="1"/>
    <col min="43" max="43" width="3.1796875" customWidth="1"/>
    <col min="44" max="44" width="27.1796875" customWidth="1"/>
    <col min="45" max="45" width="17.81640625" bestFit="1" customWidth="1"/>
    <col min="46" max="46" width="14.26953125" customWidth="1"/>
    <col min="47" max="47" width="22.7265625" bestFit="1" customWidth="1"/>
    <col min="48" max="48" width="13.81640625" bestFit="1" customWidth="1"/>
    <col min="49" max="49" width="15" bestFit="1" customWidth="1"/>
    <col min="50" max="50" width="3.1796875" customWidth="1"/>
    <col min="51" max="51" width="27.1796875" customWidth="1"/>
    <col min="52" max="52" width="17.81640625" bestFit="1" customWidth="1"/>
    <col min="53" max="53" width="14.26953125" customWidth="1"/>
    <col min="54" max="54" width="22.7265625" bestFit="1" customWidth="1"/>
    <col min="55" max="55" width="13.81640625" bestFit="1" customWidth="1"/>
    <col min="56" max="56" width="15" bestFit="1" customWidth="1"/>
    <col min="57" max="57" width="3.1796875" customWidth="1"/>
    <col min="58" max="58" width="27.1796875" customWidth="1"/>
    <col min="59" max="59" width="17.81640625" bestFit="1" customWidth="1"/>
    <col min="60" max="60" width="14.26953125" customWidth="1"/>
    <col min="61" max="61" width="22.7265625" bestFit="1" customWidth="1"/>
    <col min="62" max="62" width="13.81640625" bestFit="1" customWidth="1"/>
    <col min="63" max="63" width="15" bestFit="1" customWidth="1"/>
    <col min="64" max="64" width="3.1796875" customWidth="1"/>
    <col min="65" max="65" width="27.1796875" customWidth="1"/>
    <col min="66" max="66" width="17.81640625" bestFit="1" customWidth="1"/>
    <col min="67" max="67" width="14.26953125" customWidth="1"/>
    <col min="68" max="68" width="22.7265625" bestFit="1" customWidth="1"/>
    <col min="69" max="69" width="13.81640625" bestFit="1" customWidth="1"/>
    <col min="70" max="70" width="15" bestFit="1" customWidth="1"/>
  </cols>
  <sheetData>
    <row r="1" spans="2:70" ht="15" thickBot="1" x14ac:dyDescent="0.4">
      <c r="B1" s="107" t="s">
        <v>73</v>
      </c>
      <c r="C1" s="108">
        <v>1</v>
      </c>
      <c r="I1" s="107" t="s">
        <v>73</v>
      </c>
      <c r="J1" s="108">
        <v>2</v>
      </c>
      <c r="P1" s="107" t="s">
        <v>73</v>
      </c>
      <c r="Q1" s="108">
        <v>3</v>
      </c>
      <c r="W1" s="107" t="s">
        <v>73</v>
      </c>
      <c r="X1" s="108">
        <v>4</v>
      </c>
      <c r="AD1" s="107" t="s">
        <v>73</v>
      </c>
      <c r="AE1" s="108">
        <v>5</v>
      </c>
      <c r="AK1" s="107" t="s">
        <v>73</v>
      </c>
      <c r="AL1" s="108">
        <v>6</v>
      </c>
      <c r="AR1" s="107" t="s">
        <v>73</v>
      </c>
      <c r="AS1" s="108">
        <v>7</v>
      </c>
      <c r="AY1" s="107" t="s">
        <v>73</v>
      </c>
      <c r="AZ1" s="125">
        <v>8</v>
      </c>
      <c r="BF1" s="107" t="s">
        <v>73</v>
      </c>
      <c r="BG1" s="125">
        <v>9</v>
      </c>
      <c r="BM1" s="107" t="s">
        <v>73</v>
      </c>
      <c r="BN1" s="125">
        <v>10</v>
      </c>
    </row>
    <row r="2" spans="2:70" x14ac:dyDescent="0.35">
      <c r="B2" t="s">
        <v>74</v>
      </c>
      <c r="C2" s="106">
        <f>+Assumptions!K9</f>
        <v>0.08</v>
      </c>
      <c r="I2" t="s">
        <v>74</v>
      </c>
      <c r="J2" s="106">
        <f>+Assumptions!L9</f>
        <v>0.1</v>
      </c>
      <c r="P2" t="s">
        <v>74</v>
      </c>
      <c r="Q2" s="106">
        <f>+Assumptions!M9</f>
        <v>0.12</v>
      </c>
      <c r="W2" t="s">
        <v>74</v>
      </c>
      <c r="X2" s="106">
        <f>+Assumptions!N9</f>
        <v>0.14000000000000001</v>
      </c>
      <c r="AD2" t="s">
        <v>74</v>
      </c>
      <c r="AE2" s="106">
        <f>+Assumptions!O9</f>
        <v>0</v>
      </c>
      <c r="AK2" t="s">
        <v>74</v>
      </c>
      <c r="AL2" s="106">
        <f>+Assumptions!P9</f>
        <v>0</v>
      </c>
      <c r="AR2" t="s">
        <v>74</v>
      </c>
      <c r="AS2" s="106">
        <f>+Assumptions!Q9</f>
        <v>0</v>
      </c>
      <c r="AY2" t="s">
        <v>74</v>
      </c>
      <c r="AZ2" s="106">
        <f>+Assumptions!R9</f>
        <v>0</v>
      </c>
      <c r="BF2" t="s">
        <v>74</v>
      </c>
      <c r="BG2" s="106">
        <f>+Assumptions!S9</f>
        <v>0</v>
      </c>
      <c r="BM2" t="s">
        <v>74</v>
      </c>
      <c r="BN2" s="106">
        <f>+Assumptions!T9</f>
        <v>0</v>
      </c>
    </row>
    <row r="3" spans="2:70" x14ac:dyDescent="0.35">
      <c r="B3" t="s">
        <v>206</v>
      </c>
      <c r="C3" s="98">
        <f>F17*12</f>
        <v>27751.679999999993</v>
      </c>
      <c r="I3" t="s">
        <v>206</v>
      </c>
      <c r="J3" s="98">
        <f>M17*12</f>
        <v>34689.600000000006</v>
      </c>
      <c r="P3" t="s">
        <v>206</v>
      </c>
      <c r="Q3" s="98">
        <f>T17*12</f>
        <v>41627.51999999999</v>
      </c>
      <c r="W3" t="s">
        <v>206</v>
      </c>
      <c r="X3" s="98">
        <f>AA17*12</f>
        <v>48565.439999999995</v>
      </c>
      <c r="AD3" t="s">
        <v>206</v>
      </c>
      <c r="AE3" s="98">
        <f>AH17*12</f>
        <v>0</v>
      </c>
      <c r="AK3" t="s">
        <v>206</v>
      </c>
      <c r="AL3" s="98">
        <f>AO17*12</f>
        <v>0</v>
      </c>
      <c r="AR3" t="s">
        <v>206</v>
      </c>
      <c r="AS3" s="98">
        <f>AV17*12</f>
        <v>0</v>
      </c>
      <c r="AY3" t="s">
        <v>206</v>
      </c>
      <c r="AZ3" s="98">
        <f>BC17*12</f>
        <v>0</v>
      </c>
      <c r="BF3" t="s">
        <v>206</v>
      </c>
      <c r="BG3" s="98">
        <f>BJ17*12</f>
        <v>0</v>
      </c>
      <c r="BM3" t="s">
        <v>206</v>
      </c>
      <c r="BN3" s="98">
        <f>BQ17*12</f>
        <v>0</v>
      </c>
    </row>
    <row r="4" spans="2:70" x14ac:dyDescent="0.35">
      <c r="B4" t="s">
        <v>207</v>
      </c>
      <c r="C4" s="99">
        <f>+F14</f>
        <v>13.859999999999998</v>
      </c>
      <c r="F4">
        <v>205.19</v>
      </c>
      <c r="G4">
        <f>+F4*5</f>
        <v>1025.95</v>
      </c>
      <c r="I4" t="s">
        <v>207</v>
      </c>
      <c r="J4" s="99">
        <f>+M14</f>
        <v>13.859999999999998</v>
      </c>
      <c r="P4" t="s">
        <v>207</v>
      </c>
      <c r="Q4" s="99">
        <f>+T14</f>
        <v>13.859999999999998</v>
      </c>
      <c r="W4" t="s">
        <v>207</v>
      </c>
      <c r="X4" s="99">
        <f>+AA14</f>
        <v>13.859999999999998</v>
      </c>
      <c r="AD4" t="s">
        <v>207</v>
      </c>
      <c r="AE4" s="99">
        <f>+AH14</f>
        <v>13.859999999999998</v>
      </c>
      <c r="AK4" t="s">
        <v>207</v>
      </c>
      <c r="AL4" s="99">
        <f>+AO14</f>
        <v>13.859999999999998</v>
      </c>
      <c r="AR4" t="s">
        <v>207</v>
      </c>
      <c r="AS4" s="99">
        <f>+AV14</f>
        <v>13.859999999999998</v>
      </c>
      <c r="AY4" t="s">
        <v>207</v>
      </c>
      <c r="AZ4" s="99">
        <f>+BC14</f>
        <v>13.859999999999998</v>
      </c>
      <c r="BF4" t="s">
        <v>207</v>
      </c>
      <c r="BG4" s="99">
        <f>+BJ14</f>
        <v>13.859999999999998</v>
      </c>
      <c r="BM4" t="s">
        <v>207</v>
      </c>
      <c r="BN4" s="99">
        <f>+BQ14</f>
        <v>13.859999999999998</v>
      </c>
    </row>
    <row r="5" spans="2:70" x14ac:dyDescent="0.35">
      <c r="C5" s="99"/>
      <c r="F5" s="344">
        <f>+F14-5</f>
        <v>8.8599999999999977</v>
      </c>
      <c r="J5" s="99"/>
      <c r="Q5" s="99"/>
      <c r="X5" s="99"/>
      <c r="AE5" s="99"/>
      <c r="AL5" s="99"/>
      <c r="AS5" s="99"/>
      <c r="AZ5" s="99"/>
      <c r="BG5" s="99"/>
      <c r="BN5" s="99"/>
    </row>
    <row r="6" spans="2:70" x14ac:dyDescent="0.35">
      <c r="B6" s="26" t="s">
        <v>208</v>
      </c>
      <c r="C6" s="92">
        <f>+E29</f>
        <v>13370.382399999999</v>
      </c>
      <c r="D6" s="143"/>
      <c r="F6">
        <v>29.06</v>
      </c>
      <c r="I6" s="26" t="s">
        <v>208</v>
      </c>
      <c r="J6" s="92">
        <f>+L29</f>
        <v>13370.382399999999</v>
      </c>
      <c r="K6" s="143"/>
      <c r="P6" s="26" t="s">
        <v>208</v>
      </c>
      <c r="Q6" s="92">
        <f>+S29</f>
        <v>13370.382399999999</v>
      </c>
      <c r="R6" s="143"/>
      <c r="W6" s="26" t="s">
        <v>208</v>
      </c>
      <c r="X6" s="92">
        <f>+Z29</f>
        <v>13370.382399999999</v>
      </c>
      <c r="Y6" s="143"/>
      <c r="AD6" s="26" t="s">
        <v>208</v>
      </c>
      <c r="AE6" s="92">
        <f>+AG29</f>
        <v>13370.382399999999</v>
      </c>
      <c r="AF6" s="143"/>
      <c r="AK6" s="26" t="s">
        <v>208</v>
      </c>
      <c r="AL6" s="92">
        <f>+AN29</f>
        <v>13370.382399999999</v>
      </c>
      <c r="AM6" s="143"/>
      <c r="AR6" s="26" t="s">
        <v>208</v>
      </c>
      <c r="AS6" s="92">
        <f>+AU29</f>
        <v>13370.382399999999</v>
      </c>
      <c r="AT6" s="143"/>
      <c r="AY6" s="26" t="s">
        <v>208</v>
      </c>
      <c r="AZ6" s="92">
        <f>+BB29</f>
        <v>13370.382399999999</v>
      </c>
      <c r="BA6" s="143"/>
      <c r="BF6" s="26" t="s">
        <v>208</v>
      </c>
      <c r="BG6" s="92">
        <f>+BI29</f>
        <v>13370.382399999999</v>
      </c>
      <c r="BH6" s="143"/>
      <c r="BM6" s="26" t="s">
        <v>208</v>
      </c>
      <c r="BN6" s="92">
        <f>+BP29</f>
        <v>13370.382399999999</v>
      </c>
      <c r="BO6" s="143"/>
    </row>
    <row r="7" spans="2:70" x14ac:dyDescent="0.35">
      <c r="B7" s="26" t="s">
        <v>209</v>
      </c>
      <c r="C7" s="92">
        <f>+E30</f>
        <v>582.78527999999983</v>
      </c>
      <c r="D7" s="143"/>
      <c r="F7">
        <f>+F6*F5</f>
        <v>257.47159999999991</v>
      </c>
      <c r="G7">
        <f>+F7+G4</f>
        <v>1283.4215999999999</v>
      </c>
      <c r="I7" s="26" t="s">
        <v>209</v>
      </c>
      <c r="J7" s="92">
        <f>+L30</f>
        <v>728.48160000000018</v>
      </c>
      <c r="K7" s="143"/>
      <c r="P7" s="26" t="s">
        <v>209</v>
      </c>
      <c r="Q7" s="92">
        <f>+S30</f>
        <v>874.17791999999986</v>
      </c>
      <c r="R7" s="143"/>
      <c r="W7" s="26" t="s">
        <v>209</v>
      </c>
      <c r="X7" s="92">
        <f>+Z30</f>
        <v>1019.87424</v>
      </c>
      <c r="Y7" s="143"/>
      <c r="AD7" s="26" t="s">
        <v>209</v>
      </c>
      <c r="AE7" s="92">
        <f>+AG30</f>
        <v>0</v>
      </c>
      <c r="AF7" s="143"/>
      <c r="AK7" s="26" t="s">
        <v>209</v>
      </c>
      <c r="AL7" s="92">
        <f>+AN30</f>
        <v>0</v>
      </c>
      <c r="AM7" s="143"/>
      <c r="AR7" s="26" t="s">
        <v>209</v>
      </c>
      <c r="AS7" s="92">
        <f>+AU30</f>
        <v>0</v>
      </c>
      <c r="AT7" s="143"/>
      <c r="AY7" s="26" t="s">
        <v>209</v>
      </c>
      <c r="AZ7" s="92">
        <f>+BB30</f>
        <v>0</v>
      </c>
      <c r="BA7" s="143"/>
      <c r="BF7" s="26" t="s">
        <v>209</v>
      </c>
      <c r="BG7" s="92">
        <f>+BI30</f>
        <v>0</v>
      </c>
      <c r="BH7" s="143"/>
      <c r="BM7" s="26" t="s">
        <v>209</v>
      </c>
      <c r="BN7" s="92">
        <f>+BP30</f>
        <v>0</v>
      </c>
      <c r="BO7" s="143"/>
    </row>
    <row r="8" spans="2:70" x14ac:dyDescent="0.35">
      <c r="B8" s="1" t="s">
        <v>210</v>
      </c>
      <c r="C8" s="124">
        <f>+E64</f>
        <v>2961.4504224095353</v>
      </c>
      <c r="D8" s="143"/>
      <c r="I8" s="1" t="s">
        <v>210</v>
      </c>
      <c r="J8" s="124">
        <f>+L64</f>
        <v>3269.33541447472</v>
      </c>
      <c r="K8" s="143"/>
      <c r="P8" s="1" t="s">
        <v>210</v>
      </c>
      <c r="Q8" s="124">
        <f>+S64</f>
        <v>3577.2204065399028</v>
      </c>
      <c r="R8" s="143"/>
      <c r="W8" s="1" t="s">
        <v>210</v>
      </c>
      <c r="X8" s="124">
        <f>+Z64</f>
        <v>3885.1053986050883</v>
      </c>
      <c r="Y8" s="143"/>
      <c r="AD8" s="1" t="s">
        <v>210</v>
      </c>
      <c r="AE8" s="124">
        <f>+AG64</f>
        <v>1729.9104541487991</v>
      </c>
      <c r="AF8" s="143"/>
      <c r="AK8" s="1" t="s">
        <v>210</v>
      </c>
      <c r="AL8" s="124">
        <f>+AN64</f>
        <v>1729.9104541487991</v>
      </c>
      <c r="AM8" s="143"/>
      <c r="AR8" s="1" t="s">
        <v>210</v>
      </c>
      <c r="AS8" s="124">
        <f>+AU64</f>
        <v>1729.9104541487991</v>
      </c>
      <c r="AT8" s="143"/>
      <c r="AY8" s="1" t="s">
        <v>210</v>
      </c>
      <c r="AZ8" s="124">
        <f>+BB64</f>
        <v>1729.9104541487991</v>
      </c>
      <c r="BA8" s="143"/>
      <c r="BF8" s="1" t="s">
        <v>210</v>
      </c>
      <c r="BG8" s="124">
        <f>+BI64</f>
        <v>1729.9104541487991</v>
      </c>
      <c r="BH8" s="143"/>
      <c r="BM8" s="1" t="s">
        <v>210</v>
      </c>
      <c r="BN8" s="124">
        <f>+BP64</f>
        <v>1729.9104541487991</v>
      </c>
      <c r="BO8" s="143"/>
    </row>
    <row r="9" spans="2:70" x14ac:dyDescent="0.35">
      <c r="B9" s="1" t="s">
        <v>211</v>
      </c>
      <c r="C9" s="204">
        <f>+E67+E46+E50+E31</f>
        <v>2835.0644312449708</v>
      </c>
      <c r="D9" s="143"/>
      <c r="F9">
        <f>+F7+F4</f>
        <v>462.66159999999991</v>
      </c>
      <c r="G9">
        <f>+G4+F7</f>
        <v>1283.4215999999999</v>
      </c>
      <c r="I9" s="1" t="s">
        <v>211</v>
      </c>
      <c r="J9" s="114">
        <f>+L67+L46+L50+L31</f>
        <v>3108.8432875983021</v>
      </c>
      <c r="K9" s="143"/>
      <c r="P9" s="1" t="s">
        <v>211</v>
      </c>
      <c r="Q9" s="114">
        <f>+S67+S46+S50+S31</f>
        <v>3382.6221439516326</v>
      </c>
      <c r="R9" s="143"/>
      <c r="W9" s="1" t="s">
        <v>211</v>
      </c>
      <c r="X9" s="114">
        <f>+Z67+Z46+Z50+Z31</f>
        <v>3656.4010003049634</v>
      </c>
      <c r="Y9" s="143"/>
      <c r="AD9" s="1" t="s">
        <v>211</v>
      </c>
      <c r="AE9" s="114">
        <f>+AG67+AG46+AG50+AG31</f>
        <v>1739.9490058316478</v>
      </c>
      <c r="AF9" s="143"/>
      <c r="AK9" s="1" t="s">
        <v>211</v>
      </c>
      <c r="AL9" s="114">
        <f>+AN67+AN46+AN50+AN31</f>
        <v>1739.9490058316478</v>
      </c>
      <c r="AM9" s="143"/>
      <c r="AR9" s="1" t="s">
        <v>211</v>
      </c>
      <c r="AS9" s="114">
        <f>+AU67+AU46+AU50+AU31</f>
        <v>1739.9490058316478</v>
      </c>
      <c r="AT9" s="143"/>
      <c r="AY9" s="1" t="s">
        <v>211</v>
      </c>
      <c r="AZ9" s="114">
        <f>+BB67+BB46+BB50+BB31</f>
        <v>1739.9490058316478</v>
      </c>
      <c r="BA9" s="143"/>
      <c r="BF9" s="1" t="s">
        <v>211</v>
      </c>
      <c r="BG9" s="114">
        <f>+BI67+BI46+BI50+BI31</f>
        <v>1739.9490058316478</v>
      </c>
      <c r="BH9" s="143"/>
      <c r="BM9" s="1" t="s">
        <v>211</v>
      </c>
      <c r="BN9" s="114">
        <f>+BP67+BP46+BP50+BP31</f>
        <v>1739.9490058316478</v>
      </c>
      <c r="BO9" s="143"/>
    </row>
    <row r="10" spans="2:70" x14ac:dyDescent="0.35">
      <c r="B10" s="1"/>
      <c r="C10" s="92">
        <f>+SUM(C6:C9)</f>
        <v>19749.682533654504</v>
      </c>
      <c r="D10" s="143"/>
      <c r="G10">
        <f>F4*5+(F14-5)*C22</f>
        <v>1283.4215999999999</v>
      </c>
      <c r="I10" s="1"/>
      <c r="J10" s="92">
        <f>+SUM(J6:J9)</f>
        <v>20477.04270207302</v>
      </c>
      <c r="K10" s="143"/>
      <c r="P10" s="1"/>
      <c r="Q10" s="92">
        <f>+SUM(Q6:Q9)</f>
        <v>21204.402870491536</v>
      </c>
      <c r="R10" s="143"/>
      <c r="W10" s="1"/>
      <c r="X10" s="92">
        <f>+SUM(X6:X9)</f>
        <v>21931.763038910049</v>
      </c>
      <c r="Y10" s="143"/>
      <c r="AD10" s="1"/>
      <c r="AE10" s="92">
        <f>+SUM(AE6:AE9)</f>
        <v>16840.241859980444</v>
      </c>
      <c r="AF10" s="143"/>
      <c r="AK10" s="1"/>
      <c r="AL10" s="92">
        <f>+SUM(AL6:AL9)</f>
        <v>16840.241859980444</v>
      </c>
      <c r="AM10" s="143"/>
      <c r="AR10" s="1"/>
      <c r="AS10" s="92">
        <f>+SUM(AS6:AS9)</f>
        <v>16840.241859980444</v>
      </c>
      <c r="AT10" s="143"/>
      <c r="AY10" s="1"/>
      <c r="AZ10" s="92">
        <f>+SUM(AZ6:AZ9)</f>
        <v>16840.241859980444</v>
      </c>
      <c r="BA10" s="143"/>
      <c r="BF10" s="1"/>
      <c r="BG10" s="92">
        <f>+SUM(BG6:BG9)</f>
        <v>16840.241859980444</v>
      </c>
      <c r="BH10" s="143"/>
      <c r="BM10" s="1"/>
      <c r="BN10" s="92">
        <f>+SUM(BN6:BN9)</f>
        <v>16840.241859980444</v>
      </c>
      <c r="BO10" s="143"/>
    </row>
    <row r="12" spans="2:70" x14ac:dyDescent="0.35">
      <c r="B12" s="191" t="s">
        <v>212</v>
      </c>
      <c r="C12" s="192"/>
      <c r="D12" s="193"/>
      <c r="E12" s="193"/>
      <c r="F12" s="194"/>
      <c r="G12" s="202"/>
      <c r="I12" s="191" t="s">
        <v>212</v>
      </c>
      <c r="J12" s="192"/>
      <c r="K12" s="193"/>
      <c r="L12" s="193"/>
      <c r="M12" s="194"/>
      <c r="N12" s="202"/>
      <c r="P12" s="191" t="s">
        <v>212</v>
      </c>
      <c r="Q12" s="192"/>
      <c r="R12" s="193"/>
      <c r="S12" s="193"/>
      <c r="T12" s="194"/>
      <c r="U12" s="202"/>
      <c r="W12" s="191" t="s">
        <v>212</v>
      </c>
      <c r="X12" s="192"/>
      <c r="Y12" s="193"/>
      <c r="Z12" s="193"/>
      <c r="AA12" s="194"/>
      <c r="AB12" s="202"/>
      <c r="AD12" s="191" t="s">
        <v>212</v>
      </c>
      <c r="AE12" s="192"/>
      <c r="AF12" s="193"/>
      <c r="AG12" s="193"/>
      <c r="AH12" s="194"/>
      <c r="AI12" s="202"/>
      <c r="AK12" s="191" t="s">
        <v>212</v>
      </c>
      <c r="AL12" s="192"/>
      <c r="AM12" s="193"/>
      <c r="AN12" s="193"/>
      <c r="AO12" s="194"/>
      <c r="AP12" s="202"/>
      <c r="AR12" s="191" t="s">
        <v>212</v>
      </c>
      <c r="AS12" s="192"/>
      <c r="AT12" s="193"/>
      <c r="AU12" s="193"/>
      <c r="AV12" s="194"/>
      <c r="AW12" s="202"/>
      <c r="AY12" s="191" t="s">
        <v>212</v>
      </c>
      <c r="AZ12" s="192"/>
      <c r="BA12" s="193"/>
      <c r="BB12" s="193"/>
      <c r="BC12" s="194"/>
      <c r="BD12" s="202"/>
      <c r="BF12" s="191" t="s">
        <v>212</v>
      </c>
      <c r="BG12" s="192"/>
      <c r="BH12" s="193"/>
      <c r="BI12" s="193"/>
      <c r="BJ12" s="194"/>
      <c r="BK12" s="202"/>
      <c r="BM12" s="191" t="s">
        <v>212</v>
      </c>
      <c r="BN12" s="192"/>
      <c r="BO12" s="193"/>
      <c r="BP12" s="193"/>
      <c r="BQ12" s="194"/>
      <c r="BR12" s="202"/>
    </row>
    <row r="13" spans="2:70" x14ac:dyDescent="0.35">
      <c r="B13" s="312" t="s">
        <v>213</v>
      </c>
      <c r="C13" s="312" t="s">
        <v>214</v>
      </c>
      <c r="D13" s="312" t="s">
        <v>76</v>
      </c>
      <c r="E13" s="312" t="s">
        <v>215</v>
      </c>
      <c r="F13" s="312" t="s">
        <v>207</v>
      </c>
      <c r="I13" s="312" t="s">
        <v>213</v>
      </c>
      <c r="J13" s="312" t="s">
        <v>214</v>
      </c>
      <c r="K13" s="312" t="s">
        <v>76</v>
      </c>
      <c r="L13" s="312" t="s">
        <v>215</v>
      </c>
      <c r="M13" s="312" t="s">
        <v>207</v>
      </c>
      <c r="P13" s="312" t="s">
        <v>213</v>
      </c>
      <c r="Q13" s="312" t="s">
        <v>214</v>
      </c>
      <c r="R13" s="312" t="s">
        <v>76</v>
      </c>
      <c r="S13" s="312" t="s">
        <v>215</v>
      </c>
      <c r="T13" s="312" t="s">
        <v>207</v>
      </c>
      <c r="W13" s="312" t="s">
        <v>213</v>
      </c>
      <c r="X13" s="312" t="s">
        <v>214</v>
      </c>
      <c r="Y13" s="312" t="s">
        <v>76</v>
      </c>
      <c r="Z13" s="312" t="s">
        <v>215</v>
      </c>
      <c r="AA13" s="312" t="s">
        <v>207</v>
      </c>
      <c r="AD13" s="312" t="s">
        <v>213</v>
      </c>
      <c r="AE13" s="312" t="s">
        <v>214</v>
      </c>
      <c r="AF13" s="312" t="s">
        <v>76</v>
      </c>
      <c r="AG13" s="312" t="s">
        <v>215</v>
      </c>
      <c r="AH13" s="312" t="s">
        <v>207</v>
      </c>
      <c r="AK13" s="312" t="s">
        <v>213</v>
      </c>
      <c r="AL13" s="312" t="s">
        <v>214</v>
      </c>
      <c r="AM13" s="312" t="s">
        <v>76</v>
      </c>
      <c r="AN13" s="312" t="s">
        <v>215</v>
      </c>
      <c r="AO13" s="312" t="s">
        <v>207</v>
      </c>
      <c r="AR13" s="312" t="s">
        <v>213</v>
      </c>
      <c r="AS13" s="312" t="s">
        <v>214</v>
      </c>
      <c r="AT13" s="312" t="s">
        <v>76</v>
      </c>
      <c r="AU13" s="312" t="s">
        <v>215</v>
      </c>
      <c r="AV13" s="312" t="s">
        <v>207</v>
      </c>
      <c r="AY13" s="312" t="s">
        <v>213</v>
      </c>
      <c r="AZ13" s="312" t="s">
        <v>214</v>
      </c>
      <c r="BA13" s="312" t="s">
        <v>76</v>
      </c>
      <c r="BB13" s="312" t="s">
        <v>215</v>
      </c>
      <c r="BC13" s="312" t="s">
        <v>207</v>
      </c>
      <c r="BF13" s="312" t="s">
        <v>213</v>
      </c>
      <c r="BG13" s="312" t="s">
        <v>214</v>
      </c>
      <c r="BH13" s="312" t="s">
        <v>76</v>
      </c>
      <c r="BI13" s="312" t="s">
        <v>215</v>
      </c>
      <c r="BJ13" s="312" t="s">
        <v>207</v>
      </c>
      <c r="BM13" s="312" t="s">
        <v>213</v>
      </c>
      <c r="BN13" s="312" t="s">
        <v>214</v>
      </c>
      <c r="BO13" s="312" t="s">
        <v>76</v>
      </c>
      <c r="BP13" s="312" t="s">
        <v>215</v>
      </c>
      <c r="BQ13" s="312" t="s">
        <v>207</v>
      </c>
    </row>
    <row r="14" spans="2:70" x14ac:dyDescent="0.35">
      <c r="B14" s="195">
        <f>+'Utility Bills summary'!$B$14</f>
        <v>6</v>
      </c>
      <c r="C14" s="196">
        <v>6.6</v>
      </c>
      <c r="D14" s="200">
        <f>+HLOOKUP(C1,Assumptions!$K$8:$T$10,3,TRUE)</f>
        <v>0.35</v>
      </c>
      <c r="E14" s="197">
        <f>+C14*D14</f>
        <v>2.3099999999999996</v>
      </c>
      <c r="F14" s="197">
        <f>+B14*E14</f>
        <v>13.859999999999998</v>
      </c>
      <c r="I14" s="195">
        <f>+B14</f>
        <v>6</v>
      </c>
      <c r="J14" s="196">
        <f>+Assumptions!$C$10</f>
        <v>6.6</v>
      </c>
      <c r="K14" s="200">
        <f>+HLOOKUP(J1,Assumptions!$K$8:$T$10,3,TRUE)</f>
        <v>0.35</v>
      </c>
      <c r="L14" s="197">
        <f>+J14*K14</f>
        <v>2.3099999999999996</v>
      </c>
      <c r="M14" s="197">
        <f>+I14*L14</f>
        <v>13.859999999999998</v>
      </c>
      <c r="P14" s="195">
        <f>+I14</f>
        <v>6</v>
      </c>
      <c r="Q14" s="196">
        <f>+Assumptions!$C$10</f>
        <v>6.6</v>
      </c>
      <c r="R14" s="200">
        <f>+HLOOKUP(Q1,Assumptions!$K$8:$T$10,3,TRUE)</f>
        <v>0.35</v>
      </c>
      <c r="S14" s="197">
        <f>+Q14*R14</f>
        <v>2.3099999999999996</v>
      </c>
      <c r="T14" s="197">
        <f>+P14*S14</f>
        <v>13.859999999999998</v>
      </c>
      <c r="W14" s="195">
        <f>+P14</f>
        <v>6</v>
      </c>
      <c r="X14" s="196">
        <f>+Assumptions!$C$10</f>
        <v>6.6</v>
      </c>
      <c r="Y14" s="200">
        <f>+HLOOKUP(X1,Assumptions!$K$8:$T$10,3,TRUE)</f>
        <v>0.35</v>
      </c>
      <c r="Z14" s="197">
        <f>+X14*Y14</f>
        <v>2.3099999999999996</v>
      </c>
      <c r="AA14" s="197">
        <f>+W14*Z14</f>
        <v>13.859999999999998</v>
      </c>
      <c r="AD14" s="195">
        <f>+W14</f>
        <v>6</v>
      </c>
      <c r="AE14" s="196">
        <f>+Assumptions!$C$10</f>
        <v>6.6</v>
      </c>
      <c r="AF14" s="200">
        <f>+HLOOKUP(AE1,Assumptions!$K$8:$T$10,3,TRUE)</f>
        <v>0.35</v>
      </c>
      <c r="AG14" s="197">
        <f>+AE14*AF14</f>
        <v>2.3099999999999996</v>
      </c>
      <c r="AH14" s="197">
        <f>+AD14*AG14</f>
        <v>13.859999999999998</v>
      </c>
      <c r="AK14" s="195">
        <f>+AD14</f>
        <v>6</v>
      </c>
      <c r="AL14" s="196">
        <f>+Assumptions!$C$10</f>
        <v>6.6</v>
      </c>
      <c r="AM14" s="200">
        <f>+HLOOKUP(AL1,Assumptions!$K$8:$T$10,3,TRUE)</f>
        <v>0.35</v>
      </c>
      <c r="AN14" s="197">
        <f>+AL14*AM14</f>
        <v>2.3099999999999996</v>
      </c>
      <c r="AO14" s="197">
        <f>+AK14*AN14</f>
        <v>13.859999999999998</v>
      </c>
      <c r="AR14" s="195">
        <f>+AK14</f>
        <v>6</v>
      </c>
      <c r="AS14" s="196">
        <f>+Assumptions!$C$10</f>
        <v>6.6</v>
      </c>
      <c r="AT14" s="200">
        <f>+HLOOKUP(AS1,Assumptions!$K$8:$T$10,3,TRUE)</f>
        <v>0.35</v>
      </c>
      <c r="AU14" s="197">
        <f>+AS14*AT14</f>
        <v>2.3099999999999996</v>
      </c>
      <c r="AV14" s="197">
        <f>+AR14*AU14</f>
        <v>13.859999999999998</v>
      </c>
      <c r="AY14" s="195">
        <f>+AR14</f>
        <v>6</v>
      </c>
      <c r="AZ14" s="196">
        <f>+Assumptions!$C$10</f>
        <v>6.6</v>
      </c>
      <c r="BA14" s="200">
        <f>+HLOOKUP(AZ1,Assumptions!$K$8:$T$10,3,TRUE)</f>
        <v>0.35</v>
      </c>
      <c r="BB14" s="197">
        <f>+AZ14*BA14</f>
        <v>2.3099999999999996</v>
      </c>
      <c r="BC14" s="197">
        <f>+AY14*BB14</f>
        <v>13.859999999999998</v>
      </c>
      <c r="BF14" s="195">
        <f>+AY14</f>
        <v>6</v>
      </c>
      <c r="BG14" s="196">
        <f>+Assumptions!$C$10</f>
        <v>6.6</v>
      </c>
      <c r="BH14" s="200">
        <f>+HLOOKUP(BG1,Assumptions!$K$8:$T$10,3,TRUE)</f>
        <v>0.35</v>
      </c>
      <c r="BI14" s="197">
        <f>+BG14*BH14</f>
        <v>2.3099999999999996</v>
      </c>
      <c r="BJ14" s="197">
        <f>+BF14*BI14</f>
        <v>13.859999999999998</v>
      </c>
      <c r="BM14" s="195">
        <f>+BF14</f>
        <v>6</v>
      </c>
      <c r="BN14" s="196">
        <f>+Assumptions!$C$10</f>
        <v>6.6</v>
      </c>
      <c r="BO14" s="200">
        <f>+HLOOKUP(BN1,Assumptions!$K$8:$T$10,3,TRUE)</f>
        <v>0.35</v>
      </c>
      <c r="BP14" s="197">
        <f>+BN14*BO14</f>
        <v>2.3099999999999996</v>
      </c>
      <c r="BQ14" s="197">
        <f>+BM14*BP14</f>
        <v>13.859999999999998</v>
      </c>
    </row>
    <row r="15" spans="2:70" x14ac:dyDescent="0.35">
      <c r="B15" s="23"/>
      <c r="E15" s="79"/>
      <c r="F15" s="79"/>
      <c r="G15" s="79"/>
      <c r="I15" s="23"/>
      <c r="L15" s="79"/>
      <c r="M15" s="79"/>
      <c r="N15" s="79"/>
      <c r="P15" s="23"/>
      <c r="S15" s="79"/>
      <c r="T15" s="79"/>
      <c r="U15" s="79"/>
      <c r="W15" s="23"/>
      <c r="Z15" s="79"/>
      <c r="AA15" s="79"/>
      <c r="AB15" s="79"/>
      <c r="AD15" s="23"/>
      <c r="AG15" s="79"/>
      <c r="AH15" s="79"/>
      <c r="AI15" s="79"/>
      <c r="AK15" s="23"/>
      <c r="AN15" s="79"/>
      <c r="AO15" s="79"/>
      <c r="AP15" s="79"/>
      <c r="AR15" s="23"/>
      <c r="AU15" s="79"/>
      <c r="AV15" s="79"/>
      <c r="AW15" s="79"/>
      <c r="AY15" s="23"/>
      <c r="BB15" s="79"/>
      <c r="BC15" s="79"/>
      <c r="BD15" s="79"/>
      <c r="BF15" s="23"/>
      <c r="BI15" s="79"/>
      <c r="BJ15" s="79"/>
      <c r="BK15" s="79"/>
      <c r="BM15" s="23"/>
      <c r="BP15" s="79"/>
      <c r="BQ15" s="79"/>
      <c r="BR15" s="79"/>
    </row>
    <row r="16" spans="2:70" x14ac:dyDescent="0.35">
      <c r="B16" s="80" t="s">
        <v>216</v>
      </c>
      <c r="C16" s="312" t="s">
        <v>214</v>
      </c>
      <c r="D16" s="81" t="s">
        <v>217</v>
      </c>
      <c r="E16" s="82" t="s">
        <v>218</v>
      </c>
      <c r="F16" s="82" t="s">
        <v>219</v>
      </c>
      <c r="I16" s="80" t="s">
        <v>216</v>
      </c>
      <c r="J16" s="312" t="s">
        <v>214</v>
      </c>
      <c r="K16" s="81" t="s">
        <v>217</v>
      </c>
      <c r="L16" s="82" t="s">
        <v>218</v>
      </c>
      <c r="M16" s="82" t="s">
        <v>219</v>
      </c>
      <c r="P16" s="80" t="s">
        <v>216</v>
      </c>
      <c r="Q16" s="312" t="s">
        <v>214</v>
      </c>
      <c r="R16" s="81" t="s">
        <v>217</v>
      </c>
      <c r="S16" s="82" t="s">
        <v>218</v>
      </c>
      <c r="T16" s="82" t="s">
        <v>219</v>
      </c>
      <c r="W16" s="80" t="s">
        <v>216</v>
      </c>
      <c r="X16" s="312" t="s">
        <v>214</v>
      </c>
      <c r="Y16" s="81" t="s">
        <v>217</v>
      </c>
      <c r="Z16" s="82" t="s">
        <v>218</v>
      </c>
      <c r="AA16" s="82" t="s">
        <v>219</v>
      </c>
      <c r="AD16" s="80" t="s">
        <v>216</v>
      </c>
      <c r="AE16" s="312" t="s">
        <v>214</v>
      </c>
      <c r="AF16" s="81" t="s">
        <v>217</v>
      </c>
      <c r="AG16" s="82" t="s">
        <v>218</v>
      </c>
      <c r="AH16" s="82" t="s">
        <v>219</v>
      </c>
      <c r="AK16" s="80" t="s">
        <v>216</v>
      </c>
      <c r="AL16" s="312" t="s">
        <v>214</v>
      </c>
      <c r="AM16" s="81" t="s">
        <v>217</v>
      </c>
      <c r="AN16" s="82" t="s">
        <v>218</v>
      </c>
      <c r="AO16" s="82" t="s">
        <v>219</v>
      </c>
      <c r="AR16" s="80" t="s">
        <v>216</v>
      </c>
      <c r="AS16" s="312" t="s">
        <v>214</v>
      </c>
      <c r="AT16" s="81" t="s">
        <v>217</v>
      </c>
      <c r="AU16" s="82" t="s">
        <v>218</v>
      </c>
      <c r="AV16" s="82" t="s">
        <v>219</v>
      </c>
      <c r="AY16" s="80" t="s">
        <v>216</v>
      </c>
      <c r="AZ16" s="312" t="s">
        <v>214</v>
      </c>
      <c r="BA16" s="81" t="s">
        <v>217</v>
      </c>
      <c r="BB16" s="82" t="s">
        <v>218</v>
      </c>
      <c r="BC16" s="82" t="s">
        <v>219</v>
      </c>
      <c r="BF16" s="80" t="s">
        <v>216</v>
      </c>
      <c r="BG16" s="312" t="s">
        <v>214</v>
      </c>
      <c r="BH16" s="81" t="s">
        <v>217</v>
      </c>
      <c r="BI16" s="82" t="s">
        <v>218</v>
      </c>
      <c r="BJ16" s="82" t="s">
        <v>219</v>
      </c>
      <c r="BM16" s="80" t="s">
        <v>216</v>
      </c>
      <c r="BN16" s="312" t="s">
        <v>214</v>
      </c>
      <c r="BO16" s="81" t="s">
        <v>217</v>
      </c>
      <c r="BP16" s="82" t="s">
        <v>218</v>
      </c>
      <c r="BQ16" s="82" t="s">
        <v>219</v>
      </c>
    </row>
    <row r="17" spans="2:70" x14ac:dyDescent="0.35">
      <c r="B17" s="198">
        <f>+C2</f>
        <v>0.08</v>
      </c>
      <c r="C17" s="197">
        <f>+C14</f>
        <v>6.6</v>
      </c>
      <c r="D17" s="199">
        <f>+B17*24</f>
        <v>1.92</v>
      </c>
      <c r="E17" s="149">
        <f>+Assumptions!$C$11</f>
        <v>365</v>
      </c>
      <c r="F17" s="149">
        <f>(B14*C17*D17*E17)/12</f>
        <v>2312.6399999999994</v>
      </c>
      <c r="I17" s="198">
        <f>+J2</f>
        <v>0.1</v>
      </c>
      <c r="J17" s="197">
        <f>+J14</f>
        <v>6.6</v>
      </c>
      <c r="K17" s="199">
        <f>+I17*24</f>
        <v>2.4000000000000004</v>
      </c>
      <c r="L17" s="149">
        <f>+Assumptions!$C$11</f>
        <v>365</v>
      </c>
      <c r="M17" s="149">
        <f>(I14*J17*K17*L17)/12</f>
        <v>2890.8000000000006</v>
      </c>
      <c r="P17" s="198">
        <f>+Q2</f>
        <v>0.12</v>
      </c>
      <c r="Q17" s="197">
        <f>+Q14</f>
        <v>6.6</v>
      </c>
      <c r="R17" s="199">
        <f>+P17*24</f>
        <v>2.88</v>
      </c>
      <c r="S17" s="149">
        <f>+Assumptions!$C$11</f>
        <v>365</v>
      </c>
      <c r="T17" s="149">
        <f>(P14*Q17*R17*S17)/12</f>
        <v>3468.9599999999991</v>
      </c>
      <c r="W17" s="198">
        <f>+X2</f>
        <v>0.14000000000000001</v>
      </c>
      <c r="X17" s="197">
        <f>+X14</f>
        <v>6.6</v>
      </c>
      <c r="Y17" s="199">
        <f>+W17*24</f>
        <v>3.3600000000000003</v>
      </c>
      <c r="Z17" s="149">
        <f>+Assumptions!$C$11</f>
        <v>365</v>
      </c>
      <c r="AA17" s="149">
        <f>(W14*X17*Y17*Z17)/12</f>
        <v>4047.1199999999994</v>
      </c>
      <c r="AD17" s="198">
        <f>+AE2</f>
        <v>0</v>
      </c>
      <c r="AE17" s="197">
        <f>+AE14</f>
        <v>6.6</v>
      </c>
      <c r="AF17" s="199">
        <f>+AD17*24</f>
        <v>0</v>
      </c>
      <c r="AG17" s="149">
        <f>+Assumptions!$C$11</f>
        <v>365</v>
      </c>
      <c r="AH17" s="149">
        <f>(AD14*AE17*AF17*AG17)/12</f>
        <v>0</v>
      </c>
      <c r="AK17" s="198">
        <f>+AL2</f>
        <v>0</v>
      </c>
      <c r="AL17" s="197">
        <f>+AL14</f>
        <v>6.6</v>
      </c>
      <c r="AM17" s="199">
        <f>+AK17*24</f>
        <v>0</v>
      </c>
      <c r="AN17" s="149">
        <f>+Assumptions!$C$11</f>
        <v>365</v>
      </c>
      <c r="AO17" s="149">
        <f>(AK14*AL17*AM17*AN17)/12</f>
        <v>0</v>
      </c>
      <c r="AR17" s="198">
        <f>+AS2</f>
        <v>0</v>
      </c>
      <c r="AS17" s="197">
        <f>+AS14</f>
        <v>6.6</v>
      </c>
      <c r="AT17" s="199">
        <f>+AR17*24</f>
        <v>0</v>
      </c>
      <c r="AU17" s="149">
        <f>+Assumptions!$C$11</f>
        <v>365</v>
      </c>
      <c r="AV17" s="149">
        <f>(AR14*AS17*AT17*AU17)/12</f>
        <v>0</v>
      </c>
      <c r="AY17" s="198">
        <f>+AZ2</f>
        <v>0</v>
      </c>
      <c r="AZ17" s="197">
        <f>+AZ14</f>
        <v>6.6</v>
      </c>
      <c r="BA17" s="199">
        <f>+AY17*24</f>
        <v>0</v>
      </c>
      <c r="BB17" s="149">
        <f>+Assumptions!$C$11</f>
        <v>365</v>
      </c>
      <c r="BC17" s="149">
        <f>(AY14*AZ17*BA17*BB17)/12</f>
        <v>0</v>
      </c>
      <c r="BF17" s="198">
        <f>+BG2</f>
        <v>0</v>
      </c>
      <c r="BG17" s="197">
        <f>+BG14</f>
        <v>6.6</v>
      </c>
      <c r="BH17" s="199">
        <f>+BF17*24</f>
        <v>0</v>
      </c>
      <c r="BI17" s="149">
        <f>+Assumptions!$C$11</f>
        <v>365</v>
      </c>
      <c r="BJ17" s="149">
        <f>(BF14*BG17*BH17*BI17)/12</f>
        <v>0</v>
      </c>
      <c r="BM17" s="198">
        <f>+BN2</f>
        <v>0</v>
      </c>
      <c r="BN17" s="197">
        <f>+BN14</f>
        <v>6.6</v>
      </c>
      <c r="BO17" s="199">
        <f>+BM17*24</f>
        <v>0</v>
      </c>
      <c r="BP17" s="149">
        <f>+Assumptions!$C$11</f>
        <v>365</v>
      </c>
      <c r="BQ17" s="149">
        <f>(BM14*BN17*BO17*BP17)/12</f>
        <v>0</v>
      </c>
    </row>
    <row r="18" spans="2:70" x14ac:dyDescent="0.35">
      <c r="C18" s="63"/>
      <c r="D18" s="10"/>
      <c r="E18" s="10"/>
      <c r="J18" s="63"/>
      <c r="K18" s="10"/>
      <c r="L18" s="10"/>
      <c r="Q18" s="63"/>
      <c r="R18" s="10"/>
      <c r="S18" s="10"/>
      <c r="X18" s="63"/>
      <c r="Y18" s="10"/>
      <c r="Z18" s="10"/>
      <c r="AE18" s="63"/>
      <c r="AF18" s="10"/>
      <c r="AG18" s="10"/>
      <c r="AL18" s="63"/>
      <c r="AM18" s="10"/>
      <c r="AN18" s="10"/>
      <c r="AS18" s="63"/>
      <c r="AT18" s="10"/>
      <c r="AU18" s="10"/>
      <c r="AZ18" s="63"/>
      <c r="BA18" s="10"/>
      <c r="BB18" s="10"/>
      <c r="BG18" s="63"/>
      <c r="BH18" s="10"/>
      <c r="BI18" s="10"/>
      <c r="BN18" s="63"/>
      <c r="BO18" s="10"/>
      <c r="BP18" s="10"/>
    </row>
    <row r="19" spans="2:70" x14ac:dyDescent="0.35">
      <c r="B19" s="75" t="s">
        <v>220</v>
      </c>
      <c r="C19" s="76"/>
      <c r="D19" s="76"/>
      <c r="E19" s="76"/>
      <c r="F19" s="76"/>
      <c r="G19" s="76"/>
      <c r="I19" s="75" t="s">
        <v>220</v>
      </c>
      <c r="J19" s="76"/>
      <c r="K19" s="76"/>
      <c r="L19" s="76"/>
      <c r="M19" s="76"/>
      <c r="N19" s="76"/>
      <c r="P19" s="75" t="s">
        <v>220</v>
      </c>
      <c r="Q19" s="76"/>
      <c r="R19" s="76"/>
      <c r="S19" s="76"/>
      <c r="T19" s="76"/>
      <c r="U19" s="76"/>
      <c r="W19" s="75" t="s">
        <v>220</v>
      </c>
      <c r="X19" s="76"/>
      <c r="Y19" s="76"/>
      <c r="Z19" s="76"/>
      <c r="AA19" s="76"/>
      <c r="AB19" s="76"/>
      <c r="AD19" s="75" t="s">
        <v>220</v>
      </c>
      <c r="AE19" s="76"/>
      <c r="AF19" s="76"/>
      <c r="AG19" s="76"/>
      <c r="AH19" s="76"/>
      <c r="AI19" s="76"/>
      <c r="AK19" s="75" t="s">
        <v>220</v>
      </c>
      <c r="AL19" s="76"/>
      <c r="AM19" s="76"/>
      <c r="AN19" s="76"/>
      <c r="AO19" s="76"/>
      <c r="AP19" s="76"/>
      <c r="AR19" s="75" t="s">
        <v>220</v>
      </c>
      <c r="AS19" s="76"/>
      <c r="AT19" s="76"/>
      <c r="AU19" s="76"/>
      <c r="AV19" s="76"/>
      <c r="AW19" s="76"/>
      <c r="AY19" s="75" t="s">
        <v>220</v>
      </c>
      <c r="AZ19" s="76"/>
      <c r="BA19" s="76"/>
      <c r="BB19" s="76"/>
      <c r="BC19" s="76"/>
      <c r="BD19" s="76"/>
      <c r="BF19" s="75" t="s">
        <v>220</v>
      </c>
      <c r="BG19" s="76"/>
      <c r="BH19" s="76"/>
      <c r="BI19" s="76"/>
      <c r="BJ19" s="76"/>
      <c r="BK19" s="76"/>
      <c r="BM19" s="75" t="s">
        <v>220</v>
      </c>
      <c r="BN19" s="76"/>
      <c r="BO19" s="76"/>
      <c r="BP19" s="76"/>
      <c r="BQ19" s="76"/>
      <c r="BR19" s="76"/>
    </row>
    <row r="20" spans="2:70" s="77" customFormat="1" x14ac:dyDescent="0.35">
      <c r="B20" s="2" t="s">
        <v>221</v>
      </c>
      <c r="C20" s="312" t="s">
        <v>163</v>
      </c>
      <c r="D20" s="123" t="s">
        <v>164</v>
      </c>
      <c r="F20" s="2" t="s">
        <v>222</v>
      </c>
      <c r="G20"/>
      <c r="I20" s="2" t="s">
        <v>221</v>
      </c>
      <c r="J20" s="312" t="s">
        <v>163</v>
      </c>
      <c r="K20" s="123" t="s">
        <v>164</v>
      </c>
      <c r="M20" s="2" t="s">
        <v>222</v>
      </c>
      <c r="N20"/>
      <c r="O20"/>
      <c r="P20" s="2" t="s">
        <v>221</v>
      </c>
      <c r="Q20" s="312" t="s">
        <v>163</v>
      </c>
      <c r="R20" s="123" t="s">
        <v>164</v>
      </c>
      <c r="T20" s="2" t="s">
        <v>222</v>
      </c>
      <c r="U20"/>
      <c r="V20"/>
      <c r="W20" s="2" t="s">
        <v>221</v>
      </c>
      <c r="X20" s="312" t="s">
        <v>163</v>
      </c>
      <c r="Y20" s="123" t="s">
        <v>164</v>
      </c>
      <c r="AA20" s="2" t="s">
        <v>222</v>
      </c>
      <c r="AB20"/>
      <c r="AC20"/>
      <c r="AD20" s="2" t="s">
        <v>221</v>
      </c>
      <c r="AE20" s="312" t="s">
        <v>163</v>
      </c>
      <c r="AF20" s="123" t="s">
        <v>164</v>
      </c>
      <c r="AH20" s="2" t="s">
        <v>222</v>
      </c>
      <c r="AI20"/>
      <c r="AJ20"/>
      <c r="AK20" s="2" t="s">
        <v>221</v>
      </c>
      <c r="AL20" s="312" t="s">
        <v>163</v>
      </c>
      <c r="AM20" s="123" t="s">
        <v>164</v>
      </c>
      <c r="AO20" s="2" t="s">
        <v>222</v>
      </c>
      <c r="AP20"/>
      <c r="AQ20"/>
      <c r="AR20" s="2" t="s">
        <v>221</v>
      </c>
      <c r="AS20" s="312" t="s">
        <v>163</v>
      </c>
      <c r="AT20" s="123" t="s">
        <v>164</v>
      </c>
      <c r="AV20" s="2" t="s">
        <v>222</v>
      </c>
      <c r="AW20"/>
      <c r="AX20"/>
      <c r="AY20" s="2" t="s">
        <v>221</v>
      </c>
      <c r="AZ20" s="312" t="s">
        <v>163</v>
      </c>
      <c r="BA20" s="123" t="s">
        <v>164</v>
      </c>
      <c r="BC20" s="2" t="s">
        <v>222</v>
      </c>
      <c r="BD20"/>
      <c r="BE20"/>
      <c r="BF20" s="2" t="s">
        <v>221</v>
      </c>
      <c r="BG20" s="312" t="s">
        <v>163</v>
      </c>
      <c r="BH20" s="123" t="s">
        <v>164</v>
      </c>
      <c r="BJ20" s="2" t="s">
        <v>222</v>
      </c>
      <c r="BK20"/>
      <c r="BL20"/>
      <c r="BM20" s="2" t="s">
        <v>221</v>
      </c>
      <c r="BN20" s="312" t="s">
        <v>163</v>
      </c>
      <c r="BO20" s="123" t="s">
        <v>164</v>
      </c>
      <c r="BQ20" s="2" t="s">
        <v>222</v>
      </c>
      <c r="BR20"/>
    </row>
    <row r="21" spans="2:70" x14ac:dyDescent="0.35">
      <c r="B21" s="11" t="s">
        <v>165</v>
      </c>
      <c r="C21">
        <f>+Assumptions!$C$93</f>
        <v>205.19</v>
      </c>
      <c r="D21">
        <f>+Assumptions!$D$93</f>
        <v>165.25</v>
      </c>
      <c r="F21" t="s">
        <v>157</v>
      </c>
      <c r="G21" s="91">
        <f>+Assumptions!$C$89</f>
        <v>1.28</v>
      </c>
      <c r="I21" s="11" t="s">
        <v>165</v>
      </c>
      <c r="J21">
        <f>+Assumptions!$C$93</f>
        <v>205.19</v>
      </c>
      <c r="K21">
        <f>+Assumptions!$D$93</f>
        <v>165.25</v>
      </c>
      <c r="M21" t="s">
        <v>157</v>
      </c>
      <c r="N21" s="91">
        <f>+Assumptions!$C$89</f>
        <v>1.28</v>
      </c>
      <c r="P21" s="11" t="s">
        <v>165</v>
      </c>
      <c r="Q21">
        <f>+Assumptions!$C$93</f>
        <v>205.19</v>
      </c>
      <c r="R21">
        <f>+Assumptions!$D$93</f>
        <v>165.25</v>
      </c>
      <c r="T21" t="s">
        <v>157</v>
      </c>
      <c r="U21" s="91">
        <f>+Assumptions!$C$89</f>
        <v>1.28</v>
      </c>
      <c r="W21" s="11" t="s">
        <v>165</v>
      </c>
      <c r="X21">
        <f>+Assumptions!$C$93</f>
        <v>205.19</v>
      </c>
      <c r="Y21">
        <f>+Assumptions!$D$93</f>
        <v>165.25</v>
      </c>
      <c r="AA21" t="s">
        <v>157</v>
      </c>
      <c r="AB21" s="91">
        <f>+Assumptions!$C$89</f>
        <v>1.28</v>
      </c>
      <c r="AD21" s="11" t="s">
        <v>165</v>
      </c>
      <c r="AE21">
        <f>+Assumptions!$C$93</f>
        <v>205.19</v>
      </c>
      <c r="AF21">
        <f>+Assumptions!$D$93</f>
        <v>165.25</v>
      </c>
      <c r="AH21" t="s">
        <v>157</v>
      </c>
      <c r="AI21" s="91">
        <f>+Assumptions!$C$89</f>
        <v>1.28</v>
      </c>
      <c r="AK21" s="11" t="s">
        <v>165</v>
      </c>
      <c r="AL21">
        <f>+Assumptions!$C$93</f>
        <v>205.19</v>
      </c>
      <c r="AM21">
        <f>+Assumptions!$D$93</f>
        <v>165.25</v>
      </c>
      <c r="AO21" t="s">
        <v>157</v>
      </c>
      <c r="AP21" s="91">
        <f>+Assumptions!$C$89</f>
        <v>1.28</v>
      </c>
      <c r="AR21" s="11" t="s">
        <v>165</v>
      </c>
      <c r="AS21">
        <f>+Assumptions!$C$93</f>
        <v>205.19</v>
      </c>
      <c r="AT21">
        <f>+Assumptions!$D$93</f>
        <v>165.25</v>
      </c>
      <c r="AV21" t="s">
        <v>157</v>
      </c>
      <c r="AW21" s="91">
        <f>+Assumptions!$C$89</f>
        <v>1.28</v>
      </c>
      <c r="AY21" s="11" t="s">
        <v>165</v>
      </c>
      <c r="AZ21">
        <f>+Assumptions!$C$93</f>
        <v>205.19</v>
      </c>
      <c r="BA21">
        <f>+Assumptions!$D$93</f>
        <v>165.25</v>
      </c>
      <c r="BC21" t="s">
        <v>157</v>
      </c>
      <c r="BD21" s="91">
        <f>+Assumptions!$C$89</f>
        <v>1.28</v>
      </c>
      <c r="BF21" s="11" t="s">
        <v>165</v>
      </c>
      <c r="BG21">
        <f>+Assumptions!$C$93</f>
        <v>205.19</v>
      </c>
      <c r="BH21">
        <f>+Assumptions!$D$93</f>
        <v>165.25</v>
      </c>
      <c r="BJ21" t="s">
        <v>157</v>
      </c>
      <c r="BK21" s="91">
        <f>+Assumptions!$C$89</f>
        <v>1.28</v>
      </c>
      <c r="BM21" s="11" t="s">
        <v>165</v>
      </c>
      <c r="BN21">
        <f>+Assumptions!$C$93</f>
        <v>205.19</v>
      </c>
      <c r="BO21">
        <f>+Assumptions!$D$93</f>
        <v>165.25</v>
      </c>
      <c r="BQ21" t="s">
        <v>157</v>
      </c>
      <c r="BR21" s="91">
        <f>+Assumptions!$C$89</f>
        <v>1.28</v>
      </c>
    </row>
    <row r="22" spans="2:70" x14ac:dyDescent="0.35">
      <c r="B22" t="s">
        <v>166</v>
      </c>
      <c r="C22">
        <f>+Assumptions!$C$94</f>
        <v>29.06</v>
      </c>
      <c r="D22">
        <f>+Assumptions!$D$94</f>
        <v>22.95</v>
      </c>
      <c r="E22" s="11"/>
      <c r="F22" t="s">
        <v>160</v>
      </c>
      <c r="G22" s="91">
        <f>+Assumptions!$C$90</f>
        <v>0</v>
      </c>
      <c r="I22" t="s">
        <v>166</v>
      </c>
      <c r="J22">
        <f>+Assumptions!$C$94</f>
        <v>29.06</v>
      </c>
      <c r="K22">
        <f>+Assumptions!$D$94</f>
        <v>22.95</v>
      </c>
      <c r="L22" s="11"/>
      <c r="M22" t="s">
        <v>160</v>
      </c>
      <c r="N22" s="91">
        <f>+Assumptions!$C$90</f>
        <v>0</v>
      </c>
      <c r="P22" t="s">
        <v>166</v>
      </c>
      <c r="Q22">
        <f>+Assumptions!$C$94</f>
        <v>29.06</v>
      </c>
      <c r="R22">
        <f>+Assumptions!$D$94</f>
        <v>22.95</v>
      </c>
      <c r="S22" s="11"/>
      <c r="T22" t="s">
        <v>160</v>
      </c>
      <c r="U22" s="91">
        <f>+Assumptions!$C$90</f>
        <v>0</v>
      </c>
      <c r="W22" t="s">
        <v>166</v>
      </c>
      <c r="X22">
        <f>+Assumptions!$C$94</f>
        <v>29.06</v>
      </c>
      <c r="Y22">
        <f>+Assumptions!$D$94</f>
        <v>22.95</v>
      </c>
      <c r="Z22" s="11"/>
      <c r="AA22" t="s">
        <v>160</v>
      </c>
      <c r="AB22" s="91">
        <f>+Assumptions!$C$90</f>
        <v>0</v>
      </c>
      <c r="AD22" t="s">
        <v>166</v>
      </c>
      <c r="AE22">
        <f>+Assumptions!$C$94</f>
        <v>29.06</v>
      </c>
      <c r="AF22">
        <f>+Assumptions!$D$94</f>
        <v>22.95</v>
      </c>
      <c r="AG22" s="11"/>
      <c r="AH22" t="s">
        <v>160</v>
      </c>
      <c r="AI22" s="91">
        <f>+Assumptions!$C$90</f>
        <v>0</v>
      </c>
      <c r="AK22" t="s">
        <v>166</v>
      </c>
      <c r="AL22">
        <f>+Assumptions!$C$94</f>
        <v>29.06</v>
      </c>
      <c r="AM22">
        <f>+Assumptions!$D$94</f>
        <v>22.95</v>
      </c>
      <c r="AN22" s="11"/>
      <c r="AO22" t="s">
        <v>160</v>
      </c>
      <c r="AP22" s="91">
        <f>+Assumptions!$C$90</f>
        <v>0</v>
      </c>
      <c r="AR22" t="s">
        <v>166</v>
      </c>
      <c r="AS22">
        <f>+Assumptions!$C$94</f>
        <v>29.06</v>
      </c>
      <c r="AT22">
        <f>+Assumptions!$D$94</f>
        <v>22.95</v>
      </c>
      <c r="AU22" s="11"/>
      <c r="AV22" t="s">
        <v>160</v>
      </c>
      <c r="AW22" s="91">
        <f>+Assumptions!$C$90</f>
        <v>0</v>
      </c>
      <c r="AY22" t="s">
        <v>166</v>
      </c>
      <c r="AZ22">
        <f>+Assumptions!$C$94</f>
        <v>29.06</v>
      </c>
      <c r="BA22">
        <f>+Assumptions!$D$94</f>
        <v>22.95</v>
      </c>
      <c r="BB22" s="11"/>
      <c r="BC22" t="s">
        <v>160</v>
      </c>
      <c r="BD22" s="91">
        <f>+Assumptions!$C$90</f>
        <v>0</v>
      </c>
      <c r="BF22" t="s">
        <v>166</v>
      </c>
      <c r="BG22">
        <f>+Assumptions!$C$94</f>
        <v>29.06</v>
      </c>
      <c r="BH22">
        <f>+Assumptions!$D$94</f>
        <v>22.95</v>
      </c>
      <c r="BI22" s="11"/>
      <c r="BJ22" t="s">
        <v>160</v>
      </c>
      <c r="BK22" s="91">
        <f>+Assumptions!$C$90</f>
        <v>0</v>
      </c>
      <c r="BM22" t="s">
        <v>166</v>
      </c>
      <c r="BN22">
        <f>+Assumptions!$C$94</f>
        <v>29.06</v>
      </c>
      <c r="BO22">
        <f>+Assumptions!$D$94</f>
        <v>22.95</v>
      </c>
      <c r="BP22" s="11"/>
      <c r="BQ22" t="s">
        <v>160</v>
      </c>
      <c r="BR22" s="91">
        <f>+Assumptions!$C$90</f>
        <v>0</v>
      </c>
    </row>
    <row r="23" spans="2:70" x14ac:dyDescent="0.35">
      <c r="E23" s="11"/>
      <c r="F23" s="11"/>
      <c r="L23" s="11"/>
      <c r="M23" s="11"/>
      <c r="S23" s="11"/>
      <c r="T23" s="11"/>
      <c r="Z23" s="11"/>
      <c r="AA23" s="11"/>
      <c r="AG23" s="11"/>
      <c r="AH23" s="11"/>
      <c r="AN23" s="11"/>
      <c r="AO23" s="11"/>
      <c r="AU23" s="11"/>
      <c r="AV23" s="11"/>
      <c r="BB23" s="11"/>
      <c r="BC23" s="11"/>
      <c r="BI23" s="11"/>
      <c r="BJ23" s="11"/>
      <c r="BP23" s="11"/>
      <c r="BQ23" s="11"/>
    </row>
    <row r="24" spans="2:70" x14ac:dyDescent="0.35">
      <c r="B24" s="2" t="s">
        <v>167</v>
      </c>
      <c r="C24" s="190">
        <f>+Assumptions!$C$96</f>
        <v>2.1000000000000001E-2</v>
      </c>
      <c r="D24" s="190">
        <f>+Assumptions!$C$96</f>
        <v>2.1000000000000001E-2</v>
      </c>
      <c r="E24" s="123"/>
      <c r="I24" s="2" t="s">
        <v>167</v>
      </c>
      <c r="J24" s="190">
        <f>+Assumptions!$C$96</f>
        <v>2.1000000000000001E-2</v>
      </c>
      <c r="K24" s="190">
        <f>+Assumptions!$C$96</f>
        <v>2.1000000000000001E-2</v>
      </c>
      <c r="L24" s="123"/>
      <c r="P24" s="2" t="s">
        <v>167</v>
      </c>
      <c r="Q24" s="190">
        <f>+Assumptions!$C$96</f>
        <v>2.1000000000000001E-2</v>
      </c>
      <c r="R24" s="190">
        <f>+Assumptions!$C$96</f>
        <v>2.1000000000000001E-2</v>
      </c>
      <c r="S24" s="123"/>
      <c r="W24" s="2" t="s">
        <v>167</v>
      </c>
      <c r="X24" s="190">
        <f>+Assumptions!$C$96</f>
        <v>2.1000000000000001E-2</v>
      </c>
      <c r="Y24" s="190">
        <f>+Assumptions!$C$96</f>
        <v>2.1000000000000001E-2</v>
      </c>
      <c r="Z24" s="123"/>
      <c r="AD24" s="2" t="s">
        <v>167</v>
      </c>
      <c r="AE24" s="190">
        <f>+Assumptions!$C$96</f>
        <v>2.1000000000000001E-2</v>
      </c>
      <c r="AF24" s="190">
        <f>+Assumptions!$C$96</f>
        <v>2.1000000000000001E-2</v>
      </c>
      <c r="AG24" s="123"/>
      <c r="AK24" s="2" t="s">
        <v>167</v>
      </c>
      <c r="AL24" s="190">
        <f>+Assumptions!$C$96</f>
        <v>2.1000000000000001E-2</v>
      </c>
      <c r="AM24" s="190">
        <f>+Assumptions!$C$96</f>
        <v>2.1000000000000001E-2</v>
      </c>
      <c r="AN24" s="123"/>
      <c r="AR24" s="2" t="s">
        <v>167</v>
      </c>
      <c r="AS24" s="190">
        <f>+Assumptions!$C$96</f>
        <v>2.1000000000000001E-2</v>
      </c>
      <c r="AT24" s="190">
        <f>+Assumptions!$C$96</f>
        <v>2.1000000000000001E-2</v>
      </c>
      <c r="AU24" s="123"/>
      <c r="AY24" s="2" t="s">
        <v>167</v>
      </c>
      <c r="AZ24" s="190">
        <f>+Assumptions!$C$96</f>
        <v>2.1000000000000001E-2</v>
      </c>
      <c r="BA24" s="190">
        <f>+Assumptions!$C$96</f>
        <v>2.1000000000000001E-2</v>
      </c>
      <c r="BB24" s="123"/>
      <c r="BF24" s="2" t="s">
        <v>167</v>
      </c>
      <c r="BG24" s="190">
        <f>+Assumptions!$C$96</f>
        <v>2.1000000000000001E-2</v>
      </c>
      <c r="BH24" s="190">
        <f>+Assumptions!$C$96</f>
        <v>2.1000000000000001E-2</v>
      </c>
      <c r="BI24" s="123"/>
      <c r="BM24" s="2" t="s">
        <v>167</v>
      </c>
      <c r="BN24" s="190">
        <f>+Assumptions!$C$96</f>
        <v>2.1000000000000001E-2</v>
      </c>
      <c r="BO24" s="190">
        <f>+Assumptions!$C$96</f>
        <v>2.1000000000000001E-2</v>
      </c>
      <c r="BP24" s="123"/>
    </row>
    <row r="26" spans="2:70" x14ac:dyDescent="0.35">
      <c r="B26" s="84" t="s">
        <v>223</v>
      </c>
      <c r="C26" s="78"/>
      <c r="D26" s="78"/>
      <c r="E26" s="78"/>
      <c r="F26" s="78"/>
      <c r="G26" s="78"/>
      <c r="I26" s="84" t="s">
        <v>223</v>
      </c>
      <c r="J26" s="78"/>
      <c r="K26" s="78"/>
      <c r="L26" s="78"/>
      <c r="M26" s="78"/>
      <c r="N26" s="78"/>
      <c r="P26" s="84" t="s">
        <v>223</v>
      </c>
      <c r="Q26" s="78"/>
      <c r="R26" s="78"/>
      <c r="S26" s="78"/>
      <c r="T26" s="78"/>
      <c r="U26" s="78"/>
      <c r="W26" s="84" t="s">
        <v>223</v>
      </c>
      <c r="X26" s="78"/>
      <c r="Y26" s="78"/>
      <c r="Z26" s="78"/>
      <c r="AA26" s="78"/>
      <c r="AB26" s="78"/>
      <c r="AD26" s="84" t="s">
        <v>223</v>
      </c>
      <c r="AE26" s="78"/>
      <c r="AF26" s="78"/>
      <c r="AG26" s="78"/>
      <c r="AH26" s="78"/>
      <c r="AI26" s="78"/>
      <c r="AK26" s="84" t="s">
        <v>223</v>
      </c>
      <c r="AL26" s="78"/>
      <c r="AM26" s="78"/>
      <c r="AN26" s="78"/>
      <c r="AO26" s="78"/>
      <c r="AP26" s="78"/>
      <c r="AR26" s="84" t="s">
        <v>223</v>
      </c>
      <c r="AS26" s="78"/>
      <c r="AT26" s="78"/>
      <c r="AU26" s="78"/>
      <c r="AV26" s="78"/>
      <c r="AW26" s="78"/>
      <c r="AY26" s="84" t="s">
        <v>223</v>
      </c>
      <c r="AZ26" s="78"/>
      <c r="BA26" s="78"/>
      <c r="BB26" s="78"/>
      <c r="BC26" s="78"/>
      <c r="BD26" s="78"/>
      <c r="BF26" s="84" t="s">
        <v>223</v>
      </c>
      <c r="BG26" s="78"/>
      <c r="BH26" s="78"/>
      <c r="BI26" s="78"/>
      <c r="BJ26" s="78"/>
      <c r="BK26" s="78"/>
      <c r="BM26" s="84" t="s">
        <v>223</v>
      </c>
      <c r="BN26" s="78"/>
      <c r="BO26" s="78"/>
      <c r="BP26" s="78"/>
      <c r="BQ26" s="78"/>
      <c r="BR26" s="78"/>
    </row>
    <row r="27" spans="2:70" x14ac:dyDescent="0.35">
      <c r="B27" s="64"/>
      <c r="C27" s="362" t="s">
        <v>224</v>
      </c>
      <c r="D27" s="362"/>
      <c r="I27" s="64"/>
      <c r="J27" s="362" t="s">
        <v>224</v>
      </c>
      <c r="K27" s="362"/>
      <c r="P27" s="64"/>
      <c r="Q27" s="362" t="s">
        <v>224</v>
      </c>
      <c r="R27" s="362"/>
      <c r="W27" s="64"/>
      <c r="X27" s="362" t="s">
        <v>224</v>
      </c>
      <c r="Y27" s="362"/>
      <c r="AD27" s="64"/>
      <c r="AE27" s="362" t="s">
        <v>224</v>
      </c>
      <c r="AF27" s="362"/>
      <c r="AK27" s="64"/>
      <c r="AL27" s="362" t="s">
        <v>224</v>
      </c>
      <c r="AM27" s="362"/>
      <c r="AR27" s="64"/>
      <c r="AS27" s="362" t="s">
        <v>224</v>
      </c>
      <c r="AT27" s="362"/>
      <c r="AY27" s="64"/>
      <c r="AZ27" s="362" t="s">
        <v>224</v>
      </c>
      <c r="BA27" s="362"/>
      <c r="BF27" s="64"/>
      <c r="BG27" s="362" t="s">
        <v>224</v>
      </c>
      <c r="BH27" s="362"/>
      <c r="BM27" s="64"/>
      <c r="BN27" s="362" t="s">
        <v>224</v>
      </c>
      <c r="BO27" s="362"/>
    </row>
    <row r="28" spans="2:70" x14ac:dyDescent="0.35">
      <c r="C28" s="312" t="s">
        <v>225</v>
      </c>
      <c r="D28" s="312" t="s">
        <v>226</v>
      </c>
      <c r="E28" s="312" t="s">
        <v>227</v>
      </c>
      <c r="J28" s="312" t="s">
        <v>225</v>
      </c>
      <c r="K28" s="312" t="s">
        <v>226</v>
      </c>
      <c r="L28" s="312" t="s">
        <v>227</v>
      </c>
      <c r="Q28" s="312" t="s">
        <v>225</v>
      </c>
      <c r="R28" s="312" t="s">
        <v>226</v>
      </c>
      <c r="S28" s="312" t="s">
        <v>227</v>
      </c>
      <c r="X28" s="312" t="s">
        <v>225</v>
      </c>
      <c r="Y28" s="312" t="s">
        <v>226</v>
      </c>
      <c r="Z28" s="312" t="s">
        <v>227</v>
      </c>
      <c r="AE28" s="312" t="s">
        <v>225</v>
      </c>
      <c r="AF28" s="312" t="s">
        <v>226</v>
      </c>
      <c r="AG28" s="312" t="s">
        <v>227</v>
      </c>
      <c r="AL28" s="312" t="s">
        <v>225</v>
      </c>
      <c r="AM28" s="312" t="s">
        <v>226</v>
      </c>
      <c r="AN28" s="312" t="s">
        <v>227</v>
      </c>
      <c r="AS28" s="312" t="s">
        <v>225</v>
      </c>
      <c r="AT28" s="312" t="s">
        <v>226</v>
      </c>
      <c r="AU28" s="312" t="s">
        <v>227</v>
      </c>
      <c r="AZ28" s="312" t="s">
        <v>225</v>
      </c>
      <c r="BA28" s="312" t="s">
        <v>226</v>
      </c>
      <c r="BB28" s="312" t="s">
        <v>227</v>
      </c>
      <c r="BG28" s="312" t="s">
        <v>225</v>
      </c>
      <c r="BH28" s="312" t="s">
        <v>226</v>
      </c>
      <c r="BI28" s="312" t="s">
        <v>227</v>
      </c>
      <c r="BN28" s="312" t="s">
        <v>225</v>
      </c>
      <c r="BO28" s="312" t="s">
        <v>226</v>
      </c>
      <c r="BP28" s="312" t="s">
        <v>227</v>
      </c>
    </row>
    <row r="29" spans="2:70" s="347" customFormat="1" x14ac:dyDescent="0.35">
      <c r="B29" s="345" t="s">
        <v>228</v>
      </c>
      <c r="C29" s="343">
        <f>(C21*5)+(C22*(F14-5))</f>
        <v>1283.4215999999999</v>
      </c>
      <c r="D29" s="343">
        <f>(D21*5)+(D22*(F14-5))</f>
        <v>1029.587</v>
      </c>
      <c r="E29" s="346">
        <f>+C29*4+D29*8</f>
        <v>13370.382399999999</v>
      </c>
      <c r="I29" s="345" t="s">
        <v>228</v>
      </c>
      <c r="J29" s="343">
        <f>(J21*5)+(J22*(M14-5))</f>
        <v>1283.4215999999999</v>
      </c>
      <c r="K29" s="343">
        <f>(K21*5)+(K22*(M14-5))</f>
        <v>1029.587</v>
      </c>
      <c r="L29" s="346">
        <f>+J29*4+K29*8</f>
        <v>13370.382399999999</v>
      </c>
      <c r="P29" s="345" t="s">
        <v>228</v>
      </c>
      <c r="Q29" s="343">
        <f>(Q21*5)+(Q22*(T14-5))</f>
        <v>1283.4215999999999</v>
      </c>
      <c r="R29" s="343">
        <f>(R21*5)+(R22*(T14-5))</f>
        <v>1029.587</v>
      </c>
      <c r="S29" s="346">
        <f>+Q29*4+R29*8</f>
        <v>13370.382399999999</v>
      </c>
      <c r="W29" s="345" t="s">
        <v>228</v>
      </c>
      <c r="X29" s="343">
        <f>(X21*5)+(X22*(AA14-5))</f>
        <v>1283.4215999999999</v>
      </c>
      <c r="Y29" s="343">
        <f>(Y21*5)+(Y22*(AA14-5))</f>
        <v>1029.587</v>
      </c>
      <c r="Z29" s="346">
        <f>+X29*4+Y29*8</f>
        <v>13370.382399999999</v>
      </c>
      <c r="AD29" s="345" t="s">
        <v>228</v>
      </c>
      <c r="AE29" s="343">
        <f>(AE21*5)+(AE22*(AH14-5))</f>
        <v>1283.4215999999999</v>
      </c>
      <c r="AF29" s="343">
        <f>(AF21*5)+(AF22*(AH14-5))</f>
        <v>1029.587</v>
      </c>
      <c r="AG29" s="346">
        <f>+AE29*4+AF29*8</f>
        <v>13370.382399999999</v>
      </c>
      <c r="AK29" s="345" t="s">
        <v>228</v>
      </c>
      <c r="AL29" s="343">
        <f>(AL21*5)+(AL22*(AO14-5))</f>
        <v>1283.4215999999999</v>
      </c>
      <c r="AM29" s="343">
        <f>(AM21*5)+(AM22*(AO14-5))</f>
        <v>1029.587</v>
      </c>
      <c r="AN29" s="346">
        <f>+AL29*4+AM29*8</f>
        <v>13370.382399999999</v>
      </c>
      <c r="AR29" s="345" t="s">
        <v>228</v>
      </c>
      <c r="AS29" s="343">
        <f>(AS21*5)+(AS22*(AV14-5))</f>
        <v>1283.4215999999999</v>
      </c>
      <c r="AT29" s="343">
        <f>(AT21*5)+(AT22*(AV14-5))</f>
        <v>1029.587</v>
      </c>
      <c r="AU29" s="346">
        <f>+AS29*4+AT29*8</f>
        <v>13370.382399999999</v>
      </c>
      <c r="AY29" s="345" t="s">
        <v>228</v>
      </c>
      <c r="AZ29" s="343">
        <f>(AZ21*5)+(AZ22*(BC14-5))</f>
        <v>1283.4215999999999</v>
      </c>
      <c r="BA29" s="343">
        <f>(BA21*5)+(BA22*(BC14-5))</f>
        <v>1029.587</v>
      </c>
      <c r="BB29" s="346">
        <f>+AZ29*4+BA29*8</f>
        <v>13370.382399999999</v>
      </c>
      <c r="BF29" s="345" t="s">
        <v>228</v>
      </c>
      <c r="BG29" s="343">
        <f>(BG21*5)+(BG22*(BJ14-5))</f>
        <v>1283.4215999999999</v>
      </c>
      <c r="BH29" s="343">
        <f>(BH21*5)+(BH22*(BJ14-5))</f>
        <v>1029.587</v>
      </c>
      <c r="BI29" s="346">
        <f>+BG29*4+BH29*8</f>
        <v>13370.382399999999</v>
      </c>
      <c r="BM29" s="345" t="s">
        <v>228</v>
      </c>
      <c r="BN29" s="343">
        <f>(BN21*5)+(BN22*(BQ14-5))</f>
        <v>1283.4215999999999</v>
      </c>
      <c r="BO29" s="343">
        <f>(BO21*5)+(BO22*(BQ14-5))</f>
        <v>1029.587</v>
      </c>
      <c r="BP29" s="346">
        <f>+BN29*4+BO29*8</f>
        <v>13370.382399999999</v>
      </c>
    </row>
    <row r="30" spans="2:70" x14ac:dyDescent="0.35">
      <c r="B30" s="9" t="s">
        <v>229</v>
      </c>
      <c r="C30" s="111">
        <f>+C24*F17</f>
        <v>48.565439999999988</v>
      </c>
      <c r="D30" s="111">
        <f>+D24*F17</f>
        <v>48.565439999999988</v>
      </c>
      <c r="E30" s="201">
        <f>+C30*4+D30*8</f>
        <v>582.78527999999983</v>
      </c>
      <c r="I30" s="9" t="s">
        <v>229</v>
      </c>
      <c r="J30" s="111">
        <f>+J24*M17</f>
        <v>60.706800000000015</v>
      </c>
      <c r="K30" s="111">
        <f>+K24*M17</f>
        <v>60.706800000000015</v>
      </c>
      <c r="L30" s="201">
        <f>+J30*4+K30*8</f>
        <v>728.48160000000018</v>
      </c>
      <c r="P30" s="9" t="s">
        <v>229</v>
      </c>
      <c r="Q30" s="111">
        <f>+Q24*T17</f>
        <v>72.848159999999993</v>
      </c>
      <c r="R30" s="111">
        <f>+R24*T17</f>
        <v>72.848159999999993</v>
      </c>
      <c r="S30" s="201">
        <f>+Q30*4+R30*8</f>
        <v>874.17791999999986</v>
      </c>
      <c r="W30" s="9" t="s">
        <v>229</v>
      </c>
      <c r="X30" s="111">
        <f>+X24*AA17</f>
        <v>84.989519999999999</v>
      </c>
      <c r="Y30" s="111">
        <f>+Y24*AA17</f>
        <v>84.989519999999999</v>
      </c>
      <c r="Z30" s="201">
        <f>+X30*4+Y30*8</f>
        <v>1019.87424</v>
      </c>
      <c r="AD30" s="9" t="s">
        <v>229</v>
      </c>
      <c r="AE30" s="111">
        <f>+AE24*AH17</f>
        <v>0</v>
      </c>
      <c r="AF30" s="111">
        <f>+AF24*AH17</f>
        <v>0</v>
      </c>
      <c r="AG30" s="201">
        <f>+AE30*4+AF30*8</f>
        <v>0</v>
      </c>
      <c r="AK30" s="9" t="s">
        <v>229</v>
      </c>
      <c r="AL30" s="111">
        <f>+AL24*AO17</f>
        <v>0</v>
      </c>
      <c r="AM30" s="111">
        <f>+AM24*AO17</f>
        <v>0</v>
      </c>
      <c r="AN30" s="201">
        <f>+AL30*4+AM30*8</f>
        <v>0</v>
      </c>
      <c r="AR30" s="9" t="s">
        <v>229</v>
      </c>
      <c r="AS30" s="111">
        <f>+AS24*AV17</f>
        <v>0</v>
      </c>
      <c r="AT30" s="111">
        <f>+AT24*AV17</f>
        <v>0</v>
      </c>
      <c r="AU30" s="201">
        <f>+AS30*4+AT30*8</f>
        <v>0</v>
      </c>
      <c r="AY30" s="9" t="s">
        <v>229</v>
      </c>
      <c r="AZ30" s="111">
        <f>+AZ24*BC17</f>
        <v>0</v>
      </c>
      <c r="BA30" s="111">
        <f>+BA24*BC17</f>
        <v>0</v>
      </c>
      <c r="BB30" s="201">
        <f>+AZ30*4+BA30*8</f>
        <v>0</v>
      </c>
      <c r="BF30" s="9" t="s">
        <v>229</v>
      </c>
      <c r="BG30" s="111">
        <f>+BG24*BJ17</f>
        <v>0</v>
      </c>
      <c r="BH30" s="111">
        <f>+BH24*BJ17</f>
        <v>0</v>
      </c>
      <c r="BI30" s="201">
        <f>+BG30*4+BH30*8</f>
        <v>0</v>
      </c>
      <c r="BM30" s="9" t="s">
        <v>229</v>
      </c>
      <c r="BN30" s="111">
        <f>+BN24*BQ17</f>
        <v>0</v>
      </c>
      <c r="BO30" s="111">
        <f>+BO24*BQ17</f>
        <v>0</v>
      </c>
      <c r="BP30" s="201">
        <f>+BN30*4+BO30*8</f>
        <v>0</v>
      </c>
    </row>
    <row r="31" spans="2:70" x14ac:dyDescent="0.35">
      <c r="B31" s="9" t="s">
        <v>230</v>
      </c>
      <c r="C31" s="113">
        <f>+G21+G22</f>
        <v>1.28</v>
      </c>
      <c r="D31" s="113">
        <f>+G21+G22</f>
        <v>1.28</v>
      </c>
      <c r="E31" s="112">
        <f>+C31*4+D31*8</f>
        <v>15.36</v>
      </c>
      <c r="F31" s="85"/>
      <c r="I31" s="9" t="s">
        <v>230</v>
      </c>
      <c r="J31" s="113">
        <f>+N21+N22</f>
        <v>1.28</v>
      </c>
      <c r="K31" s="113">
        <f>+N21+N22</f>
        <v>1.28</v>
      </c>
      <c r="L31" s="112">
        <f>+J31*4+K31*8</f>
        <v>15.36</v>
      </c>
      <c r="M31" s="85"/>
      <c r="P31" s="9" t="s">
        <v>230</v>
      </c>
      <c r="Q31" s="113">
        <f>+U21+U22</f>
        <v>1.28</v>
      </c>
      <c r="R31" s="113">
        <f>+U21+U22</f>
        <v>1.28</v>
      </c>
      <c r="S31" s="112">
        <f>+Q31*4+R31*8</f>
        <v>15.36</v>
      </c>
      <c r="T31" s="85"/>
      <c r="W31" s="9" t="s">
        <v>230</v>
      </c>
      <c r="X31" s="113">
        <f>+AB21+AB22</f>
        <v>1.28</v>
      </c>
      <c r="Y31" s="113">
        <f>+AB21+AB22</f>
        <v>1.28</v>
      </c>
      <c r="Z31" s="112">
        <f>+X31*4+Y31*8</f>
        <v>15.36</v>
      </c>
      <c r="AA31" s="85"/>
      <c r="AD31" s="9" t="s">
        <v>230</v>
      </c>
      <c r="AE31" s="113">
        <f>+AI21+AI22</f>
        <v>1.28</v>
      </c>
      <c r="AF31" s="113">
        <f>+AI21+AI22</f>
        <v>1.28</v>
      </c>
      <c r="AG31" s="112">
        <f>+AE31*4+AF31*8</f>
        <v>15.36</v>
      </c>
      <c r="AH31" s="85"/>
      <c r="AK31" s="9" t="s">
        <v>230</v>
      </c>
      <c r="AL31" s="113">
        <f>+AP21+AP22</f>
        <v>1.28</v>
      </c>
      <c r="AM31" s="113">
        <f>+AP21+AP22</f>
        <v>1.28</v>
      </c>
      <c r="AN31" s="112">
        <f>+AL31*4+AM31*8</f>
        <v>15.36</v>
      </c>
      <c r="AO31" s="85"/>
      <c r="AR31" s="9" t="s">
        <v>230</v>
      </c>
      <c r="AS31" s="113">
        <f>+AW21+AW22</f>
        <v>1.28</v>
      </c>
      <c r="AT31" s="113">
        <f>+AW21+AW22</f>
        <v>1.28</v>
      </c>
      <c r="AU31" s="112">
        <f>+AS31*4+AT31*8</f>
        <v>15.36</v>
      </c>
      <c r="AV31" s="85"/>
      <c r="AY31" s="9" t="s">
        <v>230</v>
      </c>
      <c r="AZ31" s="113">
        <f>+BD21+BD22</f>
        <v>1.28</v>
      </c>
      <c r="BA31" s="113">
        <f>+BD21+BD22</f>
        <v>1.28</v>
      </c>
      <c r="BB31" s="112">
        <f>+AZ31*4+BA31*8</f>
        <v>15.36</v>
      </c>
      <c r="BC31" s="85"/>
      <c r="BF31" s="9" t="s">
        <v>230</v>
      </c>
      <c r="BG31" s="113">
        <f>+BK21+BK22</f>
        <v>1.28</v>
      </c>
      <c r="BH31" s="113">
        <f>+BK21+BK22</f>
        <v>1.28</v>
      </c>
      <c r="BI31" s="112">
        <f>+BG31*4+BH31*8</f>
        <v>15.36</v>
      </c>
      <c r="BJ31" s="85"/>
      <c r="BM31" s="9" t="s">
        <v>230</v>
      </c>
      <c r="BN31" s="113">
        <f>+BR21+BR22</f>
        <v>1.28</v>
      </c>
      <c r="BO31" s="113">
        <f>+BR21+BR22</f>
        <v>1.28</v>
      </c>
      <c r="BP31" s="112">
        <f>+BN31*4+BO31*8</f>
        <v>15.36</v>
      </c>
      <c r="BQ31" s="85"/>
    </row>
    <row r="32" spans="2:70" x14ac:dyDescent="0.35">
      <c r="B32" s="86" t="s">
        <v>231</v>
      </c>
      <c r="C32" s="111">
        <f>SUM(C29:C31)</f>
        <v>1333.26704</v>
      </c>
      <c r="D32" s="111">
        <f>SUM(D29:D31)</f>
        <v>1079.43244</v>
      </c>
      <c r="E32" s="111">
        <f>SUM(E29:E31)</f>
        <v>13968.527679999999</v>
      </c>
      <c r="I32" s="86" t="s">
        <v>231</v>
      </c>
      <c r="J32" s="111">
        <f>SUM(J29:J31)</f>
        <v>1345.4083999999998</v>
      </c>
      <c r="K32" s="111">
        <f>SUM(K29:K31)</f>
        <v>1091.5737999999999</v>
      </c>
      <c r="L32" s="111">
        <f>SUM(L29:L31)</f>
        <v>14114.224</v>
      </c>
      <c r="P32" s="86" t="s">
        <v>231</v>
      </c>
      <c r="Q32" s="111">
        <f>SUM(Q29:Q31)</f>
        <v>1357.5497599999999</v>
      </c>
      <c r="R32" s="111">
        <f>SUM(R29:R31)</f>
        <v>1103.71516</v>
      </c>
      <c r="S32" s="111">
        <f>SUM(S29:S31)</f>
        <v>14259.920319999999</v>
      </c>
      <c r="W32" s="86" t="s">
        <v>231</v>
      </c>
      <c r="X32" s="111">
        <f>SUM(X29:X31)</f>
        <v>1369.69112</v>
      </c>
      <c r="Y32" s="111">
        <f>SUM(Y29:Y31)</f>
        <v>1115.85652</v>
      </c>
      <c r="Z32" s="111">
        <f>SUM(Z29:Z31)</f>
        <v>14405.616639999998</v>
      </c>
      <c r="AD32" s="86" t="s">
        <v>231</v>
      </c>
      <c r="AE32" s="111">
        <f>SUM(AE29:AE31)</f>
        <v>1284.7015999999999</v>
      </c>
      <c r="AF32" s="111">
        <f>SUM(AF29:AF31)</f>
        <v>1030.867</v>
      </c>
      <c r="AG32" s="111">
        <f>SUM(AG29:AG31)</f>
        <v>13385.742399999999</v>
      </c>
      <c r="AK32" s="86" t="s">
        <v>231</v>
      </c>
      <c r="AL32" s="111">
        <f>SUM(AL29:AL31)</f>
        <v>1284.7015999999999</v>
      </c>
      <c r="AM32" s="111">
        <f>SUM(AM29:AM31)</f>
        <v>1030.867</v>
      </c>
      <c r="AN32" s="111">
        <f>SUM(AN29:AN31)</f>
        <v>13385.742399999999</v>
      </c>
      <c r="AR32" s="86" t="s">
        <v>231</v>
      </c>
      <c r="AS32" s="111">
        <f>SUM(AS29:AS31)</f>
        <v>1284.7015999999999</v>
      </c>
      <c r="AT32" s="111">
        <f>SUM(AT29:AT31)</f>
        <v>1030.867</v>
      </c>
      <c r="AU32" s="111">
        <f>SUM(AU29:AU31)</f>
        <v>13385.742399999999</v>
      </c>
      <c r="AY32" s="86" t="s">
        <v>231</v>
      </c>
      <c r="AZ32" s="111">
        <f>SUM(AZ29:AZ31)</f>
        <v>1284.7015999999999</v>
      </c>
      <c r="BA32" s="111">
        <f>SUM(BA29:BA31)</f>
        <v>1030.867</v>
      </c>
      <c r="BB32" s="111">
        <f>SUM(BB29:BB31)</f>
        <v>13385.742399999999</v>
      </c>
      <c r="BF32" s="86" t="s">
        <v>231</v>
      </c>
      <c r="BG32" s="111">
        <f>SUM(BG29:BG31)</f>
        <v>1284.7015999999999</v>
      </c>
      <c r="BH32" s="111">
        <f>SUM(BH29:BH31)</f>
        <v>1030.867</v>
      </c>
      <c r="BI32" s="111">
        <f>SUM(BI29:BI31)</f>
        <v>13385.742399999999</v>
      </c>
      <c r="BM32" s="86" t="s">
        <v>231</v>
      </c>
      <c r="BN32" s="111">
        <f>SUM(BN29:BN31)</f>
        <v>1284.7015999999999</v>
      </c>
      <c r="BO32" s="111">
        <f>SUM(BO29:BO31)</f>
        <v>1030.867</v>
      </c>
      <c r="BP32" s="111">
        <f>SUM(BP29:BP31)</f>
        <v>13385.742399999999</v>
      </c>
    </row>
    <row r="33" spans="2:70" x14ac:dyDescent="0.35">
      <c r="C33" s="111"/>
      <c r="D33" s="111"/>
      <c r="E33" s="111"/>
      <c r="J33" s="111"/>
      <c r="K33" s="111"/>
      <c r="L33" s="111"/>
      <c r="Q33" s="111"/>
      <c r="R33" s="111"/>
      <c r="S33" s="111"/>
      <c r="X33" s="111"/>
      <c r="Y33" s="111"/>
      <c r="Z33" s="111"/>
      <c r="AE33" s="111"/>
      <c r="AF33" s="111"/>
      <c r="AG33" s="111"/>
      <c r="AL33" s="111"/>
      <c r="AM33" s="111"/>
      <c r="AN33" s="111"/>
      <c r="AS33" s="111"/>
      <c r="AT33" s="111"/>
      <c r="AU33" s="111"/>
      <c r="AZ33" s="111"/>
      <c r="BA33" s="111"/>
      <c r="BB33" s="111"/>
      <c r="BG33" s="111"/>
      <c r="BH33" s="111"/>
      <c r="BI33" s="111"/>
      <c r="BN33" s="111"/>
      <c r="BO33" s="111"/>
      <c r="BP33" s="111"/>
    </row>
    <row r="34" spans="2:70" x14ac:dyDescent="0.35">
      <c r="C34" s="362" t="s">
        <v>224</v>
      </c>
      <c r="D34" s="362"/>
      <c r="E34" s="98"/>
      <c r="G34" s="98"/>
      <c r="J34" s="362" t="s">
        <v>224</v>
      </c>
      <c r="K34" s="362"/>
      <c r="L34" s="98"/>
      <c r="N34" s="98"/>
      <c r="Q34" s="362" t="s">
        <v>224</v>
      </c>
      <c r="R34" s="362"/>
      <c r="S34" s="98"/>
      <c r="U34" s="98"/>
      <c r="X34" s="362" t="s">
        <v>224</v>
      </c>
      <c r="Y34" s="362"/>
      <c r="Z34" s="98"/>
      <c r="AB34" s="98"/>
      <c r="AE34" s="362" t="s">
        <v>224</v>
      </c>
      <c r="AF34" s="362"/>
      <c r="AG34" s="98"/>
      <c r="AI34" s="98"/>
      <c r="AL34" s="362" t="s">
        <v>224</v>
      </c>
      <c r="AM34" s="362"/>
      <c r="AN34" s="98"/>
      <c r="AP34" s="98"/>
      <c r="AS34" s="362" t="s">
        <v>224</v>
      </c>
      <c r="AT34" s="362"/>
      <c r="AU34" s="98"/>
      <c r="AW34" s="98"/>
      <c r="AZ34" s="362" t="s">
        <v>224</v>
      </c>
      <c r="BA34" s="362"/>
      <c r="BB34" s="98"/>
      <c r="BD34" s="98"/>
      <c r="BG34" s="362" t="s">
        <v>224</v>
      </c>
      <c r="BH34" s="362"/>
      <c r="BI34" s="98"/>
      <c r="BK34" s="98"/>
      <c r="BN34" s="362" t="s">
        <v>224</v>
      </c>
      <c r="BO34" s="362"/>
      <c r="BP34" s="98"/>
      <c r="BR34" s="98"/>
    </row>
    <row r="35" spans="2:70" x14ac:dyDescent="0.35">
      <c r="B35" s="88" t="s">
        <v>232</v>
      </c>
      <c r="C35" s="312" t="s">
        <v>225</v>
      </c>
      <c r="D35" s="312" t="s">
        <v>226</v>
      </c>
      <c r="E35" s="312" t="s">
        <v>227</v>
      </c>
      <c r="I35" s="88" t="s">
        <v>232</v>
      </c>
      <c r="J35" s="312" t="s">
        <v>225</v>
      </c>
      <c r="K35" s="312" t="s">
        <v>226</v>
      </c>
      <c r="L35" s="312" t="s">
        <v>227</v>
      </c>
      <c r="P35" s="88" t="s">
        <v>232</v>
      </c>
      <c r="Q35" s="312" t="s">
        <v>225</v>
      </c>
      <c r="R35" s="312" t="s">
        <v>226</v>
      </c>
      <c r="S35" s="312" t="s">
        <v>227</v>
      </c>
      <c r="W35" s="88" t="s">
        <v>232</v>
      </c>
      <c r="X35" s="312" t="s">
        <v>225</v>
      </c>
      <c r="Y35" s="312" t="s">
        <v>226</v>
      </c>
      <c r="Z35" s="312" t="s">
        <v>227</v>
      </c>
      <c r="AD35" s="88" t="s">
        <v>232</v>
      </c>
      <c r="AE35" s="312" t="s">
        <v>225</v>
      </c>
      <c r="AF35" s="312" t="s">
        <v>226</v>
      </c>
      <c r="AG35" s="312" t="s">
        <v>227</v>
      </c>
      <c r="AK35" s="88" t="s">
        <v>232</v>
      </c>
      <c r="AL35" s="312" t="s">
        <v>225</v>
      </c>
      <c r="AM35" s="312" t="s">
        <v>226</v>
      </c>
      <c r="AN35" s="312" t="s">
        <v>227</v>
      </c>
      <c r="AR35" s="88" t="s">
        <v>232</v>
      </c>
      <c r="AS35" s="312" t="s">
        <v>225</v>
      </c>
      <c r="AT35" s="312" t="s">
        <v>226</v>
      </c>
      <c r="AU35" s="312" t="s">
        <v>227</v>
      </c>
      <c r="AY35" s="88" t="s">
        <v>232</v>
      </c>
      <c r="AZ35" s="312" t="s">
        <v>225</v>
      </c>
      <c r="BA35" s="312" t="s">
        <v>226</v>
      </c>
      <c r="BB35" s="312" t="s">
        <v>227</v>
      </c>
      <c r="BF35" s="88" t="s">
        <v>232</v>
      </c>
      <c r="BG35" s="312" t="s">
        <v>225</v>
      </c>
      <c r="BH35" s="312" t="s">
        <v>226</v>
      </c>
      <c r="BI35" s="312" t="s">
        <v>227</v>
      </c>
      <c r="BM35" s="88" t="s">
        <v>232</v>
      </c>
      <c r="BN35" s="312" t="s">
        <v>225</v>
      </c>
      <c r="BO35" s="312" t="s">
        <v>226</v>
      </c>
      <c r="BP35" s="312" t="s">
        <v>227</v>
      </c>
    </row>
    <row r="36" spans="2:70" x14ac:dyDescent="0.35">
      <c r="B36" t="s">
        <v>157</v>
      </c>
      <c r="C36" s="114">
        <f>Assumptions!$C$89</f>
        <v>1.28</v>
      </c>
      <c r="D36" s="114">
        <f>Assumptions!$C$89</f>
        <v>1.28</v>
      </c>
      <c r="E36" s="115">
        <f t="shared" ref="E36:E45" si="0">(C36*4)+(D36*8)</f>
        <v>15.36</v>
      </c>
      <c r="F36" s="85"/>
      <c r="G36" s="98"/>
      <c r="I36" t="s">
        <v>157</v>
      </c>
      <c r="J36" s="114">
        <f>Assumptions!$C$89</f>
        <v>1.28</v>
      </c>
      <c r="K36" s="114">
        <f>Assumptions!$C$89</f>
        <v>1.28</v>
      </c>
      <c r="L36" s="115">
        <f t="shared" ref="L36:L45" si="1">(J36*4)+(K36*8)</f>
        <v>15.36</v>
      </c>
      <c r="M36" s="85"/>
      <c r="N36" s="98"/>
      <c r="P36" t="s">
        <v>157</v>
      </c>
      <c r="Q36" s="114">
        <f>Assumptions!$C$89</f>
        <v>1.28</v>
      </c>
      <c r="R36" s="114">
        <f>Assumptions!$C$89</f>
        <v>1.28</v>
      </c>
      <c r="S36" s="115">
        <f t="shared" ref="S36:S45" si="2">(Q36*4)+(R36*8)</f>
        <v>15.36</v>
      </c>
      <c r="T36" s="85"/>
      <c r="U36" s="98"/>
      <c r="W36" t="s">
        <v>157</v>
      </c>
      <c r="X36" s="114">
        <f>Assumptions!$C$89</f>
        <v>1.28</v>
      </c>
      <c r="Y36" s="114">
        <f>Assumptions!$C$89</f>
        <v>1.28</v>
      </c>
      <c r="Z36" s="115">
        <f t="shared" ref="Z36:Z45" si="3">(X36*4)+(Y36*8)</f>
        <v>15.36</v>
      </c>
      <c r="AA36" s="85"/>
      <c r="AB36" s="98"/>
      <c r="AD36" t="s">
        <v>157</v>
      </c>
      <c r="AE36" s="114">
        <f>Assumptions!$C$89</f>
        <v>1.28</v>
      </c>
      <c r="AF36" s="114">
        <f>Assumptions!$C$89</f>
        <v>1.28</v>
      </c>
      <c r="AG36" s="115">
        <f t="shared" ref="AG36:AG45" si="4">(AE36*4)+(AF36*8)</f>
        <v>15.36</v>
      </c>
      <c r="AH36" s="85"/>
      <c r="AI36" s="98"/>
      <c r="AK36" t="s">
        <v>157</v>
      </c>
      <c r="AL36" s="114">
        <f>Assumptions!$C$89</f>
        <v>1.28</v>
      </c>
      <c r="AM36" s="114">
        <f>Assumptions!$C$89</f>
        <v>1.28</v>
      </c>
      <c r="AN36" s="115">
        <f t="shared" ref="AN36:AN45" si="5">(AL36*4)+(AM36*8)</f>
        <v>15.36</v>
      </c>
      <c r="AO36" s="85"/>
      <c r="AP36" s="98"/>
      <c r="AR36" t="s">
        <v>157</v>
      </c>
      <c r="AS36" s="114">
        <f>Assumptions!$C$89</f>
        <v>1.28</v>
      </c>
      <c r="AT36" s="114">
        <f>Assumptions!$C$89</f>
        <v>1.28</v>
      </c>
      <c r="AU36" s="115">
        <f t="shared" ref="AU36:AU45" si="6">(AS36*4)+(AT36*8)</f>
        <v>15.36</v>
      </c>
      <c r="AV36" s="85"/>
      <c r="AW36" s="98"/>
      <c r="AY36" t="s">
        <v>157</v>
      </c>
      <c r="AZ36" s="114">
        <f>Assumptions!$C$89</f>
        <v>1.28</v>
      </c>
      <c r="BA36" s="114">
        <f>Assumptions!$C$89</f>
        <v>1.28</v>
      </c>
      <c r="BB36" s="115">
        <f t="shared" ref="BB36:BB45" si="7">(AZ36*4)+(BA36*8)</f>
        <v>15.36</v>
      </c>
      <c r="BC36" s="85"/>
      <c r="BD36" s="98"/>
      <c r="BF36" t="s">
        <v>157</v>
      </c>
      <c r="BG36" s="114">
        <f>Assumptions!$C$89</f>
        <v>1.28</v>
      </c>
      <c r="BH36" s="114">
        <f>Assumptions!$C$89</f>
        <v>1.28</v>
      </c>
      <c r="BI36" s="115">
        <f t="shared" ref="BI36:BI45" si="8">(BG36*4)+(BH36*8)</f>
        <v>15.36</v>
      </c>
      <c r="BJ36" s="85"/>
      <c r="BK36" s="98"/>
      <c r="BM36" t="s">
        <v>157</v>
      </c>
      <c r="BN36" s="114">
        <f>Assumptions!$C$89</f>
        <v>1.28</v>
      </c>
      <c r="BO36" s="114">
        <f>Assumptions!$C$89</f>
        <v>1.28</v>
      </c>
      <c r="BP36" s="115">
        <f t="shared" ref="BP36:BP45" si="9">(BN36*4)+(BO36*8)</f>
        <v>15.36</v>
      </c>
      <c r="BQ36" s="85"/>
      <c r="BR36" s="98"/>
    </row>
    <row r="37" spans="2:70" x14ac:dyDescent="0.35">
      <c r="B37" t="s">
        <v>169</v>
      </c>
      <c r="C37" s="114">
        <f>F$17*Assumptions!$C99</f>
        <v>35.221507199999991</v>
      </c>
      <c r="D37" s="114">
        <f>F$17*Assumptions!$C99</f>
        <v>35.221507199999991</v>
      </c>
      <c r="E37" s="115">
        <f t="shared" si="0"/>
        <v>422.65808639999989</v>
      </c>
      <c r="F37" s="85"/>
      <c r="I37" t="s">
        <v>169</v>
      </c>
      <c r="J37" s="114">
        <f>M$17*Assumptions!$C99</f>
        <v>44.02688400000001</v>
      </c>
      <c r="K37" s="114">
        <f>M$17*Assumptions!$C99</f>
        <v>44.02688400000001</v>
      </c>
      <c r="L37" s="115">
        <f t="shared" si="1"/>
        <v>528.32260800000017</v>
      </c>
      <c r="M37" s="85"/>
      <c r="P37" t="s">
        <v>169</v>
      </c>
      <c r="Q37" s="114">
        <f>T$17*Assumptions!$C99</f>
        <v>52.832260799999986</v>
      </c>
      <c r="R37" s="114">
        <f>T$17*Assumptions!$C99</f>
        <v>52.832260799999986</v>
      </c>
      <c r="S37" s="115">
        <f t="shared" si="2"/>
        <v>633.98712959999989</v>
      </c>
      <c r="T37" s="85"/>
      <c r="W37" t="s">
        <v>169</v>
      </c>
      <c r="X37" s="114">
        <f>AA$17*Assumptions!$C99</f>
        <v>61.637637599999991</v>
      </c>
      <c r="Y37" s="114">
        <f>AA$17*Assumptions!$C99</f>
        <v>61.637637599999991</v>
      </c>
      <c r="Z37" s="115">
        <f t="shared" si="3"/>
        <v>739.65165119999983</v>
      </c>
      <c r="AA37" s="85"/>
      <c r="AD37" t="s">
        <v>169</v>
      </c>
      <c r="AE37" s="114">
        <f>AH$17*Assumptions!$C99</f>
        <v>0</v>
      </c>
      <c r="AF37" s="114">
        <f>AH$17*Assumptions!$C99</f>
        <v>0</v>
      </c>
      <c r="AG37" s="115">
        <f t="shared" si="4"/>
        <v>0</v>
      </c>
      <c r="AH37" s="85"/>
      <c r="AK37" t="s">
        <v>169</v>
      </c>
      <c r="AL37" s="114">
        <f>AO$17*Assumptions!$C99</f>
        <v>0</v>
      </c>
      <c r="AM37" s="114">
        <f>AO$17*Assumptions!$C99</f>
        <v>0</v>
      </c>
      <c r="AN37" s="115">
        <f t="shared" si="5"/>
        <v>0</v>
      </c>
      <c r="AO37" s="85"/>
      <c r="AR37" t="s">
        <v>169</v>
      </c>
      <c r="AS37" s="114">
        <f>AV$17*Assumptions!$C99</f>
        <v>0</v>
      </c>
      <c r="AT37" s="114">
        <f>AV$17*Assumptions!$C99</f>
        <v>0</v>
      </c>
      <c r="AU37" s="115">
        <f t="shared" si="6"/>
        <v>0</v>
      </c>
      <c r="AV37" s="85"/>
      <c r="AY37" t="s">
        <v>169</v>
      </c>
      <c r="AZ37" s="114">
        <f>BC$17*Assumptions!$C99</f>
        <v>0</v>
      </c>
      <c r="BA37" s="114">
        <f>BC$17*Assumptions!$C99</f>
        <v>0</v>
      </c>
      <c r="BB37" s="115">
        <f t="shared" si="7"/>
        <v>0</v>
      </c>
      <c r="BC37" s="85"/>
      <c r="BF37" t="s">
        <v>169</v>
      </c>
      <c r="BG37" s="114">
        <f>BJ$17*Assumptions!$C99</f>
        <v>0</v>
      </c>
      <c r="BH37" s="114">
        <f>BJ$17*Assumptions!$C99</f>
        <v>0</v>
      </c>
      <c r="BI37" s="115">
        <f t="shared" si="8"/>
        <v>0</v>
      </c>
      <c r="BJ37" s="85"/>
      <c r="BM37" t="s">
        <v>169</v>
      </c>
      <c r="BN37" s="114">
        <f>BQ$17*Assumptions!$C99</f>
        <v>0</v>
      </c>
      <c r="BO37" s="114">
        <f>BQ$17*Assumptions!$C99</f>
        <v>0</v>
      </c>
      <c r="BP37" s="115">
        <f t="shared" si="9"/>
        <v>0</v>
      </c>
      <c r="BQ37" s="85"/>
    </row>
    <row r="38" spans="2:70" x14ac:dyDescent="0.35">
      <c r="B38" t="s">
        <v>171</v>
      </c>
      <c r="C38" s="114">
        <f>F$17*Assumptions!$C100</f>
        <v>2.2872009599999994</v>
      </c>
      <c r="D38" s="114">
        <f>F$17*Assumptions!$C100</f>
        <v>2.2872009599999994</v>
      </c>
      <c r="E38" s="115">
        <f t="shared" si="0"/>
        <v>27.446411519999991</v>
      </c>
      <c r="F38" s="85"/>
      <c r="I38" t="s">
        <v>171</v>
      </c>
      <c r="J38" s="114">
        <f>M$17*Assumptions!$C100</f>
        <v>2.8590012000000007</v>
      </c>
      <c r="K38" s="114">
        <f>M$17*Assumptions!$C100</f>
        <v>2.8590012000000007</v>
      </c>
      <c r="L38" s="115">
        <f t="shared" si="1"/>
        <v>34.308014400000005</v>
      </c>
      <c r="M38" s="85"/>
      <c r="P38" t="s">
        <v>171</v>
      </c>
      <c r="Q38" s="114">
        <f>T$17*Assumptions!$C100</f>
        <v>3.4308014399999993</v>
      </c>
      <c r="R38" s="114">
        <f>T$17*Assumptions!$C100</f>
        <v>3.4308014399999993</v>
      </c>
      <c r="S38" s="115">
        <f t="shared" si="2"/>
        <v>41.16961727999999</v>
      </c>
      <c r="T38" s="85"/>
      <c r="W38" t="s">
        <v>171</v>
      </c>
      <c r="X38" s="114">
        <f>AA$17*Assumptions!$C100</f>
        <v>4.0026016799999997</v>
      </c>
      <c r="Y38" s="114">
        <f>AA$17*Assumptions!$C100</f>
        <v>4.0026016799999997</v>
      </c>
      <c r="Z38" s="115">
        <f t="shared" si="3"/>
        <v>48.031220159999997</v>
      </c>
      <c r="AA38" s="85"/>
      <c r="AD38" t="s">
        <v>171</v>
      </c>
      <c r="AE38" s="114">
        <f>AH$17*Assumptions!$C100</f>
        <v>0</v>
      </c>
      <c r="AF38" s="114">
        <f>AH$17*Assumptions!$C100</f>
        <v>0</v>
      </c>
      <c r="AG38" s="115">
        <f t="shared" si="4"/>
        <v>0</v>
      </c>
      <c r="AH38" s="85"/>
      <c r="AK38" t="s">
        <v>171</v>
      </c>
      <c r="AL38" s="114">
        <f>AO$17*Assumptions!$C100</f>
        <v>0</v>
      </c>
      <c r="AM38" s="114">
        <f>AO$17*Assumptions!$C100</f>
        <v>0</v>
      </c>
      <c r="AN38" s="115">
        <f t="shared" si="5"/>
        <v>0</v>
      </c>
      <c r="AO38" s="85"/>
      <c r="AR38" t="s">
        <v>171</v>
      </c>
      <c r="AS38" s="114">
        <f>AV$17*Assumptions!$C100</f>
        <v>0</v>
      </c>
      <c r="AT38" s="114">
        <f>AV$17*Assumptions!$C100</f>
        <v>0</v>
      </c>
      <c r="AU38" s="115">
        <f t="shared" si="6"/>
        <v>0</v>
      </c>
      <c r="AV38" s="85"/>
      <c r="AY38" t="s">
        <v>171</v>
      </c>
      <c r="AZ38" s="114">
        <f>BC$17*Assumptions!$C100</f>
        <v>0</v>
      </c>
      <c r="BA38" s="114">
        <f>BC$17*Assumptions!$C100</f>
        <v>0</v>
      </c>
      <c r="BB38" s="115">
        <f t="shared" si="7"/>
        <v>0</v>
      </c>
      <c r="BC38" s="85"/>
      <c r="BF38" t="s">
        <v>171</v>
      </c>
      <c r="BG38" s="114">
        <f>BJ$17*Assumptions!$C100</f>
        <v>0</v>
      </c>
      <c r="BH38" s="114">
        <f>BJ$17*Assumptions!$C100</f>
        <v>0</v>
      </c>
      <c r="BI38" s="115">
        <f t="shared" si="8"/>
        <v>0</v>
      </c>
      <c r="BJ38" s="85"/>
      <c r="BM38" t="s">
        <v>171</v>
      </c>
      <c r="BN38" s="114">
        <f>BQ$17*Assumptions!$C100</f>
        <v>0</v>
      </c>
      <c r="BO38" s="114">
        <f>BQ$17*Assumptions!$C100</f>
        <v>0</v>
      </c>
      <c r="BP38" s="115">
        <f t="shared" si="9"/>
        <v>0</v>
      </c>
      <c r="BQ38" s="85"/>
    </row>
    <row r="39" spans="2:70" x14ac:dyDescent="0.35">
      <c r="B39" t="s">
        <v>172</v>
      </c>
      <c r="C39" s="114">
        <f>F$17*Assumptions!$C101</f>
        <v>15.583339199999994</v>
      </c>
      <c r="D39" s="114">
        <f>F$17*Assumptions!$C101</f>
        <v>15.583339199999994</v>
      </c>
      <c r="E39" s="115">
        <f>(C39*4)+(D39*8)</f>
        <v>187.00007039999991</v>
      </c>
      <c r="F39" s="85"/>
      <c r="I39" t="s">
        <v>172</v>
      </c>
      <c r="J39" s="114">
        <f>M$17*Assumptions!$C101</f>
        <v>19.479174</v>
      </c>
      <c r="K39" s="114">
        <f>M$17*Assumptions!$C101</f>
        <v>19.479174</v>
      </c>
      <c r="L39" s="115">
        <f t="shared" si="1"/>
        <v>233.75008800000001</v>
      </c>
      <c r="M39" s="85"/>
      <c r="P39" t="s">
        <v>172</v>
      </c>
      <c r="Q39" s="114">
        <f>T$17*Assumptions!$C101</f>
        <v>23.375008799999989</v>
      </c>
      <c r="R39" s="114">
        <f>T$17*Assumptions!$C101</f>
        <v>23.375008799999989</v>
      </c>
      <c r="S39" s="115">
        <f t="shared" si="2"/>
        <v>280.50010559999987</v>
      </c>
      <c r="T39" s="85"/>
      <c r="W39" t="s">
        <v>172</v>
      </c>
      <c r="X39" s="114">
        <f>AA$17*Assumptions!$C101</f>
        <v>27.270843599999992</v>
      </c>
      <c r="Y39" s="114">
        <f>AA$17*Assumptions!$C101</f>
        <v>27.270843599999992</v>
      </c>
      <c r="Z39" s="115">
        <f t="shared" si="3"/>
        <v>327.2501231999999</v>
      </c>
      <c r="AA39" s="85"/>
      <c r="AD39" t="s">
        <v>172</v>
      </c>
      <c r="AE39" s="114">
        <f>AH$17*Assumptions!$C101</f>
        <v>0</v>
      </c>
      <c r="AF39" s="114">
        <f>AH$17*Assumptions!$C101</f>
        <v>0</v>
      </c>
      <c r="AG39" s="115">
        <f t="shared" si="4"/>
        <v>0</v>
      </c>
      <c r="AH39" s="85"/>
      <c r="AK39" t="s">
        <v>172</v>
      </c>
      <c r="AL39" s="114">
        <f>AO$17*Assumptions!$C101</f>
        <v>0</v>
      </c>
      <c r="AM39" s="114">
        <f>AO$17*Assumptions!$C101</f>
        <v>0</v>
      </c>
      <c r="AN39" s="115">
        <f t="shared" si="5"/>
        <v>0</v>
      </c>
      <c r="AO39" s="85"/>
      <c r="AR39" t="s">
        <v>172</v>
      </c>
      <c r="AS39" s="114">
        <f>AV$17*Assumptions!$C101</f>
        <v>0</v>
      </c>
      <c r="AT39" s="114">
        <f>AV$17*Assumptions!$C101</f>
        <v>0</v>
      </c>
      <c r="AU39" s="115">
        <f t="shared" si="6"/>
        <v>0</v>
      </c>
      <c r="AV39" s="85"/>
      <c r="AY39" t="s">
        <v>172</v>
      </c>
      <c r="AZ39" s="114">
        <f>BC$17*Assumptions!$C101</f>
        <v>0</v>
      </c>
      <c r="BA39" s="114">
        <f>BC$17*Assumptions!$C101</f>
        <v>0</v>
      </c>
      <c r="BB39" s="115">
        <f t="shared" si="7"/>
        <v>0</v>
      </c>
      <c r="BC39" s="85"/>
      <c r="BF39" t="s">
        <v>172</v>
      </c>
      <c r="BG39" s="114">
        <f>BJ$17*Assumptions!$C101</f>
        <v>0</v>
      </c>
      <c r="BH39" s="114">
        <f>BJ$17*Assumptions!$C101</f>
        <v>0</v>
      </c>
      <c r="BI39" s="115">
        <f t="shared" si="8"/>
        <v>0</v>
      </c>
      <c r="BJ39" s="85"/>
      <c r="BM39" t="s">
        <v>172</v>
      </c>
      <c r="BN39" s="114">
        <f>BQ$17*Assumptions!$C101</f>
        <v>0</v>
      </c>
      <c r="BO39" s="114">
        <f>BQ$17*Assumptions!$C101</f>
        <v>0</v>
      </c>
      <c r="BP39" s="115">
        <f t="shared" si="9"/>
        <v>0</v>
      </c>
      <c r="BQ39" s="85"/>
    </row>
    <row r="40" spans="2:70" x14ac:dyDescent="0.35">
      <c r="B40" t="s">
        <v>175</v>
      </c>
      <c r="C40" s="114">
        <f>F$17*Assumptions!$C102</f>
        <v>3.5809303199999993</v>
      </c>
      <c r="D40" s="114">
        <f>F$17*Assumptions!$C102</f>
        <v>3.5809303199999993</v>
      </c>
      <c r="E40" s="115">
        <f t="shared" si="0"/>
        <v>42.971163839999988</v>
      </c>
      <c r="I40" t="s">
        <v>175</v>
      </c>
      <c r="J40" s="114">
        <f>M$17*Assumptions!$C102</f>
        <v>4.4761629000000012</v>
      </c>
      <c r="K40" s="114">
        <f>M$17*Assumptions!$C102</f>
        <v>4.4761629000000012</v>
      </c>
      <c r="L40" s="115">
        <f t="shared" si="1"/>
        <v>53.71395480000001</v>
      </c>
      <c r="P40" t="s">
        <v>175</v>
      </c>
      <c r="Q40" s="114">
        <f>T$17*Assumptions!$C102</f>
        <v>5.3713954799999986</v>
      </c>
      <c r="R40" s="114">
        <f>T$17*Assumptions!$C102</f>
        <v>5.3713954799999986</v>
      </c>
      <c r="S40" s="115">
        <f t="shared" si="2"/>
        <v>64.45674575999999</v>
      </c>
      <c r="W40" t="s">
        <v>175</v>
      </c>
      <c r="X40" s="114">
        <f>AA$17*Assumptions!$C102</f>
        <v>6.2666280599999995</v>
      </c>
      <c r="Y40" s="114">
        <f>AA$17*Assumptions!$C102</f>
        <v>6.2666280599999995</v>
      </c>
      <c r="Z40" s="115">
        <f t="shared" si="3"/>
        <v>75.199536719999998</v>
      </c>
      <c r="AD40" t="s">
        <v>175</v>
      </c>
      <c r="AE40" s="114">
        <f>AH$17*Assumptions!$C102</f>
        <v>0</v>
      </c>
      <c r="AF40" s="114">
        <f>AH$17*Assumptions!$C102</f>
        <v>0</v>
      </c>
      <c r="AG40" s="115">
        <f t="shared" si="4"/>
        <v>0</v>
      </c>
      <c r="AK40" t="s">
        <v>175</v>
      </c>
      <c r="AL40" s="114">
        <f>AO$17*Assumptions!$C102</f>
        <v>0</v>
      </c>
      <c r="AM40" s="114">
        <f>AO$17*Assumptions!$C102</f>
        <v>0</v>
      </c>
      <c r="AN40" s="115">
        <f t="shared" si="5"/>
        <v>0</v>
      </c>
      <c r="AR40" t="s">
        <v>175</v>
      </c>
      <c r="AS40" s="114">
        <f>AV$17*Assumptions!$C102</f>
        <v>0</v>
      </c>
      <c r="AT40" s="114">
        <f>AV$17*Assumptions!$C102</f>
        <v>0</v>
      </c>
      <c r="AU40" s="115">
        <f t="shared" si="6"/>
        <v>0</v>
      </c>
      <c r="AY40" t="s">
        <v>175</v>
      </c>
      <c r="AZ40" s="114">
        <f>BC$17*Assumptions!$C102</f>
        <v>0</v>
      </c>
      <c r="BA40" s="114">
        <f>BC$17*Assumptions!$C102</f>
        <v>0</v>
      </c>
      <c r="BB40" s="115">
        <f t="shared" si="7"/>
        <v>0</v>
      </c>
      <c r="BF40" t="s">
        <v>175</v>
      </c>
      <c r="BG40" s="114">
        <f>BJ$17*Assumptions!$C102</f>
        <v>0</v>
      </c>
      <c r="BH40" s="114">
        <f>BJ$17*Assumptions!$C102</f>
        <v>0</v>
      </c>
      <c r="BI40" s="115">
        <f t="shared" si="8"/>
        <v>0</v>
      </c>
      <c r="BM40" t="s">
        <v>175</v>
      </c>
      <c r="BN40" s="114">
        <f>BQ$17*Assumptions!$C102</f>
        <v>0</v>
      </c>
      <c r="BO40" s="114">
        <f>BQ$17*Assumptions!$C102</f>
        <v>0</v>
      </c>
      <c r="BP40" s="115">
        <f t="shared" si="9"/>
        <v>0</v>
      </c>
    </row>
    <row r="41" spans="2:70" x14ac:dyDescent="0.35">
      <c r="B41" t="s">
        <v>176</v>
      </c>
      <c r="C41" s="114">
        <f>F$17*Assumptions!$C103</f>
        <v>8.6145839999999987E-2</v>
      </c>
      <c r="D41" s="114">
        <f>F$17*Assumptions!$C103</f>
        <v>8.6145839999999987E-2</v>
      </c>
      <c r="E41" s="115">
        <f t="shared" si="0"/>
        <v>1.0337500799999999</v>
      </c>
      <c r="I41" t="s">
        <v>176</v>
      </c>
      <c r="J41" s="114">
        <f>M$17*Assumptions!$C103</f>
        <v>0.10768230000000004</v>
      </c>
      <c r="K41" s="114">
        <f>M$17*Assumptions!$C103</f>
        <v>0.10768230000000004</v>
      </c>
      <c r="L41" s="115">
        <f t="shared" si="1"/>
        <v>1.2921876000000005</v>
      </c>
      <c r="P41" t="s">
        <v>176</v>
      </c>
      <c r="Q41" s="114">
        <f>T$17*Assumptions!$C103</f>
        <v>0.12921875999999999</v>
      </c>
      <c r="R41" s="114">
        <f>T$17*Assumptions!$C103</f>
        <v>0.12921875999999999</v>
      </c>
      <c r="S41" s="115">
        <f t="shared" si="2"/>
        <v>1.5506251199999999</v>
      </c>
      <c r="W41" t="s">
        <v>176</v>
      </c>
      <c r="X41" s="114">
        <f>AA$17*Assumptions!$C103</f>
        <v>0.15075522</v>
      </c>
      <c r="Y41" s="114">
        <f>AA$17*Assumptions!$C103</f>
        <v>0.15075522</v>
      </c>
      <c r="Z41" s="115">
        <f t="shared" si="3"/>
        <v>1.8090626400000001</v>
      </c>
      <c r="AD41" t="s">
        <v>176</v>
      </c>
      <c r="AE41" s="114">
        <f>AH$17*Assumptions!$C103</f>
        <v>0</v>
      </c>
      <c r="AF41" s="114">
        <f>AH$17*Assumptions!$C103</f>
        <v>0</v>
      </c>
      <c r="AG41" s="115">
        <f t="shared" si="4"/>
        <v>0</v>
      </c>
      <c r="AK41" t="s">
        <v>176</v>
      </c>
      <c r="AL41" s="114">
        <f>AO$17*Assumptions!$C103</f>
        <v>0</v>
      </c>
      <c r="AM41" s="114">
        <f>AO$17*Assumptions!$C103</f>
        <v>0</v>
      </c>
      <c r="AN41" s="115">
        <f t="shared" si="5"/>
        <v>0</v>
      </c>
      <c r="AR41" t="s">
        <v>176</v>
      </c>
      <c r="AS41" s="114">
        <f>AV$17*Assumptions!$C103</f>
        <v>0</v>
      </c>
      <c r="AT41" s="114">
        <f>AV$17*Assumptions!$C103</f>
        <v>0</v>
      </c>
      <c r="AU41" s="115">
        <f t="shared" si="6"/>
        <v>0</v>
      </c>
      <c r="AY41" t="s">
        <v>176</v>
      </c>
      <c r="AZ41" s="114">
        <f>BC$17*Assumptions!$C103</f>
        <v>0</v>
      </c>
      <c r="BA41" s="114">
        <f>BC$17*Assumptions!$C103</f>
        <v>0</v>
      </c>
      <c r="BB41" s="115">
        <f t="shared" si="7"/>
        <v>0</v>
      </c>
      <c r="BF41" t="s">
        <v>176</v>
      </c>
      <c r="BG41" s="114">
        <f>BJ$17*Assumptions!$C103</f>
        <v>0</v>
      </c>
      <c r="BH41" s="114">
        <f>BJ$17*Assumptions!$C103</f>
        <v>0</v>
      </c>
      <c r="BI41" s="115">
        <f t="shared" si="8"/>
        <v>0</v>
      </c>
      <c r="BM41" t="s">
        <v>176</v>
      </c>
      <c r="BN41" s="114">
        <f>BQ$17*Assumptions!$C103</f>
        <v>0</v>
      </c>
      <c r="BO41" s="114">
        <f>BQ$17*Assumptions!$C103</f>
        <v>0</v>
      </c>
      <c r="BP41" s="115">
        <f t="shared" si="9"/>
        <v>0</v>
      </c>
    </row>
    <row r="42" spans="2:70" x14ac:dyDescent="0.35">
      <c r="B42" t="s">
        <v>177</v>
      </c>
      <c r="C42" s="114">
        <f>F$17*Assumptions!$C104</f>
        <v>1.5417599999999994E-3</v>
      </c>
      <c r="D42" s="114">
        <f>F$17*Assumptions!$C104</f>
        <v>1.5417599999999994E-3</v>
      </c>
      <c r="E42" s="115">
        <f t="shared" si="0"/>
        <v>1.8501119999999992E-2</v>
      </c>
      <c r="I42" t="s">
        <v>177</v>
      </c>
      <c r="J42" s="114">
        <f>M$17*Assumptions!$C104</f>
        <v>1.9272000000000002E-3</v>
      </c>
      <c r="K42" s="114">
        <f>M$17*Assumptions!$C104</f>
        <v>1.9272000000000002E-3</v>
      </c>
      <c r="L42" s="115">
        <f t="shared" si="1"/>
        <v>2.3126400000000002E-2</v>
      </c>
      <c r="P42" t="s">
        <v>177</v>
      </c>
      <c r="Q42" s="114">
        <f>T$17*Assumptions!$C104</f>
        <v>2.3126399999999991E-3</v>
      </c>
      <c r="R42" s="114">
        <f>T$17*Assumptions!$C104</f>
        <v>2.3126399999999991E-3</v>
      </c>
      <c r="S42" s="115">
        <f t="shared" si="2"/>
        <v>2.7751679999999987E-2</v>
      </c>
      <c r="W42" t="s">
        <v>177</v>
      </c>
      <c r="X42" s="114">
        <f>AA$17*Assumptions!$C104</f>
        <v>2.6980799999999994E-3</v>
      </c>
      <c r="Y42" s="114">
        <f>AA$17*Assumptions!$C104</f>
        <v>2.6980799999999994E-3</v>
      </c>
      <c r="Z42" s="115">
        <f t="shared" si="3"/>
        <v>3.2376959999999996E-2</v>
      </c>
      <c r="AD42" t="s">
        <v>177</v>
      </c>
      <c r="AE42" s="114">
        <f>AH$17*Assumptions!$C104</f>
        <v>0</v>
      </c>
      <c r="AF42" s="114">
        <f>AH$17*Assumptions!$C104</f>
        <v>0</v>
      </c>
      <c r="AG42" s="115">
        <f t="shared" si="4"/>
        <v>0</v>
      </c>
      <c r="AK42" t="s">
        <v>177</v>
      </c>
      <c r="AL42" s="114">
        <f>AO$17*Assumptions!$C104</f>
        <v>0</v>
      </c>
      <c r="AM42" s="114">
        <f>AO$17*Assumptions!$C104</f>
        <v>0</v>
      </c>
      <c r="AN42" s="115">
        <f t="shared" si="5"/>
        <v>0</v>
      </c>
      <c r="AR42" t="s">
        <v>177</v>
      </c>
      <c r="AS42" s="114">
        <f>AV$17*Assumptions!$C104</f>
        <v>0</v>
      </c>
      <c r="AT42" s="114">
        <f>AV$17*Assumptions!$C104</f>
        <v>0</v>
      </c>
      <c r="AU42" s="115">
        <f t="shared" si="6"/>
        <v>0</v>
      </c>
      <c r="AY42" t="s">
        <v>177</v>
      </c>
      <c r="AZ42" s="114">
        <f>BC$17*Assumptions!$C104</f>
        <v>0</v>
      </c>
      <c r="BA42" s="114">
        <f>BC$17*Assumptions!$C104</f>
        <v>0</v>
      </c>
      <c r="BB42" s="115">
        <f t="shared" si="7"/>
        <v>0</v>
      </c>
      <c r="BF42" t="s">
        <v>177</v>
      </c>
      <c r="BG42" s="114">
        <f>BJ$17*Assumptions!$C104</f>
        <v>0</v>
      </c>
      <c r="BH42" s="114">
        <f>BJ$17*Assumptions!$C104</f>
        <v>0</v>
      </c>
      <c r="BI42" s="115">
        <f t="shared" si="8"/>
        <v>0</v>
      </c>
      <c r="BM42" t="s">
        <v>177</v>
      </c>
      <c r="BN42" s="114">
        <f>BQ$17*Assumptions!$C104</f>
        <v>0</v>
      </c>
      <c r="BO42" s="114">
        <f>BQ$17*Assumptions!$C104</f>
        <v>0</v>
      </c>
      <c r="BP42" s="115">
        <f t="shared" si="9"/>
        <v>0</v>
      </c>
    </row>
    <row r="43" spans="2:70" x14ac:dyDescent="0.35">
      <c r="B43" t="s">
        <v>178</v>
      </c>
      <c r="C43" s="114">
        <f>F$17*Assumptions!$C105</f>
        <v>0</v>
      </c>
      <c r="D43" s="114">
        <f>F$17*Assumptions!$C105</f>
        <v>0</v>
      </c>
      <c r="E43" s="115">
        <f t="shared" si="0"/>
        <v>0</v>
      </c>
      <c r="I43" t="s">
        <v>178</v>
      </c>
      <c r="J43" s="114">
        <f>M$17*Assumptions!$C105</f>
        <v>0</v>
      </c>
      <c r="K43" s="114">
        <f>M$17*Assumptions!$C105</f>
        <v>0</v>
      </c>
      <c r="L43" s="115">
        <f t="shared" si="1"/>
        <v>0</v>
      </c>
      <c r="P43" t="s">
        <v>178</v>
      </c>
      <c r="Q43" s="114">
        <f>T$17*Assumptions!$C105</f>
        <v>0</v>
      </c>
      <c r="R43" s="114">
        <f>T$17*Assumptions!$C105</f>
        <v>0</v>
      </c>
      <c r="S43" s="115">
        <f t="shared" si="2"/>
        <v>0</v>
      </c>
      <c r="W43" t="s">
        <v>178</v>
      </c>
      <c r="X43" s="114">
        <f>AA$17*Assumptions!$C105</f>
        <v>0</v>
      </c>
      <c r="Y43" s="114">
        <f>AA$17*Assumptions!$C105</f>
        <v>0</v>
      </c>
      <c r="Z43" s="115">
        <f t="shared" si="3"/>
        <v>0</v>
      </c>
      <c r="AD43" t="s">
        <v>178</v>
      </c>
      <c r="AE43" s="114">
        <f>AH$17*Assumptions!$C105</f>
        <v>0</v>
      </c>
      <c r="AF43" s="114">
        <f>AH$17*Assumptions!$C105</f>
        <v>0</v>
      </c>
      <c r="AG43" s="115">
        <f t="shared" si="4"/>
        <v>0</v>
      </c>
      <c r="AK43" t="s">
        <v>178</v>
      </c>
      <c r="AL43" s="114">
        <f>AO$17*Assumptions!$C105</f>
        <v>0</v>
      </c>
      <c r="AM43" s="114">
        <f>AO$17*Assumptions!$C105</f>
        <v>0</v>
      </c>
      <c r="AN43" s="115">
        <f t="shared" si="5"/>
        <v>0</v>
      </c>
      <c r="AR43" t="s">
        <v>178</v>
      </c>
      <c r="AS43" s="114">
        <f>AV$17*Assumptions!$C105</f>
        <v>0</v>
      </c>
      <c r="AT43" s="114">
        <f>AV$17*Assumptions!$C105</f>
        <v>0</v>
      </c>
      <c r="AU43" s="115">
        <f t="shared" si="6"/>
        <v>0</v>
      </c>
      <c r="AY43" t="s">
        <v>178</v>
      </c>
      <c r="AZ43" s="114">
        <f>BC$17*Assumptions!$C105</f>
        <v>0</v>
      </c>
      <c r="BA43" s="114">
        <f>BC$17*Assumptions!$C105</f>
        <v>0</v>
      </c>
      <c r="BB43" s="115">
        <f t="shared" si="7"/>
        <v>0</v>
      </c>
      <c r="BF43" t="s">
        <v>178</v>
      </c>
      <c r="BG43" s="114">
        <f>BJ$17*Assumptions!$C105</f>
        <v>0</v>
      </c>
      <c r="BH43" s="114">
        <f>BJ$17*Assumptions!$C105</f>
        <v>0</v>
      </c>
      <c r="BI43" s="115">
        <f t="shared" si="8"/>
        <v>0</v>
      </c>
      <c r="BM43" t="s">
        <v>178</v>
      </c>
      <c r="BN43" s="114">
        <f>BQ$17*Assumptions!$C105</f>
        <v>0</v>
      </c>
      <c r="BO43" s="114">
        <f>BQ$17*Assumptions!$C105</f>
        <v>0</v>
      </c>
      <c r="BP43" s="115">
        <f t="shared" si="9"/>
        <v>0</v>
      </c>
    </row>
    <row r="44" spans="2:70" x14ac:dyDescent="0.35">
      <c r="B44" t="s">
        <v>180</v>
      </c>
      <c r="C44" s="114">
        <f>F$17*Assumptions!$C106</f>
        <v>11.794463999999998</v>
      </c>
      <c r="D44" s="114">
        <f>F$17*Assumptions!$C106</f>
        <v>11.794463999999998</v>
      </c>
      <c r="E44" s="115">
        <f t="shared" si="0"/>
        <v>141.53356799999997</v>
      </c>
      <c r="I44" t="s">
        <v>180</v>
      </c>
      <c r="J44" s="114">
        <f>M$17*Assumptions!$C106</f>
        <v>14.743080000000004</v>
      </c>
      <c r="K44" s="114">
        <f>M$17*Assumptions!$C106</f>
        <v>14.743080000000004</v>
      </c>
      <c r="L44" s="115">
        <f t="shared" si="1"/>
        <v>176.91696000000005</v>
      </c>
      <c r="P44" t="s">
        <v>180</v>
      </c>
      <c r="Q44" s="114">
        <f>T$17*Assumptions!$C106</f>
        <v>17.691695999999997</v>
      </c>
      <c r="R44" s="114">
        <f>T$17*Assumptions!$C106</f>
        <v>17.691695999999997</v>
      </c>
      <c r="S44" s="115">
        <f t="shared" si="2"/>
        <v>212.30035199999998</v>
      </c>
      <c r="W44" t="s">
        <v>180</v>
      </c>
      <c r="X44" s="114">
        <f>AA$17*Assumptions!$C106</f>
        <v>20.640311999999998</v>
      </c>
      <c r="Y44" s="114">
        <f>AA$17*Assumptions!$C106</f>
        <v>20.640311999999998</v>
      </c>
      <c r="Z44" s="115">
        <f t="shared" si="3"/>
        <v>247.68374399999999</v>
      </c>
      <c r="AD44" t="s">
        <v>180</v>
      </c>
      <c r="AE44" s="114">
        <f>AH$17*Assumptions!$C106</f>
        <v>0</v>
      </c>
      <c r="AF44" s="114">
        <f>AH$17*Assumptions!$C106</f>
        <v>0</v>
      </c>
      <c r="AG44" s="115">
        <f t="shared" si="4"/>
        <v>0</v>
      </c>
      <c r="AK44" t="s">
        <v>180</v>
      </c>
      <c r="AL44" s="114">
        <f>AO$17*Assumptions!$C106</f>
        <v>0</v>
      </c>
      <c r="AM44" s="114">
        <f>AO$17*Assumptions!$C106</f>
        <v>0</v>
      </c>
      <c r="AN44" s="115">
        <f t="shared" si="5"/>
        <v>0</v>
      </c>
      <c r="AR44" t="s">
        <v>180</v>
      </c>
      <c r="AS44" s="114">
        <f>AV$17*Assumptions!$C106</f>
        <v>0</v>
      </c>
      <c r="AT44" s="114">
        <f>AV$17*Assumptions!$C106</f>
        <v>0</v>
      </c>
      <c r="AU44" s="115">
        <f t="shared" si="6"/>
        <v>0</v>
      </c>
      <c r="AY44" t="s">
        <v>180</v>
      </c>
      <c r="AZ44" s="114">
        <f>BC$17*Assumptions!$C106</f>
        <v>0</v>
      </c>
      <c r="BA44" s="114">
        <f>BC$17*Assumptions!$C106</f>
        <v>0</v>
      </c>
      <c r="BB44" s="115">
        <f t="shared" si="7"/>
        <v>0</v>
      </c>
      <c r="BF44" t="s">
        <v>180</v>
      </c>
      <c r="BG44" s="114">
        <f>BJ$17*Assumptions!$C106</f>
        <v>0</v>
      </c>
      <c r="BH44" s="114">
        <f>BJ$17*Assumptions!$C106</f>
        <v>0</v>
      </c>
      <c r="BI44" s="115">
        <f t="shared" si="8"/>
        <v>0</v>
      </c>
      <c r="BM44" t="s">
        <v>180</v>
      </c>
      <c r="BN44" s="114">
        <f>BQ$17*Assumptions!$C106</f>
        <v>0</v>
      </c>
      <c r="BO44" s="114">
        <f>BQ$17*Assumptions!$C106</f>
        <v>0</v>
      </c>
      <c r="BP44" s="115">
        <f t="shared" si="9"/>
        <v>0</v>
      </c>
    </row>
    <row r="45" spans="2:70" x14ac:dyDescent="0.35">
      <c r="B45" t="s">
        <v>181</v>
      </c>
      <c r="C45" s="114">
        <f>F$17*Assumptions!$C107</f>
        <v>0</v>
      </c>
      <c r="D45" s="114">
        <f>F$17*Assumptions!$C107</f>
        <v>0</v>
      </c>
      <c r="E45" s="115">
        <f t="shared" si="0"/>
        <v>0</v>
      </c>
      <c r="I45" t="s">
        <v>181</v>
      </c>
      <c r="J45" s="114">
        <f>M$17*Assumptions!$C107</f>
        <v>0</v>
      </c>
      <c r="K45" s="114">
        <f>M$17*Assumptions!$C107</f>
        <v>0</v>
      </c>
      <c r="L45" s="115">
        <f t="shared" si="1"/>
        <v>0</v>
      </c>
      <c r="P45" t="s">
        <v>181</v>
      </c>
      <c r="Q45" s="114">
        <f>T$17*Assumptions!$C107</f>
        <v>0</v>
      </c>
      <c r="R45" s="114">
        <f>T$17*Assumptions!$C107</f>
        <v>0</v>
      </c>
      <c r="S45" s="115">
        <f t="shared" si="2"/>
        <v>0</v>
      </c>
      <c r="W45" t="s">
        <v>181</v>
      </c>
      <c r="X45" s="114">
        <f>AA$17*Assumptions!$C107</f>
        <v>0</v>
      </c>
      <c r="Y45" s="114">
        <f>AA$17*Assumptions!$C107</f>
        <v>0</v>
      </c>
      <c r="Z45" s="115">
        <f t="shared" si="3"/>
        <v>0</v>
      </c>
      <c r="AD45" t="s">
        <v>181</v>
      </c>
      <c r="AE45" s="114">
        <f>AH$17*Assumptions!$C107</f>
        <v>0</v>
      </c>
      <c r="AF45" s="114">
        <f>AH$17*Assumptions!$C107</f>
        <v>0</v>
      </c>
      <c r="AG45" s="115">
        <f t="shared" si="4"/>
        <v>0</v>
      </c>
      <c r="AK45" t="s">
        <v>181</v>
      </c>
      <c r="AL45" s="114">
        <f>AO$17*Assumptions!$C107</f>
        <v>0</v>
      </c>
      <c r="AM45" s="114">
        <f>AO$17*Assumptions!$C107</f>
        <v>0</v>
      </c>
      <c r="AN45" s="115">
        <f t="shared" si="5"/>
        <v>0</v>
      </c>
      <c r="AR45" t="s">
        <v>181</v>
      </c>
      <c r="AS45" s="114">
        <f>AV$17*Assumptions!$C107</f>
        <v>0</v>
      </c>
      <c r="AT45" s="114">
        <f>AV$17*Assumptions!$C107</f>
        <v>0</v>
      </c>
      <c r="AU45" s="115">
        <f t="shared" si="6"/>
        <v>0</v>
      </c>
      <c r="AY45" t="s">
        <v>181</v>
      </c>
      <c r="AZ45" s="114">
        <f>BC$17*Assumptions!$C107</f>
        <v>0</v>
      </c>
      <c r="BA45" s="114">
        <f>BC$17*Assumptions!$C107</f>
        <v>0</v>
      </c>
      <c r="BB45" s="115">
        <f t="shared" si="7"/>
        <v>0</v>
      </c>
      <c r="BF45" t="s">
        <v>181</v>
      </c>
      <c r="BG45" s="114">
        <f>BJ$17*Assumptions!$C107</f>
        <v>0</v>
      </c>
      <c r="BH45" s="114">
        <f>BJ$17*Assumptions!$C107</f>
        <v>0</v>
      </c>
      <c r="BI45" s="115">
        <f t="shared" si="8"/>
        <v>0</v>
      </c>
      <c r="BM45" t="s">
        <v>181</v>
      </c>
      <c r="BN45" s="114">
        <f>BQ$17*Assumptions!$C107</f>
        <v>0</v>
      </c>
      <c r="BO45" s="114">
        <f>BQ$17*Assumptions!$C107</f>
        <v>0</v>
      </c>
      <c r="BP45" s="115">
        <f t="shared" si="9"/>
        <v>0</v>
      </c>
    </row>
    <row r="46" spans="2:70" x14ac:dyDescent="0.35">
      <c r="B46" s="22" t="s">
        <v>233</v>
      </c>
      <c r="C46" s="114">
        <f>SUM(C36:C45)</f>
        <v>69.83512927999999</v>
      </c>
      <c r="D46" s="114">
        <f>SUM(D36:D45)</f>
        <v>69.83512927999999</v>
      </c>
      <c r="E46" s="114">
        <f>SUM(E36:E45)</f>
        <v>838.02155135999976</v>
      </c>
      <c r="I46" s="22" t="s">
        <v>233</v>
      </c>
      <c r="J46" s="114">
        <f>SUM(J36:J45)</f>
        <v>86.973911600000022</v>
      </c>
      <c r="K46" s="114">
        <f>SUM(K36:K45)</f>
        <v>86.973911600000022</v>
      </c>
      <c r="L46" s="114">
        <f>SUM(L36:L45)</f>
        <v>1043.6869392000003</v>
      </c>
      <c r="P46" s="22" t="s">
        <v>233</v>
      </c>
      <c r="Q46" s="114">
        <f>SUM(Q36:Q45)</f>
        <v>104.11269391999997</v>
      </c>
      <c r="R46" s="114">
        <f>SUM(R36:R45)</f>
        <v>104.11269391999997</v>
      </c>
      <c r="S46" s="114">
        <f>SUM(S36:S45)</f>
        <v>1249.3523270399996</v>
      </c>
      <c r="W46" s="22" t="s">
        <v>233</v>
      </c>
      <c r="X46" s="114">
        <f>SUM(X36:X45)</f>
        <v>121.25147623999997</v>
      </c>
      <c r="Y46" s="114">
        <f>SUM(Y36:Y45)</f>
        <v>121.25147623999997</v>
      </c>
      <c r="Z46" s="114">
        <f>SUM(Z36:Z45)</f>
        <v>1455.0177148799996</v>
      </c>
      <c r="AD46" s="22" t="s">
        <v>233</v>
      </c>
      <c r="AE46" s="114">
        <f>SUM(AE36:AE45)</f>
        <v>1.28</v>
      </c>
      <c r="AF46" s="114">
        <f>SUM(AF36:AF45)</f>
        <v>1.28</v>
      </c>
      <c r="AG46" s="114">
        <f>SUM(AG36:AG45)</f>
        <v>15.36</v>
      </c>
      <c r="AK46" s="22" t="s">
        <v>233</v>
      </c>
      <c r="AL46" s="114">
        <f>SUM(AL36:AL45)</f>
        <v>1.28</v>
      </c>
      <c r="AM46" s="114">
        <f>SUM(AM36:AM45)</f>
        <v>1.28</v>
      </c>
      <c r="AN46" s="114">
        <f>SUM(AN36:AN45)</f>
        <v>15.36</v>
      </c>
      <c r="AR46" s="22" t="s">
        <v>233</v>
      </c>
      <c r="AS46" s="114">
        <f>SUM(AS36:AS45)</f>
        <v>1.28</v>
      </c>
      <c r="AT46" s="114">
        <f>SUM(AT36:AT45)</f>
        <v>1.28</v>
      </c>
      <c r="AU46" s="114">
        <f>SUM(AU36:AU45)</f>
        <v>15.36</v>
      </c>
      <c r="AY46" s="22" t="s">
        <v>233</v>
      </c>
      <c r="AZ46" s="114">
        <f>SUM(AZ36:AZ45)</f>
        <v>1.28</v>
      </c>
      <c r="BA46" s="114">
        <f>SUM(BA36:BA45)</f>
        <v>1.28</v>
      </c>
      <c r="BB46" s="114">
        <f>SUM(BB36:BB45)</f>
        <v>15.36</v>
      </c>
      <c r="BF46" s="22" t="s">
        <v>233</v>
      </c>
      <c r="BG46" s="114">
        <f>SUM(BG36:BG45)</f>
        <v>1.28</v>
      </c>
      <c r="BH46" s="114">
        <f>SUM(BH36:BH45)</f>
        <v>1.28</v>
      </c>
      <c r="BI46" s="114">
        <f>SUM(BI36:BI45)</f>
        <v>15.36</v>
      </c>
      <c r="BM46" s="22" t="s">
        <v>233</v>
      </c>
      <c r="BN46" s="114">
        <f>SUM(BN36:BN45)</f>
        <v>1.28</v>
      </c>
      <c r="BO46" s="114">
        <f>SUM(BO36:BO45)</f>
        <v>1.28</v>
      </c>
      <c r="BP46" s="114">
        <f>SUM(BP36:BP45)</f>
        <v>15.36</v>
      </c>
    </row>
    <row r="47" spans="2:70" x14ac:dyDescent="0.35">
      <c r="B47" s="22"/>
      <c r="C47" s="114"/>
      <c r="D47" s="114"/>
      <c r="I47" s="22"/>
      <c r="J47" s="114"/>
      <c r="K47" s="114"/>
      <c r="P47" s="22"/>
      <c r="Q47" s="114"/>
      <c r="R47" s="114"/>
      <c r="W47" s="22"/>
      <c r="X47" s="114"/>
      <c r="Y47" s="114"/>
      <c r="AD47" s="22"/>
      <c r="AE47" s="114"/>
      <c r="AF47" s="114"/>
      <c r="AK47" s="22"/>
      <c r="AL47" s="114"/>
      <c r="AM47" s="114"/>
      <c r="AR47" s="22"/>
      <c r="AS47" s="114"/>
      <c r="AT47" s="114"/>
      <c r="AY47" s="22"/>
      <c r="AZ47" s="114"/>
      <c r="BA47" s="114"/>
      <c r="BF47" s="22"/>
      <c r="BG47" s="114"/>
      <c r="BH47" s="114"/>
      <c r="BM47" s="22"/>
      <c r="BN47" s="114"/>
      <c r="BO47" s="114"/>
    </row>
    <row r="48" spans="2:70" x14ac:dyDescent="0.35">
      <c r="B48" t="s">
        <v>234</v>
      </c>
      <c r="C48" s="114">
        <f>+C32+C46</f>
        <v>1403.10216928</v>
      </c>
      <c r="D48" s="114">
        <f>+D32+D46</f>
        <v>1149.2675692800001</v>
      </c>
      <c r="E48" s="115">
        <f>(C48*4)+(D48*8)</f>
        <v>14806.549231360001</v>
      </c>
      <c r="I48" t="s">
        <v>234</v>
      </c>
      <c r="J48" s="114">
        <f>+J32+J46</f>
        <v>1432.3823115999999</v>
      </c>
      <c r="K48" s="114">
        <f>+K32+K46</f>
        <v>1178.5477116</v>
      </c>
      <c r="L48" s="115">
        <f>(J48*4)+(K48*8)</f>
        <v>15157.910939199999</v>
      </c>
      <c r="P48" t="s">
        <v>234</v>
      </c>
      <c r="Q48" s="114">
        <f>+Q32+Q46</f>
        <v>1461.6624539199997</v>
      </c>
      <c r="R48" s="114">
        <f>+R32+R46</f>
        <v>1207.8278539200001</v>
      </c>
      <c r="S48" s="115">
        <f>(Q48*4)+(R48*8)</f>
        <v>15509.272647039999</v>
      </c>
      <c r="W48" t="s">
        <v>234</v>
      </c>
      <c r="X48" s="114">
        <f>+X32+X46</f>
        <v>1490.9425962399998</v>
      </c>
      <c r="Y48" s="114">
        <f>+Y32+Y46</f>
        <v>1237.1079962399999</v>
      </c>
      <c r="Z48" s="115">
        <f>(X48*4)+(Y48*8)</f>
        <v>15860.63435488</v>
      </c>
      <c r="AD48" t="s">
        <v>234</v>
      </c>
      <c r="AE48" s="114">
        <f>+AE32+AE46</f>
        <v>1285.9815999999998</v>
      </c>
      <c r="AF48" s="114">
        <f>+AF32+AF46</f>
        <v>1032.1469999999999</v>
      </c>
      <c r="AG48" s="115">
        <f>(AE48*4)+(AF48*8)</f>
        <v>13401.1024</v>
      </c>
      <c r="AK48" t="s">
        <v>234</v>
      </c>
      <c r="AL48" s="114">
        <f>+AL32+AL46</f>
        <v>1285.9815999999998</v>
      </c>
      <c r="AM48" s="114">
        <f>+AM32+AM46</f>
        <v>1032.1469999999999</v>
      </c>
      <c r="AN48" s="115">
        <f>(AL48*4)+(AM48*8)</f>
        <v>13401.1024</v>
      </c>
      <c r="AR48" t="s">
        <v>234</v>
      </c>
      <c r="AS48" s="114">
        <f>+AS32+AS46</f>
        <v>1285.9815999999998</v>
      </c>
      <c r="AT48" s="114">
        <f>+AT32+AT46</f>
        <v>1032.1469999999999</v>
      </c>
      <c r="AU48" s="115">
        <f>(AS48*4)+(AT48*8)</f>
        <v>13401.1024</v>
      </c>
      <c r="AY48" t="s">
        <v>234</v>
      </c>
      <c r="AZ48" s="114">
        <f>+AZ32+AZ46</f>
        <v>1285.9815999999998</v>
      </c>
      <c r="BA48" s="114">
        <f>+BA32+BA46</f>
        <v>1032.1469999999999</v>
      </c>
      <c r="BB48" s="115">
        <f>(AZ48*4)+(BA48*8)</f>
        <v>13401.1024</v>
      </c>
      <c r="BF48" t="s">
        <v>234</v>
      </c>
      <c r="BG48" s="114">
        <f>+BG32+BG46</f>
        <v>1285.9815999999998</v>
      </c>
      <c r="BH48" s="114">
        <f>+BH32+BH46</f>
        <v>1032.1469999999999</v>
      </c>
      <c r="BI48" s="115">
        <f>(BG48*4)+(BH48*8)</f>
        <v>13401.1024</v>
      </c>
      <c r="BM48" t="s">
        <v>234</v>
      </c>
      <c r="BN48" s="114">
        <f>+BN32+BN46</f>
        <v>1285.9815999999998</v>
      </c>
      <c r="BO48" s="114">
        <f>+BO32+BO46</f>
        <v>1032.1469999999999</v>
      </c>
      <c r="BP48" s="115">
        <f>(BN48*4)+(BO48*8)</f>
        <v>13401.1024</v>
      </c>
    </row>
    <row r="49" spans="2:69" x14ac:dyDescent="0.35">
      <c r="C49" s="117" t="s">
        <v>182</v>
      </c>
      <c r="D49" s="118">
        <v>2.5108999999999999E-2</v>
      </c>
      <c r="E49" s="119" t="s">
        <v>235</v>
      </c>
      <c r="J49" s="117" t="s">
        <v>182</v>
      </c>
      <c r="K49" s="118">
        <v>2.5108999999999999E-2</v>
      </c>
      <c r="L49" s="119" t="s">
        <v>235</v>
      </c>
      <c r="Q49" s="117" t="s">
        <v>182</v>
      </c>
      <c r="R49" s="118">
        <v>2.5108999999999999E-2</v>
      </c>
      <c r="S49" s="119" t="s">
        <v>235</v>
      </c>
      <c r="X49" s="117" t="s">
        <v>182</v>
      </c>
      <c r="Y49" s="118">
        <v>2.5108999999999999E-2</v>
      </c>
      <c r="Z49" s="119" t="s">
        <v>235</v>
      </c>
      <c r="AE49" s="117" t="s">
        <v>182</v>
      </c>
      <c r="AF49" s="118">
        <v>2.5108999999999999E-2</v>
      </c>
      <c r="AG49" s="119" t="s">
        <v>235</v>
      </c>
      <c r="AL49" s="117" t="s">
        <v>182</v>
      </c>
      <c r="AM49" s="118">
        <v>2.5108999999999999E-2</v>
      </c>
      <c r="AN49" s="119" t="s">
        <v>235</v>
      </c>
      <c r="AS49" s="117" t="s">
        <v>182</v>
      </c>
      <c r="AT49" s="118">
        <v>2.5108999999999999E-2</v>
      </c>
      <c r="AU49" s="119" t="s">
        <v>235</v>
      </c>
      <c r="AZ49" s="117" t="s">
        <v>182</v>
      </c>
      <c r="BA49" s="118">
        <v>2.5108999999999999E-2</v>
      </c>
      <c r="BB49" s="119" t="s">
        <v>235</v>
      </c>
      <c r="BG49" s="117" t="s">
        <v>182</v>
      </c>
      <c r="BH49" s="118">
        <v>2.5108999999999999E-2</v>
      </c>
      <c r="BI49" s="119" t="s">
        <v>235</v>
      </c>
      <c r="BN49" s="117" t="s">
        <v>182</v>
      </c>
      <c r="BO49" s="118">
        <v>2.5108999999999999E-2</v>
      </c>
      <c r="BP49" s="119" t="s">
        <v>235</v>
      </c>
    </row>
    <row r="50" spans="2:69" x14ac:dyDescent="0.35">
      <c r="B50" t="s">
        <v>182</v>
      </c>
      <c r="C50" s="116">
        <f>C48*$D$49</f>
        <v>35.230492368451522</v>
      </c>
      <c r="D50" s="116">
        <f>D48*$D$49</f>
        <v>28.856959397051522</v>
      </c>
      <c r="E50" s="120">
        <f>(C50*4)+(D50*8)</f>
        <v>371.77764465021824</v>
      </c>
      <c r="I50" t="s">
        <v>182</v>
      </c>
      <c r="J50" s="116">
        <f>J48*$D$49</f>
        <v>35.965687461964393</v>
      </c>
      <c r="K50" s="116">
        <f>K48*$D$49</f>
        <v>29.592154490564397</v>
      </c>
      <c r="L50" s="120">
        <f>(J50*4)+(K50*8)</f>
        <v>380.59998577237275</v>
      </c>
      <c r="P50" t="s">
        <v>182</v>
      </c>
      <c r="Q50" s="116">
        <f>Q48*$D$49</f>
        <v>36.700882555477271</v>
      </c>
      <c r="R50" s="116">
        <f>R48*$D$49</f>
        <v>30.327349584077279</v>
      </c>
      <c r="S50" s="120">
        <f>(Q50*4)+(R50*8)</f>
        <v>389.42232689452732</v>
      </c>
      <c r="W50" t="s">
        <v>182</v>
      </c>
      <c r="X50" s="116">
        <f>X48*$D$49</f>
        <v>37.436077648990157</v>
      </c>
      <c r="Y50" s="116">
        <f>Y48*$D$49</f>
        <v>31.062544677590157</v>
      </c>
      <c r="Z50" s="120">
        <f>(X50*4)+(Y50*8)</f>
        <v>398.24466801668189</v>
      </c>
      <c r="AD50" t="s">
        <v>182</v>
      </c>
      <c r="AE50" s="116">
        <f>AE48*$D$49</f>
        <v>32.289711994399994</v>
      </c>
      <c r="AF50" s="116">
        <f>AF48*$D$49</f>
        <v>25.916179022999998</v>
      </c>
      <c r="AG50" s="120">
        <f>(AE50*4)+(AF50*8)</f>
        <v>336.48828016159996</v>
      </c>
      <c r="AK50" t="s">
        <v>182</v>
      </c>
      <c r="AL50" s="116">
        <f>AL48*$D$49</f>
        <v>32.289711994399994</v>
      </c>
      <c r="AM50" s="116">
        <f>AM48*$D$49</f>
        <v>25.916179022999998</v>
      </c>
      <c r="AN50" s="120">
        <f>(AL50*4)+(AM50*8)</f>
        <v>336.48828016159996</v>
      </c>
      <c r="AR50" t="s">
        <v>182</v>
      </c>
      <c r="AS50" s="116">
        <f>AS48*$D$49</f>
        <v>32.289711994399994</v>
      </c>
      <c r="AT50" s="116">
        <f>AT48*$D$49</f>
        <v>25.916179022999998</v>
      </c>
      <c r="AU50" s="120">
        <f>(AS50*4)+(AT50*8)</f>
        <v>336.48828016159996</v>
      </c>
      <c r="AY50" t="s">
        <v>182</v>
      </c>
      <c r="AZ50" s="116">
        <f>AZ48*$D$49</f>
        <v>32.289711994399994</v>
      </c>
      <c r="BA50" s="116">
        <f>BA48*$D$49</f>
        <v>25.916179022999998</v>
      </c>
      <c r="BB50" s="120">
        <f>(AZ50*4)+(BA50*8)</f>
        <v>336.48828016159996</v>
      </c>
      <c r="BF50" t="s">
        <v>182</v>
      </c>
      <c r="BG50" s="116">
        <f>BG48*$D$49</f>
        <v>32.289711994399994</v>
      </c>
      <c r="BH50" s="116">
        <f>BH48*$D$49</f>
        <v>25.916179022999998</v>
      </c>
      <c r="BI50" s="120">
        <f>(BG50*4)+(BH50*8)</f>
        <v>336.48828016159996</v>
      </c>
      <c r="BM50" t="s">
        <v>182</v>
      </c>
      <c r="BN50" s="116">
        <f>BN48*$D$49</f>
        <v>32.289711994399994</v>
      </c>
      <c r="BO50" s="116">
        <f>BO48*$D$49</f>
        <v>25.916179022999998</v>
      </c>
      <c r="BP50" s="120">
        <f>(BN50*4)+(BO50*8)</f>
        <v>336.48828016159996</v>
      </c>
    </row>
    <row r="51" spans="2:69" x14ac:dyDescent="0.35">
      <c r="B51" s="9" t="s">
        <v>236</v>
      </c>
      <c r="C51" s="114">
        <f>+C48+C50</f>
        <v>1438.3326616484514</v>
      </c>
      <c r="D51" s="114">
        <f>+D48+D50</f>
        <v>1178.1245286770516</v>
      </c>
      <c r="E51" s="114">
        <f>SUM(E48:E50)</f>
        <v>15178.326876010218</v>
      </c>
      <c r="I51" s="9" t="s">
        <v>236</v>
      </c>
      <c r="J51" s="114">
        <f>+J48+J50</f>
        <v>1468.3479990619642</v>
      </c>
      <c r="K51" s="114">
        <f>+K48+K50</f>
        <v>1208.1398660905643</v>
      </c>
      <c r="L51" s="114">
        <f>SUM(L48:L50)</f>
        <v>15538.510924972372</v>
      </c>
      <c r="P51" s="9" t="s">
        <v>236</v>
      </c>
      <c r="Q51" s="114">
        <f>+Q48+Q50</f>
        <v>1498.3633364754769</v>
      </c>
      <c r="R51" s="114">
        <f>+R48+R50</f>
        <v>1238.1552035040772</v>
      </c>
      <c r="S51" s="114">
        <f>SUM(S48:S50)</f>
        <v>15898.694973934527</v>
      </c>
      <c r="W51" s="9" t="s">
        <v>236</v>
      </c>
      <c r="X51" s="114">
        <f>+X48+X50</f>
        <v>1528.3786738889901</v>
      </c>
      <c r="Y51" s="114">
        <f>+Y48+Y50</f>
        <v>1268.1705409175902</v>
      </c>
      <c r="Z51" s="114">
        <f>SUM(Z48:Z50)</f>
        <v>16258.879022896681</v>
      </c>
      <c r="AD51" s="9" t="s">
        <v>236</v>
      </c>
      <c r="AE51" s="114">
        <f>+AE48+AE50</f>
        <v>1318.2713119943999</v>
      </c>
      <c r="AF51" s="114">
        <f>+AF48+AF50</f>
        <v>1058.063179023</v>
      </c>
      <c r="AG51" s="114">
        <f>SUM(AG48:AG50)</f>
        <v>13737.5906801616</v>
      </c>
      <c r="AK51" s="9" t="s">
        <v>236</v>
      </c>
      <c r="AL51" s="114">
        <f>+AL48+AL50</f>
        <v>1318.2713119943999</v>
      </c>
      <c r="AM51" s="114">
        <f>+AM48+AM50</f>
        <v>1058.063179023</v>
      </c>
      <c r="AN51" s="114">
        <f>SUM(AN48:AN50)</f>
        <v>13737.5906801616</v>
      </c>
      <c r="AR51" s="9" t="s">
        <v>236</v>
      </c>
      <c r="AS51" s="114">
        <f>+AS48+AS50</f>
        <v>1318.2713119943999</v>
      </c>
      <c r="AT51" s="114">
        <f>+AT48+AT50</f>
        <v>1058.063179023</v>
      </c>
      <c r="AU51" s="114">
        <f>SUM(AU48:AU50)</f>
        <v>13737.5906801616</v>
      </c>
      <c r="AY51" s="9" t="s">
        <v>236</v>
      </c>
      <c r="AZ51" s="114">
        <f>+AZ48+AZ50</f>
        <v>1318.2713119943999</v>
      </c>
      <c r="BA51" s="114">
        <f>+BA48+BA50</f>
        <v>1058.063179023</v>
      </c>
      <c r="BB51" s="114">
        <f>SUM(BB48:BB50)</f>
        <v>13737.5906801616</v>
      </c>
      <c r="BF51" s="9" t="s">
        <v>236</v>
      </c>
      <c r="BG51" s="114">
        <f>+BG48+BG50</f>
        <v>1318.2713119943999</v>
      </c>
      <c r="BH51" s="114">
        <f>+BH48+BH50</f>
        <v>1058.063179023</v>
      </c>
      <c r="BI51" s="114">
        <f>SUM(BI48:BI50)</f>
        <v>13737.5906801616</v>
      </c>
      <c r="BM51" s="9" t="s">
        <v>236</v>
      </c>
      <c r="BN51" s="114">
        <f>+BN48+BN50</f>
        <v>1318.2713119943999</v>
      </c>
      <c r="BO51" s="114">
        <f>+BO48+BO50</f>
        <v>1058.063179023</v>
      </c>
      <c r="BP51" s="114">
        <f>SUM(BP48:BP50)</f>
        <v>13737.5906801616</v>
      </c>
    </row>
    <row r="53" spans="2:69" x14ac:dyDescent="0.35">
      <c r="B53" s="88" t="s">
        <v>237</v>
      </c>
      <c r="I53" s="88" t="s">
        <v>237</v>
      </c>
      <c r="P53" s="88" t="s">
        <v>237</v>
      </c>
      <c r="W53" s="88" t="s">
        <v>237</v>
      </c>
      <c r="AD53" s="88" t="s">
        <v>237</v>
      </c>
      <c r="AK53" s="88" t="s">
        <v>237</v>
      </c>
      <c r="AR53" s="88" t="s">
        <v>237</v>
      </c>
      <c r="AY53" s="88" t="s">
        <v>237</v>
      </c>
      <c r="BF53" s="88" t="s">
        <v>237</v>
      </c>
      <c r="BM53" s="88" t="s">
        <v>237</v>
      </c>
    </row>
    <row r="54" spans="2:69" x14ac:dyDescent="0.35">
      <c r="B54" t="s">
        <v>184</v>
      </c>
      <c r="C54" s="114">
        <f>F$14*Assumptions!$C111</f>
        <v>140.77139999999994</v>
      </c>
      <c r="D54" s="114">
        <f>F$14*Assumptions!$C111</f>
        <v>140.77139999999994</v>
      </c>
      <c r="E54" s="115">
        <f t="shared" ref="E54:E60" si="10">(C54*4)+(D54*8)</f>
        <v>1689.2567999999992</v>
      </c>
      <c r="F54" s="85"/>
      <c r="I54" t="s">
        <v>184</v>
      </c>
      <c r="J54" s="114">
        <f>M$14*Assumptions!$C111</f>
        <v>140.77139999999994</v>
      </c>
      <c r="K54" s="114">
        <f>M$14*Assumptions!$C111</f>
        <v>140.77139999999994</v>
      </c>
      <c r="L54" s="115">
        <f t="shared" ref="L54" si="11">(J54*4)+(K54*8)</f>
        <v>1689.2567999999992</v>
      </c>
      <c r="M54" s="85"/>
      <c r="P54" t="s">
        <v>184</v>
      </c>
      <c r="Q54" s="114">
        <f>T$14*Assumptions!$C111</f>
        <v>140.77139999999994</v>
      </c>
      <c r="R54" s="114">
        <f>T$14*Assumptions!$C111</f>
        <v>140.77139999999994</v>
      </c>
      <c r="S54" s="115">
        <f t="shared" ref="S54" si="12">(Q54*4)+(R54*8)</f>
        <v>1689.2567999999992</v>
      </c>
      <c r="T54" s="85"/>
      <c r="W54" t="s">
        <v>184</v>
      </c>
      <c r="X54" s="114">
        <f>AA$14*Assumptions!$C111</f>
        <v>140.77139999999994</v>
      </c>
      <c r="Y54" s="114">
        <f>AA$14*Assumptions!$C111</f>
        <v>140.77139999999994</v>
      </c>
      <c r="Z54" s="115">
        <f t="shared" ref="Z54" si="13">(X54*4)+(Y54*8)</f>
        <v>1689.2567999999992</v>
      </c>
      <c r="AA54" s="85"/>
      <c r="AD54" t="s">
        <v>184</v>
      </c>
      <c r="AE54" s="114">
        <f>AH$14*Assumptions!$C111</f>
        <v>140.77139999999994</v>
      </c>
      <c r="AF54" s="114">
        <f>AH$14*Assumptions!$C111</f>
        <v>140.77139999999994</v>
      </c>
      <c r="AG54" s="115">
        <f t="shared" ref="AG54" si="14">(AE54*4)+(AF54*8)</f>
        <v>1689.2567999999992</v>
      </c>
      <c r="AH54" s="85"/>
      <c r="AK54" t="s">
        <v>184</v>
      </c>
      <c r="AL54" s="114">
        <f>AO$14*Assumptions!$C111</f>
        <v>140.77139999999994</v>
      </c>
      <c r="AM54" s="114">
        <f>AO$14*Assumptions!$C111</f>
        <v>140.77139999999994</v>
      </c>
      <c r="AN54" s="115">
        <f t="shared" ref="AN54" si="15">(AL54*4)+(AM54*8)</f>
        <v>1689.2567999999992</v>
      </c>
      <c r="AO54" s="85"/>
      <c r="AR54" t="s">
        <v>184</v>
      </c>
      <c r="AS54" s="114">
        <f>AV$14*Assumptions!$C111</f>
        <v>140.77139999999994</v>
      </c>
      <c r="AT54" s="114">
        <f>AV$14*Assumptions!$C111</f>
        <v>140.77139999999994</v>
      </c>
      <c r="AU54" s="115">
        <f t="shared" ref="AU54" si="16">(AS54*4)+(AT54*8)</f>
        <v>1689.2567999999992</v>
      </c>
      <c r="AV54" s="85"/>
      <c r="AY54" t="s">
        <v>184</v>
      </c>
      <c r="AZ54" s="114">
        <f>BC$14*Assumptions!$C111</f>
        <v>140.77139999999994</v>
      </c>
      <c r="BA54" s="114">
        <f>BC$14*Assumptions!$C111</f>
        <v>140.77139999999994</v>
      </c>
      <c r="BB54" s="115">
        <f t="shared" ref="BB54" si="17">(AZ54*4)+(BA54*8)</f>
        <v>1689.2567999999992</v>
      </c>
      <c r="BC54" s="85"/>
      <c r="BF54" t="s">
        <v>184</v>
      </c>
      <c r="BG54" s="114">
        <f>BJ$14*Assumptions!$C111</f>
        <v>140.77139999999994</v>
      </c>
      <c r="BH54" s="114">
        <f>BJ$14*Assumptions!$C111</f>
        <v>140.77139999999994</v>
      </c>
      <c r="BI54" s="115">
        <f t="shared" ref="BI54" si="18">(BG54*4)+(BH54*8)</f>
        <v>1689.2567999999992</v>
      </c>
      <c r="BJ54" s="85"/>
      <c r="BM54" t="s">
        <v>184</v>
      </c>
      <c r="BN54" s="114">
        <f>BQ$14*Assumptions!$C111</f>
        <v>140.77139999999994</v>
      </c>
      <c r="BO54" s="114">
        <f>BQ$14*Assumptions!$C111</f>
        <v>140.77139999999994</v>
      </c>
      <c r="BP54" s="115">
        <f t="shared" ref="BP54" si="19">(BN54*4)+(BO54*8)</f>
        <v>1689.2567999999992</v>
      </c>
      <c r="BQ54" s="85"/>
    </row>
    <row r="55" spans="2:69" x14ac:dyDescent="0.35">
      <c r="B55" t="s">
        <v>186</v>
      </c>
      <c r="C55" s="114">
        <f>F$17*Assumptions!$C112</f>
        <v>73.69246631999998</v>
      </c>
      <c r="D55" s="114">
        <f>F$17*Assumptions!$C112</f>
        <v>73.69246631999998</v>
      </c>
      <c r="E55" s="115">
        <f t="shared" si="10"/>
        <v>884.3095958399997</v>
      </c>
      <c r="F55" s="85"/>
      <c r="I55" t="s">
        <v>186</v>
      </c>
      <c r="J55" s="114">
        <f>M$17*Assumptions!$C112</f>
        <v>92.115582900000021</v>
      </c>
      <c r="K55" s="114">
        <f>M$17*Assumptions!$C112</f>
        <v>92.115582900000021</v>
      </c>
      <c r="L55" s="115">
        <f t="shared" ref="L55:L60" si="20">(J55*4)+(K55*8)</f>
        <v>1105.3869948000001</v>
      </c>
      <c r="M55" s="85"/>
      <c r="P55" t="s">
        <v>186</v>
      </c>
      <c r="Q55" s="114">
        <f>T$17*Assumptions!$C112</f>
        <v>110.53869947999998</v>
      </c>
      <c r="R55" s="114">
        <f>T$17*Assumptions!$C112</f>
        <v>110.53869947999998</v>
      </c>
      <c r="S55" s="115">
        <f t="shared" ref="S55:S60" si="21">(Q55*4)+(R55*8)</f>
        <v>1326.4643937599997</v>
      </c>
      <c r="T55" s="85"/>
      <c r="W55" t="s">
        <v>186</v>
      </c>
      <c r="X55" s="114">
        <f>AA$17*Assumptions!$C112</f>
        <v>128.96181605999999</v>
      </c>
      <c r="Y55" s="114">
        <f>AA$17*Assumptions!$C112</f>
        <v>128.96181605999999</v>
      </c>
      <c r="Z55" s="115">
        <f t="shared" ref="Z55:Z60" si="22">(X55*4)+(Y55*8)</f>
        <v>1547.5417927199999</v>
      </c>
      <c r="AA55" s="85"/>
      <c r="AD55" t="s">
        <v>186</v>
      </c>
      <c r="AE55" s="114">
        <f>AH$17*Assumptions!$C112</f>
        <v>0</v>
      </c>
      <c r="AF55" s="114">
        <f>AH$17*Assumptions!$C112</f>
        <v>0</v>
      </c>
      <c r="AG55" s="115">
        <f t="shared" ref="AG55:AG60" si="23">(AE55*4)+(AF55*8)</f>
        <v>0</v>
      </c>
      <c r="AH55" s="85"/>
      <c r="AK55" t="s">
        <v>186</v>
      </c>
      <c r="AL55" s="114">
        <f>AO$17*Assumptions!$C112</f>
        <v>0</v>
      </c>
      <c r="AM55" s="114">
        <f>AO$17*Assumptions!$C112</f>
        <v>0</v>
      </c>
      <c r="AN55" s="115">
        <f t="shared" ref="AN55:AN60" si="24">(AL55*4)+(AM55*8)</f>
        <v>0</v>
      </c>
      <c r="AO55" s="85"/>
      <c r="AR55" t="s">
        <v>186</v>
      </c>
      <c r="AS55" s="114">
        <f>AV$17*Assumptions!$C112</f>
        <v>0</v>
      </c>
      <c r="AT55" s="114">
        <f>AV$17*Assumptions!$C112</f>
        <v>0</v>
      </c>
      <c r="AU55" s="115">
        <f t="shared" ref="AU55:AU60" si="25">(AS55*4)+(AT55*8)</f>
        <v>0</v>
      </c>
      <c r="AV55" s="85"/>
      <c r="AY55" t="s">
        <v>186</v>
      </c>
      <c r="AZ55" s="114">
        <f>BC$17*Assumptions!$C112</f>
        <v>0</v>
      </c>
      <c r="BA55" s="114">
        <f>BC$17*Assumptions!$C112</f>
        <v>0</v>
      </c>
      <c r="BB55" s="115">
        <f t="shared" ref="BB55:BB60" si="26">(AZ55*4)+(BA55*8)</f>
        <v>0</v>
      </c>
      <c r="BC55" s="85"/>
      <c r="BF55" t="s">
        <v>186</v>
      </c>
      <c r="BG55" s="114">
        <f>BJ$17*Assumptions!$C112</f>
        <v>0</v>
      </c>
      <c r="BH55" s="114">
        <f>BJ$17*Assumptions!$C112</f>
        <v>0</v>
      </c>
      <c r="BI55" s="115">
        <f t="shared" ref="BI55:BI60" si="27">(BG55*4)+(BH55*8)</f>
        <v>0</v>
      </c>
      <c r="BJ55" s="85"/>
      <c r="BM55" t="s">
        <v>186</v>
      </c>
      <c r="BN55" s="114">
        <f>BQ$17*Assumptions!$C112</f>
        <v>0</v>
      </c>
      <c r="BO55" s="114">
        <f>BQ$17*Assumptions!$C112</f>
        <v>0</v>
      </c>
      <c r="BP55" s="115">
        <f t="shared" ref="BP55:BP60" si="28">(BN55*4)+(BO55*8)</f>
        <v>0</v>
      </c>
      <c r="BQ55" s="85"/>
    </row>
    <row r="56" spans="2:69" x14ac:dyDescent="0.35">
      <c r="B56" t="s">
        <v>187</v>
      </c>
      <c r="C56" s="114">
        <f>F$17*Assumptions!$C113</f>
        <v>-11.682493679999999</v>
      </c>
      <c r="D56" s="114">
        <f>F$17*Assumptions!$C113</f>
        <v>-11.682493679999999</v>
      </c>
      <c r="E56" s="115">
        <f t="shared" si="10"/>
        <v>-140.18992415999998</v>
      </c>
      <c r="F56" s="85"/>
      <c r="I56" t="s">
        <v>187</v>
      </c>
      <c r="J56" s="114">
        <f>M$17*Assumptions!$C113</f>
        <v>-14.603117100000006</v>
      </c>
      <c r="K56" s="114">
        <f>M$17*Assumptions!$C113</f>
        <v>-14.603117100000006</v>
      </c>
      <c r="L56" s="115">
        <f t="shared" si="20"/>
        <v>-175.23740520000007</v>
      </c>
      <c r="M56" s="85"/>
      <c r="P56" t="s">
        <v>187</v>
      </c>
      <c r="Q56" s="114">
        <f>T$17*Assumptions!$C113</f>
        <v>-17.523740519999997</v>
      </c>
      <c r="R56" s="114">
        <f>T$17*Assumptions!$C113</f>
        <v>-17.523740519999997</v>
      </c>
      <c r="S56" s="115">
        <f t="shared" si="21"/>
        <v>-210.28488623999996</v>
      </c>
      <c r="T56" s="85"/>
      <c r="W56" t="s">
        <v>187</v>
      </c>
      <c r="X56" s="114">
        <f>AA$17*Assumptions!$C113</f>
        <v>-20.444363939999999</v>
      </c>
      <c r="Y56" s="114">
        <f>AA$17*Assumptions!$C113</f>
        <v>-20.444363939999999</v>
      </c>
      <c r="Z56" s="115">
        <f t="shared" si="22"/>
        <v>-245.33236727999997</v>
      </c>
      <c r="AA56" s="85"/>
      <c r="AD56" t="s">
        <v>187</v>
      </c>
      <c r="AE56" s="114">
        <f>AH$17*Assumptions!$C113</f>
        <v>0</v>
      </c>
      <c r="AF56" s="114">
        <f>AH$17*Assumptions!$C113</f>
        <v>0</v>
      </c>
      <c r="AG56" s="115">
        <f t="shared" si="23"/>
        <v>0</v>
      </c>
      <c r="AH56" s="85"/>
      <c r="AK56" t="s">
        <v>187</v>
      </c>
      <c r="AL56" s="114">
        <f>AO$17*Assumptions!$C113</f>
        <v>0</v>
      </c>
      <c r="AM56" s="114">
        <f>AO$17*Assumptions!$C113</f>
        <v>0</v>
      </c>
      <c r="AN56" s="115">
        <f t="shared" si="24"/>
        <v>0</v>
      </c>
      <c r="AO56" s="85"/>
      <c r="AR56" t="s">
        <v>187</v>
      </c>
      <c r="AS56" s="114">
        <f>AV$17*Assumptions!$C113</f>
        <v>0</v>
      </c>
      <c r="AT56" s="114">
        <f>AV$17*Assumptions!$C113</f>
        <v>0</v>
      </c>
      <c r="AU56" s="115">
        <f t="shared" si="25"/>
        <v>0</v>
      </c>
      <c r="AV56" s="85"/>
      <c r="AY56" t="s">
        <v>187</v>
      </c>
      <c r="AZ56" s="114">
        <f>BC$17*Assumptions!$C113</f>
        <v>0</v>
      </c>
      <c r="BA56" s="114">
        <f>BC$17*Assumptions!$C113</f>
        <v>0</v>
      </c>
      <c r="BB56" s="115">
        <f t="shared" si="26"/>
        <v>0</v>
      </c>
      <c r="BC56" s="85"/>
      <c r="BF56" t="s">
        <v>187</v>
      </c>
      <c r="BG56" s="114">
        <f>BJ$17*Assumptions!$C113</f>
        <v>0</v>
      </c>
      <c r="BH56" s="114">
        <f>BJ$17*Assumptions!$C113</f>
        <v>0</v>
      </c>
      <c r="BI56" s="115">
        <f t="shared" si="27"/>
        <v>0</v>
      </c>
      <c r="BJ56" s="85"/>
      <c r="BM56" t="s">
        <v>187</v>
      </c>
      <c r="BN56" s="114">
        <f>BQ$17*Assumptions!$C113</f>
        <v>0</v>
      </c>
      <c r="BO56" s="114">
        <f>BQ$17*Assumptions!$C113</f>
        <v>0</v>
      </c>
      <c r="BP56" s="115">
        <f t="shared" si="28"/>
        <v>0</v>
      </c>
      <c r="BQ56" s="85"/>
    </row>
    <row r="57" spans="2:69" x14ac:dyDescent="0.35">
      <c r="B57" t="s">
        <v>188</v>
      </c>
      <c r="C57" s="114">
        <f>F$17*Assumptions!$C114</f>
        <v>20.984702639999991</v>
      </c>
      <c r="D57" s="114">
        <f>F$17*Assumptions!$C114</f>
        <v>20.984702639999991</v>
      </c>
      <c r="E57" s="115">
        <f t="shared" si="10"/>
        <v>251.81643167999988</v>
      </c>
      <c r="I57" t="s">
        <v>188</v>
      </c>
      <c r="J57" s="114">
        <f>M$17*Assumptions!$C114</f>
        <v>26.230878300000004</v>
      </c>
      <c r="K57" s="114">
        <f>M$17*Assumptions!$C114</f>
        <v>26.230878300000004</v>
      </c>
      <c r="L57" s="115">
        <f t="shared" si="20"/>
        <v>314.77053960000006</v>
      </c>
      <c r="P57" t="s">
        <v>188</v>
      </c>
      <c r="Q57" s="114">
        <f>T$17*Assumptions!$C114</f>
        <v>31.477053959999989</v>
      </c>
      <c r="R57" s="114">
        <f>T$17*Assumptions!$C114</f>
        <v>31.477053959999989</v>
      </c>
      <c r="S57" s="115">
        <f t="shared" si="21"/>
        <v>377.72464751999985</v>
      </c>
      <c r="W57" t="s">
        <v>188</v>
      </c>
      <c r="X57" s="114">
        <f>AA$17*Assumptions!$C114</f>
        <v>36.723229619999991</v>
      </c>
      <c r="Y57" s="114">
        <f>AA$17*Assumptions!$C114</f>
        <v>36.723229619999991</v>
      </c>
      <c r="Z57" s="115">
        <f t="shared" si="22"/>
        <v>440.67875543999992</v>
      </c>
      <c r="AD57" t="s">
        <v>188</v>
      </c>
      <c r="AE57" s="114">
        <f>AH$17*Assumptions!$C114</f>
        <v>0</v>
      </c>
      <c r="AF57" s="114">
        <f>AH$17*Assumptions!$C114</f>
        <v>0</v>
      </c>
      <c r="AG57" s="115">
        <f t="shared" si="23"/>
        <v>0</v>
      </c>
      <c r="AK57" t="s">
        <v>188</v>
      </c>
      <c r="AL57" s="114">
        <f>AO$17*Assumptions!$C114</f>
        <v>0</v>
      </c>
      <c r="AM57" s="114">
        <f>AO$17*Assumptions!$C114</f>
        <v>0</v>
      </c>
      <c r="AN57" s="115">
        <f t="shared" si="24"/>
        <v>0</v>
      </c>
      <c r="AR57" t="s">
        <v>188</v>
      </c>
      <c r="AS57" s="114">
        <f>AV$17*Assumptions!$C114</f>
        <v>0</v>
      </c>
      <c r="AT57" s="114">
        <f>AV$17*Assumptions!$C114</f>
        <v>0</v>
      </c>
      <c r="AU57" s="115">
        <f t="shared" si="25"/>
        <v>0</v>
      </c>
      <c r="AY57" t="s">
        <v>188</v>
      </c>
      <c r="AZ57" s="114">
        <f>BC$17*Assumptions!$C114</f>
        <v>0</v>
      </c>
      <c r="BA57" s="114">
        <f>BC$17*Assumptions!$C114</f>
        <v>0</v>
      </c>
      <c r="BB57" s="115">
        <f t="shared" si="26"/>
        <v>0</v>
      </c>
      <c r="BF57" t="s">
        <v>188</v>
      </c>
      <c r="BG57" s="114">
        <f>BJ$17*Assumptions!$C114</f>
        <v>0</v>
      </c>
      <c r="BH57" s="114">
        <f>BJ$17*Assumptions!$C114</f>
        <v>0</v>
      </c>
      <c r="BI57" s="115">
        <f t="shared" si="27"/>
        <v>0</v>
      </c>
      <c r="BM57" t="s">
        <v>188</v>
      </c>
      <c r="BN57" s="114">
        <f>BQ$17*Assumptions!$C114</f>
        <v>0</v>
      </c>
      <c r="BO57" s="114">
        <f>BQ$17*Assumptions!$C114</f>
        <v>0</v>
      </c>
      <c r="BP57" s="115">
        <f t="shared" si="28"/>
        <v>0</v>
      </c>
    </row>
    <row r="58" spans="2:69" x14ac:dyDescent="0.35">
      <c r="B58" t="s">
        <v>189</v>
      </c>
      <c r="C58" s="114">
        <f>F$17*Assumptions!$C115</f>
        <v>2.0374358399999992</v>
      </c>
      <c r="D58" s="114">
        <f>F$17*Assumptions!$C115</f>
        <v>2.0374358399999992</v>
      </c>
      <c r="E58" s="115">
        <f t="shared" si="10"/>
        <v>24.449230079999992</v>
      </c>
      <c r="I58" t="s">
        <v>189</v>
      </c>
      <c r="J58" s="114">
        <f>M$17*Assumptions!$C115</f>
        <v>2.5467948000000002</v>
      </c>
      <c r="K58" s="114">
        <f>M$17*Assumptions!$C115</f>
        <v>2.5467948000000002</v>
      </c>
      <c r="L58" s="115">
        <f t="shared" si="20"/>
        <v>30.561537600000001</v>
      </c>
      <c r="P58" t="s">
        <v>189</v>
      </c>
      <c r="Q58" s="114">
        <f>T$17*Assumptions!$C115</f>
        <v>3.0561537599999991</v>
      </c>
      <c r="R58" s="114">
        <f>T$17*Assumptions!$C115</f>
        <v>3.0561537599999991</v>
      </c>
      <c r="S58" s="115">
        <f t="shared" si="21"/>
        <v>36.673845119999989</v>
      </c>
      <c r="W58" t="s">
        <v>189</v>
      </c>
      <c r="X58" s="114">
        <f>AA$17*Assumptions!$C115</f>
        <v>3.5655127199999992</v>
      </c>
      <c r="Y58" s="114">
        <f>AA$17*Assumptions!$C115</f>
        <v>3.5655127199999992</v>
      </c>
      <c r="Z58" s="115">
        <f t="shared" si="22"/>
        <v>42.78615263999999</v>
      </c>
      <c r="AD58" t="s">
        <v>189</v>
      </c>
      <c r="AE58" s="114">
        <f>AH$17*Assumptions!$C115</f>
        <v>0</v>
      </c>
      <c r="AF58" s="114">
        <f>AH$17*Assumptions!$C115</f>
        <v>0</v>
      </c>
      <c r="AG58" s="115">
        <f t="shared" si="23"/>
        <v>0</v>
      </c>
      <c r="AK58" t="s">
        <v>189</v>
      </c>
      <c r="AL58" s="114">
        <f>AO$17*Assumptions!$C115</f>
        <v>0</v>
      </c>
      <c r="AM58" s="114">
        <f>AO$17*Assumptions!$C115</f>
        <v>0</v>
      </c>
      <c r="AN58" s="115">
        <f t="shared" si="24"/>
        <v>0</v>
      </c>
      <c r="AR58" t="s">
        <v>189</v>
      </c>
      <c r="AS58" s="114">
        <f>AV$17*Assumptions!$C115</f>
        <v>0</v>
      </c>
      <c r="AT58" s="114">
        <f>AV$17*Assumptions!$C115</f>
        <v>0</v>
      </c>
      <c r="AU58" s="115">
        <f t="shared" si="25"/>
        <v>0</v>
      </c>
      <c r="AY58" t="s">
        <v>189</v>
      </c>
      <c r="AZ58" s="114">
        <f>BC$17*Assumptions!$C115</f>
        <v>0</v>
      </c>
      <c r="BA58" s="114">
        <f>BC$17*Assumptions!$C115</f>
        <v>0</v>
      </c>
      <c r="BB58" s="115">
        <f t="shared" si="26"/>
        <v>0</v>
      </c>
      <c r="BF58" t="s">
        <v>189</v>
      </c>
      <c r="BG58" s="114">
        <f>BJ$17*Assumptions!$C115</f>
        <v>0</v>
      </c>
      <c r="BH58" s="114">
        <f>BJ$17*Assumptions!$C115</f>
        <v>0</v>
      </c>
      <c r="BI58" s="115">
        <f t="shared" si="27"/>
        <v>0</v>
      </c>
      <c r="BM58" t="s">
        <v>189</v>
      </c>
      <c r="BN58" s="114">
        <f>BQ$17*Assumptions!$C115</f>
        <v>0</v>
      </c>
      <c r="BO58" s="114">
        <f>BQ$17*Assumptions!$C115</f>
        <v>0</v>
      </c>
      <c r="BP58" s="115">
        <f t="shared" si="28"/>
        <v>0</v>
      </c>
    </row>
    <row r="59" spans="2:69" x14ac:dyDescent="0.35">
      <c r="B59" t="s">
        <v>190</v>
      </c>
      <c r="C59" s="114">
        <f>F$17*Assumptions!$C116</f>
        <v>8.6400230399999991</v>
      </c>
      <c r="D59" s="114">
        <f>F$17*Assumptions!$C116</f>
        <v>8.6400230399999991</v>
      </c>
      <c r="E59" s="115">
        <f t="shared" si="10"/>
        <v>103.68027647999999</v>
      </c>
      <c r="I59" t="s">
        <v>190</v>
      </c>
      <c r="J59" s="114">
        <f>M$17*Assumptions!$C116</f>
        <v>10.800028800000003</v>
      </c>
      <c r="K59" s="114">
        <f>M$17*Assumptions!$C116</f>
        <v>10.800028800000003</v>
      </c>
      <c r="L59" s="115">
        <f t="shared" si="20"/>
        <v>129.60034560000003</v>
      </c>
      <c r="P59" t="s">
        <v>190</v>
      </c>
      <c r="Q59" s="114">
        <f>T$17*Assumptions!$C116</f>
        <v>12.960034559999997</v>
      </c>
      <c r="R59" s="114">
        <f>T$17*Assumptions!$C116</f>
        <v>12.960034559999997</v>
      </c>
      <c r="S59" s="115">
        <f t="shared" si="21"/>
        <v>155.52041471999996</v>
      </c>
      <c r="W59" t="s">
        <v>190</v>
      </c>
      <c r="X59" s="114">
        <f>AA$17*Assumptions!$C116</f>
        <v>15.120040319999999</v>
      </c>
      <c r="Y59" s="114">
        <f>AA$17*Assumptions!$C116</f>
        <v>15.120040319999999</v>
      </c>
      <c r="Z59" s="115">
        <f t="shared" si="22"/>
        <v>181.44048383999998</v>
      </c>
      <c r="AD59" t="s">
        <v>190</v>
      </c>
      <c r="AE59" s="114">
        <f>AH$17*Assumptions!$C116</f>
        <v>0</v>
      </c>
      <c r="AF59" s="114">
        <f>AH$17*Assumptions!$C116</f>
        <v>0</v>
      </c>
      <c r="AG59" s="115">
        <f t="shared" si="23"/>
        <v>0</v>
      </c>
      <c r="AK59" t="s">
        <v>190</v>
      </c>
      <c r="AL59" s="114">
        <f>AO$17*Assumptions!$C116</f>
        <v>0</v>
      </c>
      <c r="AM59" s="114">
        <f>AO$17*Assumptions!$C116</f>
        <v>0</v>
      </c>
      <c r="AN59" s="115">
        <f t="shared" si="24"/>
        <v>0</v>
      </c>
      <c r="AR59" t="s">
        <v>190</v>
      </c>
      <c r="AS59" s="114">
        <f>AV$17*Assumptions!$C116</f>
        <v>0</v>
      </c>
      <c r="AT59" s="114">
        <f>AV$17*Assumptions!$C116</f>
        <v>0</v>
      </c>
      <c r="AU59" s="115">
        <f t="shared" si="25"/>
        <v>0</v>
      </c>
      <c r="AY59" t="s">
        <v>190</v>
      </c>
      <c r="AZ59" s="114">
        <f>BC$17*Assumptions!$C116</f>
        <v>0</v>
      </c>
      <c r="BA59" s="114">
        <f>BC$17*Assumptions!$C116</f>
        <v>0</v>
      </c>
      <c r="BB59" s="115">
        <f t="shared" si="26"/>
        <v>0</v>
      </c>
      <c r="BF59" t="s">
        <v>190</v>
      </c>
      <c r="BG59" s="114">
        <f>BJ$17*Assumptions!$C116</f>
        <v>0</v>
      </c>
      <c r="BH59" s="114">
        <f>BJ$17*Assumptions!$C116</f>
        <v>0</v>
      </c>
      <c r="BI59" s="115">
        <f t="shared" si="27"/>
        <v>0</v>
      </c>
      <c r="BM59" t="s">
        <v>190</v>
      </c>
      <c r="BN59" s="114">
        <f>BQ$17*Assumptions!$C116</f>
        <v>0</v>
      </c>
      <c r="BO59" s="114">
        <f>BQ$17*Assumptions!$C116</f>
        <v>0</v>
      </c>
      <c r="BP59" s="115">
        <f t="shared" si="28"/>
        <v>0</v>
      </c>
    </row>
    <row r="60" spans="2:69" x14ac:dyDescent="0.35">
      <c r="B60" t="s">
        <v>191</v>
      </c>
      <c r="C60" s="114">
        <f>F$17*Assumptions!$C118</f>
        <v>6.5443857599999991</v>
      </c>
      <c r="D60" s="114">
        <f>F$17*Assumptions!$C118</f>
        <v>6.5443857599999991</v>
      </c>
      <c r="E60" s="120">
        <f t="shared" si="10"/>
        <v>78.532629119999996</v>
      </c>
      <c r="I60" t="s">
        <v>191</v>
      </c>
      <c r="J60" s="114">
        <f>M$17*Assumptions!$C118</f>
        <v>8.1804822000000019</v>
      </c>
      <c r="K60" s="114">
        <f>M$17*Assumptions!$C118</f>
        <v>8.1804822000000019</v>
      </c>
      <c r="L60" s="120">
        <f t="shared" si="20"/>
        <v>98.16578640000003</v>
      </c>
      <c r="P60" t="s">
        <v>191</v>
      </c>
      <c r="Q60" s="114">
        <f>T$17*Assumptions!$C118</f>
        <v>9.8165786399999977</v>
      </c>
      <c r="R60" s="114">
        <f>T$17*Assumptions!$C118</f>
        <v>9.8165786399999977</v>
      </c>
      <c r="S60" s="120">
        <f t="shared" si="21"/>
        <v>117.79894367999998</v>
      </c>
      <c r="W60" t="s">
        <v>191</v>
      </c>
      <c r="X60" s="114">
        <f>AA$17*Assumptions!$C118</f>
        <v>11.452675079999999</v>
      </c>
      <c r="Y60" s="114">
        <f>AA$17*Assumptions!$C118</f>
        <v>11.452675079999999</v>
      </c>
      <c r="Z60" s="120">
        <f t="shared" si="22"/>
        <v>137.43210095999999</v>
      </c>
      <c r="AD60" t="s">
        <v>191</v>
      </c>
      <c r="AE60" s="114">
        <f>AH$17*Assumptions!$C118</f>
        <v>0</v>
      </c>
      <c r="AF60" s="114">
        <f>AH$17*Assumptions!$C118</f>
        <v>0</v>
      </c>
      <c r="AG60" s="120">
        <f t="shared" si="23"/>
        <v>0</v>
      </c>
      <c r="AK60" t="s">
        <v>191</v>
      </c>
      <c r="AL60" s="114">
        <f>AO$17*Assumptions!$C118</f>
        <v>0</v>
      </c>
      <c r="AM60" s="114">
        <f>AO$17*Assumptions!$C118</f>
        <v>0</v>
      </c>
      <c r="AN60" s="120">
        <f t="shared" si="24"/>
        <v>0</v>
      </c>
      <c r="AR60" t="s">
        <v>191</v>
      </c>
      <c r="AS60" s="114">
        <f>AV$17*Assumptions!$C118</f>
        <v>0</v>
      </c>
      <c r="AT60" s="114">
        <f>AV$17*Assumptions!$C118</f>
        <v>0</v>
      </c>
      <c r="AU60" s="120">
        <f t="shared" si="25"/>
        <v>0</v>
      </c>
      <c r="AY60" t="s">
        <v>191</v>
      </c>
      <c r="AZ60" s="114">
        <f>BC$17*Assumptions!$C118</f>
        <v>0</v>
      </c>
      <c r="BA60" s="114">
        <f>BC$17*Assumptions!$C118</f>
        <v>0</v>
      </c>
      <c r="BB60" s="120">
        <f t="shared" si="26"/>
        <v>0</v>
      </c>
      <c r="BF60" t="s">
        <v>191</v>
      </c>
      <c r="BG60" s="114">
        <f>BJ$17*Assumptions!$C118</f>
        <v>0</v>
      </c>
      <c r="BH60" s="114">
        <f>BJ$17*Assumptions!$C118</f>
        <v>0</v>
      </c>
      <c r="BI60" s="120">
        <f t="shared" si="27"/>
        <v>0</v>
      </c>
      <c r="BM60" t="s">
        <v>191</v>
      </c>
      <c r="BN60" s="114">
        <f>BQ$17*Assumptions!$C118</f>
        <v>0</v>
      </c>
      <c r="BO60" s="114">
        <f>BQ$17*Assumptions!$C118</f>
        <v>0</v>
      </c>
      <c r="BP60" s="120">
        <f t="shared" si="28"/>
        <v>0</v>
      </c>
    </row>
    <row r="61" spans="2:69" x14ac:dyDescent="0.35">
      <c r="B61" s="9" t="s">
        <v>233</v>
      </c>
      <c r="C61" s="89">
        <f>SUM(C54:C60)</f>
        <v>240.98791991999991</v>
      </c>
      <c r="D61" s="89">
        <f>SUM(D54:D60)</f>
        <v>240.98791991999991</v>
      </c>
      <c r="E61" s="89">
        <f>SUM(E54:E60)</f>
        <v>2891.8550390399987</v>
      </c>
      <c r="I61" s="9" t="s">
        <v>233</v>
      </c>
      <c r="J61" s="89">
        <f>SUM(J54:J60)</f>
        <v>266.04204989999994</v>
      </c>
      <c r="K61" s="89">
        <f>SUM(K54:K60)</f>
        <v>266.04204989999994</v>
      </c>
      <c r="L61" s="89">
        <f>SUM(L54:L60)</f>
        <v>3192.5045987999993</v>
      </c>
      <c r="P61" s="9" t="s">
        <v>233</v>
      </c>
      <c r="Q61" s="89">
        <f>SUM(Q54:Q60)</f>
        <v>291.09617987999985</v>
      </c>
      <c r="R61" s="89">
        <f>SUM(R54:R60)</f>
        <v>291.09617987999985</v>
      </c>
      <c r="S61" s="89">
        <f>SUM(S54:S60)</f>
        <v>3493.154158559998</v>
      </c>
      <c r="W61" s="9" t="s">
        <v>233</v>
      </c>
      <c r="X61" s="89">
        <f>SUM(X54:X60)</f>
        <v>316.15030985999994</v>
      </c>
      <c r="Y61" s="89">
        <f>SUM(Y54:Y60)</f>
        <v>316.15030985999994</v>
      </c>
      <c r="Z61" s="89">
        <f>SUM(Z54:Z60)</f>
        <v>3793.803718319999</v>
      </c>
      <c r="AD61" s="9" t="s">
        <v>233</v>
      </c>
      <c r="AE61" s="89">
        <f>SUM(AE54:AE60)</f>
        <v>140.77139999999994</v>
      </c>
      <c r="AF61" s="89">
        <f>SUM(AF54:AF60)</f>
        <v>140.77139999999994</v>
      </c>
      <c r="AG61" s="89">
        <f>SUM(AG54:AG60)</f>
        <v>1689.2567999999992</v>
      </c>
      <c r="AK61" s="9" t="s">
        <v>233</v>
      </c>
      <c r="AL61" s="89">
        <f>SUM(AL54:AL60)</f>
        <v>140.77139999999994</v>
      </c>
      <c r="AM61" s="89">
        <f>SUM(AM54:AM60)</f>
        <v>140.77139999999994</v>
      </c>
      <c r="AN61" s="89">
        <f>SUM(AN54:AN60)</f>
        <v>1689.2567999999992</v>
      </c>
      <c r="AR61" s="9" t="s">
        <v>233</v>
      </c>
      <c r="AS61" s="89">
        <f>SUM(AS54:AS60)</f>
        <v>140.77139999999994</v>
      </c>
      <c r="AT61" s="89">
        <f>SUM(AT54:AT60)</f>
        <v>140.77139999999994</v>
      </c>
      <c r="AU61" s="89">
        <f>SUM(AU54:AU60)</f>
        <v>1689.2567999999992</v>
      </c>
      <c r="AY61" s="9" t="s">
        <v>233</v>
      </c>
      <c r="AZ61" s="89">
        <f>SUM(AZ54:AZ60)</f>
        <v>140.77139999999994</v>
      </c>
      <c r="BA61" s="89">
        <f>SUM(BA54:BA60)</f>
        <v>140.77139999999994</v>
      </c>
      <c r="BB61" s="89">
        <f>SUM(BB54:BB60)</f>
        <v>1689.2567999999992</v>
      </c>
      <c r="BF61" s="9" t="s">
        <v>233</v>
      </c>
      <c r="BG61" s="89">
        <f>SUM(BG54:BG60)</f>
        <v>140.77139999999994</v>
      </c>
      <c r="BH61" s="89">
        <f>SUM(BH54:BH60)</f>
        <v>140.77139999999994</v>
      </c>
      <c r="BI61" s="89">
        <f>SUM(BI54:BI60)</f>
        <v>1689.2567999999992</v>
      </c>
      <c r="BM61" s="9" t="s">
        <v>233</v>
      </c>
      <c r="BN61" s="89">
        <f>SUM(BN54:BN60)</f>
        <v>140.77139999999994</v>
      </c>
      <c r="BO61" s="89">
        <f>SUM(BO54:BO60)</f>
        <v>140.77139999999994</v>
      </c>
      <c r="BP61" s="89">
        <f>SUM(BP54:BP60)</f>
        <v>1689.2567999999992</v>
      </c>
    </row>
    <row r="62" spans="2:69" x14ac:dyDescent="0.35">
      <c r="B62" s="9"/>
      <c r="C62" s="117" t="s">
        <v>192</v>
      </c>
      <c r="D62" s="118">
        <v>2.4066000000000001E-2</v>
      </c>
      <c r="E62" s="119" t="s">
        <v>235</v>
      </c>
      <c r="I62" s="9"/>
      <c r="J62" s="117" t="s">
        <v>192</v>
      </c>
      <c r="K62" s="118">
        <v>2.4066000000000001E-2</v>
      </c>
      <c r="L62" s="119" t="s">
        <v>235</v>
      </c>
      <c r="P62" s="9"/>
      <c r="Q62" s="117" t="s">
        <v>192</v>
      </c>
      <c r="R62" s="118">
        <v>2.4066000000000001E-2</v>
      </c>
      <c r="S62" s="119" t="s">
        <v>235</v>
      </c>
      <c r="W62" s="9"/>
      <c r="X62" s="117" t="s">
        <v>192</v>
      </c>
      <c r="Y62" s="118">
        <v>2.4066000000000001E-2</v>
      </c>
      <c r="Z62" s="119" t="s">
        <v>235</v>
      </c>
      <c r="AD62" s="9"/>
      <c r="AE62" s="117" t="s">
        <v>192</v>
      </c>
      <c r="AF62" s="118">
        <v>2.4066000000000001E-2</v>
      </c>
      <c r="AG62" s="119" t="s">
        <v>235</v>
      </c>
      <c r="AK62" s="9"/>
      <c r="AL62" s="117" t="s">
        <v>192</v>
      </c>
      <c r="AM62" s="118">
        <v>2.4066000000000001E-2</v>
      </c>
      <c r="AN62" s="119" t="s">
        <v>235</v>
      </c>
      <c r="AR62" s="9"/>
      <c r="AS62" s="117" t="s">
        <v>192</v>
      </c>
      <c r="AT62" s="118">
        <v>2.4066000000000001E-2</v>
      </c>
      <c r="AU62" s="119" t="s">
        <v>235</v>
      </c>
      <c r="AY62" s="9"/>
      <c r="AZ62" s="117" t="s">
        <v>192</v>
      </c>
      <c r="BA62" s="118">
        <v>2.4066000000000001E-2</v>
      </c>
      <c r="BB62" s="119" t="s">
        <v>235</v>
      </c>
      <c r="BF62" s="9"/>
      <c r="BG62" s="117" t="s">
        <v>192</v>
      </c>
      <c r="BH62" s="118">
        <v>2.4066000000000001E-2</v>
      </c>
      <c r="BI62" s="119" t="s">
        <v>235</v>
      </c>
      <c r="BM62" s="9"/>
      <c r="BN62" s="117" t="s">
        <v>192</v>
      </c>
      <c r="BO62" s="118">
        <v>2.4066000000000001E-2</v>
      </c>
      <c r="BP62" s="119" t="s">
        <v>235</v>
      </c>
    </row>
    <row r="63" spans="2:69" x14ac:dyDescent="0.35">
      <c r="B63" s="90" t="s">
        <v>238</v>
      </c>
      <c r="C63" s="121">
        <f>C61*$D$62</f>
        <v>5.7996152807947183</v>
      </c>
      <c r="D63" s="121">
        <f>D61*$D$62</f>
        <v>5.7996152807947183</v>
      </c>
      <c r="E63" s="120">
        <f>(C63*4)+(D63*8)</f>
        <v>69.59538336953662</v>
      </c>
      <c r="I63" s="90" t="s">
        <v>238</v>
      </c>
      <c r="J63" s="121">
        <f>J61*$D$62</f>
        <v>6.4025679728933991</v>
      </c>
      <c r="K63" s="121">
        <f>K61*$D$62</f>
        <v>6.4025679728933991</v>
      </c>
      <c r="L63" s="120">
        <f>(J63*4)+(K63*8)</f>
        <v>76.830815674720782</v>
      </c>
      <c r="P63" s="90" t="s">
        <v>238</v>
      </c>
      <c r="Q63" s="121">
        <f>Q61*$D$62</f>
        <v>7.0055206649920763</v>
      </c>
      <c r="R63" s="121">
        <f>R61*$D$62</f>
        <v>7.0055206649920763</v>
      </c>
      <c r="S63" s="120">
        <f>(Q63*4)+(R63*8)</f>
        <v>84.066247979904915</v>
      </c>
      <c r="W63" s="90" t="s">
        <v>238</v>
      </c>
      <c r="X63" s="121">
        <f>X61*$D$62</f>
        <v>7.6084733570907588</v>
      </c>
      <c r="Y63" s="121">
        <f>Y61*$D$62</f>
        <v>7.6084733570907588</v>
      </c>
      <c r="Z63" s="120">
        <f>(X63*4)+(Y63*8)</f>
        <v>91.301680285089105</v>
      </c>
      <c r="AD63" s="90" t="s">
        <v>238</v>
      </c>
      <c r="AE63" s="121">
        <f>AE61*$D$62</f>
        <v>3.3878045123999989</v>
      </c>
      <c r="AF63" s="121">
        <f>AF61*$D$62</f>
        <v>3.3878045123999989</v>
      </c>
      <c r="AG63" s="120">
        <f>(AE63*4)+(AF63*8)</f>
        <v>40.653654148799987</v>
      </c>
      <c r="AK63" s="90" t="s">
        <v>238</v>
      </c>
      <c r="AL63" s="121">
        <f>AL61*$D$62</f>
        <v>3.3878045123999989</v>
      </c>
      <c r="AM63" s="121">
        <f>AM61*$D$62</f>
        <v>3.3878045123999989</v>
      </c>
      <c r="AN63" s="120">
        <f>(AL63*4)+(AM63*8)</f>
        <v>40.653654148799987</v>
      </c>
      <c r="AR63" s="90" t="s">
        <v>238</v>
      </c>
      <c r="AS63" s="121">
        <f>AS61*$D$62</f>
        <v>3.3878045123999989</v>
      </c>
      <c r="AT63" s="121">
        <f>AT61*$D$62</f>
        <v>3.3878045123999989</v>
      </c>
      <c r="AU63" s="120">
        <f>(AS63*4)+(AT63*8)</f>
        <v>40.653654148799987</v>
      </c>
      <c r="AY63" s="90" t="s">
        <v>238</v>
      </c>
      <c r="AZ63" s="121">
        <f>AZ61*$D$62</f>
        <v>3.3878045123999989</v>
      </c>
      <c r="BA63" s="121">
        <f>BA61*$D$62</f>
        <v>3.3878045123999989</v>
      </c>
      <c r="BB63" s="120">
        <f>(AZ63*4)+(BA63*8)</f>
        <v>40.653654148799987</v>
      </c>
      <c r="BF63" s="90" t="s">
        <v>238</v>
      </c>
      <c r="BG63" s="121">
        <f>BG61*$D$62</f>
        <v>3.3878045123999989</v>
      </c>
      <c r="BH63" s="121">
        <f>BH61*$D$62</f>
        <v>3.3878045123999989</v>
      </c>
      <c r="BI63" s="120">
        <f>(BG63*4)+(BH63*8)</f>
        <v>40.653654148799987</v>
      </c>
      <c r="BM63" s="90" t="s">
        <v>238</v>
      </c>
      <c r="BN63" s="121">
        <f>BN61*$D$62</f>
        <v>3.3878045123999989</v>
      </c>
      <c r="BO63" s="121">
        <f>BO61*$D$62</f>
        <v>3.3878045123999989</v>
      </c>
      <c r="BP63" s="120">
        <f>(BN63*4)+(BO63*8)</f>
        <v>40.653654148799987</v>
      </c>
    </row>
    <row r="64" spans="2:69" x14ac:dyDescent="0.35">
      <c r="B64" s="9" t="s">
        <v>239</v>
      </c>
      <c r="C64" s="89">
        <f>+C61+C63</f>
        <v>246.78753520079462</v>
      </c>
      <c r="D64" s="89">
        <f>+D61+D63</f>
        <v>246.78753520079462</v>
      </c>
      <c r="E64" s="89">
        <f>+E61+E63</f>
        <v>2961.4504224095353</v>
      </c>
      <c r="I64" s="9" t="s">
        <v>239</v>
      </c>
      <c r="J64" s="89">
        <f>+J61+J63</f>
        <v>272.44461787289333</v>
      </c>
      <c r="K64" s="89">
        <f>+K61+K63</f>
        <v>272.44461787289333</v>
      </c>
      <c r="L64" s="89">
        <f>+L61+L63</f>
        <v>3269.33541447472</v>
      </c>
      <c r="P64" s="9" t="s">
        <v>239</v>
      </c>
      <c r="Q64" s="89">
        <f>+Q61+Q63</f>
        <v>298.1017005449919</v>
      </c>
      <c r="R64" s="89">
        <f>+R61+R63</f>
        <v>298.1017005449919</v>
      </c>
      <c r="S64" s="89">
        <f>+S61+S63</f>
        <v>3577.2204065399028</v>
      </c>
      <c r="W64" s="9" t="s">
        <v>239</v>
      </c>
      <c r="X64" s="89">
        <f>+X61+X63</f>
        <v>323.75878321709069</v>
      </c>
      <c r="Y64" s="89">
        <f>+Y61+Y63</f>
        <v>323.75878321709069</v>
      </c>
      <c r="Z64" s="89">
        <f>+Z61+Z63</f>
        <v>3885.1053986050883</v>
      </c>
      <c r="AD64" s="9" t="s">
        <v>239</v>
      </c>
      <c r="AE64" s="89">
        <f>+AE61+AE63</f>
        <v>144.15920451239995</v>
      </c>
      <c r="AF64" s="89">
        <f>+AF61+AF63</f>
        <v>144.15920451239995</v>
      </c>
      <c r="AG64" s="89">
        <f>+AG61+AG63</f>
        <v>1729.9104541487991</v>
      </c>
      <c r="AK64" s="9" t="s">
        <v>239</v>
      </c>
      <c r="AL64" s="89">
        <f>+AL61+AL63</f>
        <v>144.15920451239995</v>
      </c>
      <c r="AM64" s="89">
        <f>+AM61+AM63</f>
        <v>144.15920451239995</v>
      </c>
      <c r="AN64" s="89">
        <f>+AN61+AN63</f>
        <v>1729.9104541487991</v>
      </c>
      <c r="AR64" s="9" t="s">
        <v>239</v>
      </c>
      <c r="AS64" s="89">
        <f>+AS61+AS63</f>
        <v>144.15920451239995</v>
      </c>
      <c r="AT64" s="89">
        <f>+AT61+AT63</f>
        <v>144.15920451239995</v>
      </c>
      <c r="AU64" s="89">
        <f>+AU61+AU63</f>
        <v>1729.9104541487991</v>
      </c>
      <c r="AY64" s="9" t="s">
        <v>239</v>
      </c>
      <c r="AZ64" s="89">
        <f>+AZ61+AZ63</f>
        <v>144.15920451239995</v>
      </c>
      <c r="BA64" s="89">
        <f>+BA61+BA63</f>
        <v>144.15920451239995</v>
      </c>
      <c r="BB64" s="89">
        <f>+BB61+BB63</f>
        <v>1729.9104541487991</v>
      </c>
      <c r="BF64" s="9" t="s">
        <v>239</v>
      </c>
      <c r="BG64" s="89">
        <f>+BG61+BG63</f>
        <v>144.15920451239995</v>
      </c>
      <c r="BH64" s="89">
        <f>+BH61+BH63</f>
        <v>144.15920451239995</v>
      </c>
      <c r="BI64" s="89">
        <f>+BI61+BI63</f>
        <v>1729.9104541487991</v>
      </c>
      <c r="BM64" s="9" t="s">
        <v>239</v>
      </c>
      <c r="BN64" s="89">
        <f>+BN61+BN63</f>
        <v>144.15920451239995</v>
      </c>
      <c r="BO64" s="89">
        <f>+BO61+BO63</f>
        <v>144.15920451239995</v>
      </c>
      <c r="BP64" s="89">
        <f>+BP61+BP63</f>
        <v>1729.9104541487991</v>
      </c>
    </row>
    <row r="65" spans="2:69" x14ac:dyDescent="0.35">
      <c r="C65" s="117" t="s">
        <v>193</v>
      </c>
      <c r="D65" s="118">
        <v>8.8749999999999996E-2</v>
      </c>
      <c r="E65" s="119" t="s">
        <v>194</v>
      </c>
      <c r="J65" s="117" t="s">
        <v>193</v>
      </c>
      <c r="K65" s="118">
        <v>8.8749999999999996E-2</v>
      </c>
      <c r="L65" s="119" t="s">
        <v>194</v>
      </c>
      <c r="Q65" s="117" t="s">
        <v>193</v>
      </c>
      <c r="R65" s="118">
        <v>8.8749999999999996E-2</v>
      </c>
      <c r="S65" s="119" t="s">
        <v>194</v>
      </c>
      <c r="X65" s="117" t="s">
        <v>193</v>
      </c>
      <c r="Y65" s="118">
        <v>8.8749999999999996E-2</v>
      </c>
      <c r="Z65" s="119" t="s">
        <v>194</v>
      </c>
      <c r="AE65" s="117" t="s">
        <v>193</v>
      </c>
      <c r="AF65" s="118">
        <v>8.8749999999999996E-2</v>
      </c>
      <c r="AG65" s="119" t="s">
        <v>194</v>
      </c>
      <c r="AL65" s="117" t="s">
        <v>193</v>
      </c>
      <c r="AM65" s="118">
        <v>8.8749999999999996E-2</v>
      </c>
      <c r="AN65" s="119" t="s">
        <v>194</v>
      </c>
      <c r="AS65" s="117" t="s">
        <v>193</v>
      </c>
      <c r="AT65" s="118">
        <v>8.8749999999999996E-2</v>
      </c>
      <c r="AU65" s="119" t="s">
        <v>194</v>
      </c>
      <c r="AZ65" s="117" t="s">
        <v>193</v>
      </c>
      <c r="BA65" s="118">
        <v>8.8749999999999996E-2</v>
      </c>
      <c r="BB65" s="119" t="s">
        <v>194</v>
      </c>
      <c r="BG65" s="117" t="s">
        <v>193</v>
      </c>
      <c r="BH65" s="118">
        <v>8.8749999999999996E-2</v>
      </c>
      <c r="BI65" s="119" t="s">
        <v>194</v>
      </c>
      <c r="BN65" s="117" t="s">
        <v>193</v>
      </c>
      <c r="BO65" s="118">
        <v>8.8749999999999996E-2</v>
      </c>
      <c r="BP65" s="119" t="s">
        <v>194</v>
      </c>
    </row>
    <row r="66" spans="2:69" x14ac:dyDescent="0.35">
      <c r="B66" s="9" t="s">
        <v>240</v>
      </c>
      <c r="C66" s="89">
        <f>+C51+C64</f>
        <v>1685.120196849246</v>
      </c>
      <c r="D66" s="89">
        <f>+D51+D64</f>
        <v>1424.9120638778461</v>
      </c>
      <c r="E66" s="89">
        <f>+E51+E64</f>
        <v>18139.777298419755</v>
      </c>
      <c r="I66" s="9" t="s">
        <v>240</v>
      </c>
      <c r="J66" s="89">
        <f>+J51+J64</f>
        <v>1740.7926169348575</v>
      </c>
      <c r="K66" s="89">
        <f>+K51+K64</f>
        <v>1480.5844839634576</v>
      </c>
      <c r="L66" s="89">
        <f>+L51+L64</f>
        <v>18807.846339447093</v>
      </c>
      <c r="P66" s="9" t="s">
        <v>240</v>
      </c>
      <c r="Q66" s="89">
        <f>+Q51+Q64</f>
        <v>1796.4650370204688</v>
      </c>
      <c r="R66" s="89">
        <f>+R51+R64</f>
        <v>1536.2569040490691</v>
      </c>
      <c r="S66" s="89">
        <f>+S51+S64</f>
        <v>19475.915380474431</v>
      </c>
      <c r="W66" s="9" t="s">
        <v>240</v>
      </c>
      <c r="X66" s="89">
        <f>+X51+X64</f>
        <v>1852.1374571060808</v>
      </c>
      <c r="Y66" s="89">
        <f>+Y51+Y64</f>
        <v>1591.9293241346809</v>
      </c>
      <c r="Z66" s="89">
        <f>+Z51+Z64</f>
        <v>20143.984421501769</v>
      </c>
      <c r="AD66" s="9" t="s">
        <v>240</v>
      </c>
      <c r="AE66" s="89">
        <f>+AE51+AE64</f>
        <v>1462.4305165067999</v>
      </c>
      <c r="AF66" s="89">
        <f>+AF51+AF64</f>
        <v>1202.2223835354</v>
      </c>
      <c r="AG66" s="89">
        <f>+AG51+AG64</f>
        <v>15467.5011343104</v>
      </c>
      <c r="AK66" s="9" t="s">
        <v>240</v>
      </c>
      <c r="AL66" s="89">
        <f>+AL51+AL64</f>
        <v>1462.4305165067999</v>
      </c>
      <c r="AM66" s="89">
        <f>+AM51+AM64</f>
        <v>1202.2223835354</v>
      </c>
      <c r="AN66" s="89">
        <f>+AN51+AN64</f>
        <v>15467.5011343104</v>
      </c>
      <c r="AR66" s="9" t="s">
        <v>240</v>
      </c>
      <c r="AS66" s="89">
        <f>+AS51+AS64</f>
        <v>1462.4305165067999</v>
      </c>
      <c r="AT66" s="89">
        <f>+AT51+AT64</f>
        <v>1202.2223835354</v>
      </c>
      <c r="AU66" s="89">
        <f>+AU51+AU64</f>
        <v>15467.5011343104</v>
      </c>
      <c r="AY66" s="9" t="s">
        <v>240</v>
      </c>
      <c r="AZ66" s="89">
        <f>+AZ51+AZ64</f>
        <v>1462.4305165067999</v>
      </c>
      <c r="BA66" s="89">
        <f>+BA51+BA64</f>
        <v>1202.2223835354</v>
      </c>
      <c r="BB66" s="89">
        <f>+BB51+BB64</f>
        <v>15467.5011343104</v>
      </c>
      <c r="BF66" s="9" t="s">
        <v>240</v>
      </c>
      <c r="BG66" s="89">
        <f>+BG51+BG64</f>
        <v>1462.4305165067999</v>
      </c>
      <c r="BH66" s="89">
        <f>+BH51+BH64</f>
        <v>1202.2223835354</v>
      </c>
      <c r="BI66" s="89">
        <f>+BI51+BI64</f>
        <v>15467.5011343104</v>
      </c>
      <c r="BM66" s="9" t="s">
        <v>240</v>
      </c>
      <c r="BN66" s="89">
        <f>+BN51+BN64</f>
        <v>1462.4305165067999</v>
      </c>
      <c r="BO66" s="89">
        <f>+BO51+BO64</f>
        <v>1202.2223835354</v>
      </c>
      <c r="BP66" s="89">
        <f>+BP51+BP64</f>
        <v>15467.5011343104</v>
      </c>
    </row>
    <row r="67" spans="2:69" x14ac:dyDescent="0.35">
      <c r="B67" s="9" t="s">
        <v>241</v>
      </c>
      <c r="C67" s="121">
        <f>C66*$D$65</f>
        <v>149.55441747037057</v>
      </c>
      <c r="D67" s="121">
        <f>D66*$D$65</f>
        <v>126.46094566915883</v>
      </c>
      <c r="E67" s="120">
        <f>(C67*4)+(D67*8)</f>
        <v>1609.905235234753</v>
      </c>
      <c r="I67" s="9" t="s">
        <v>241</v>
      </c>
      <c r="J67" s="121">
        <f>J66*$D$65</f>
        <v>154.49534475296861</v>
      </c>
      <c r="K67" s="121">
        <f>K66*$D$65</f>
        <v>131.40187295175684</v>
      </c>
      <c r="L67" s="120">
        <f>(J67*4)+(K67*8)</f>
        <v>1669.1963626259292</v>
      </c>
      <c r="P67" s="9" t="s">
        <v>241</v>
      </c>
      <c r="Q67" s="121">
        <f>Q66*$D$65</f>
        <v>159.43627203556659</v>
      </c>
      <c r="R67" s="121">
        <f>R66*$D$65</f>
        <v>136.34280023435488</v>
      </c>
      <c r="S67" s="120">
        <f>(Q67*4)+(R67*8)</f>
        <v>1728.4874900171053</v>
      </c>
      <c r="W67" s="9" t="s">
        <v>241</v>
      </c>
      <c r="X67" s="121">
        <f>X66*$D$65</f>
        <v>164.37719931816466</v>
      </c>
      <c r="Y67" s="121">
        <f>Y66*$D$65</f>
        <v>141.28372751695292</v>
      </c>
      <c r="Z67" s="120">
        <f>(X67*4)+(Y67*8)</f>
        <v>1787.7786174082821</v>
      </c>
      <c r="AD67" s="9" t="s">
        <v>241</v>
      </c>
      <c r="AE67" s="121">
        <f>AE66*$D$65</f>
        <v>129.79070833997849</v>
      </c>
      <c r="AF67" s="121">
        <f>AF66*$D$65</f>
        <v>106.69723653876675</v>
      </c>
      <c r="AG67" s="120">
        <f>(AE67*4)+(AF67*8)</f>
        <v>1372.7407256700481</v>
      </c>
      <c r="AK67" s="9" t="s">
        <v>241</v>
      </c>
      <c r="AL67" s="121">
        <f>AL66*$D$65</f>
        <v>129.79070833997849</v>
      </c>
      <c r="AM67" s="121">
        <f>AM66*$D$65</f>
        <v>106.69723653876675</v>
      </c>
      <c r="AN67" s="120">
        <f>(AL67*4)+(AM67*8)</f>
        <v>1372.7407256700481</v>
      </c>
      <c r="AR67" s="9" t="s">
        <v>241</v>
      </c>
      <c r="AS67" s="121">
        <f>AS66*$D$65</f>
        <v>129.79070833997849</v>
      </c>
      <c r="AT67" s="121">
        <f>AT66*$D$65</f>
        <v>106.69723653876675</v>
      </c>
      <c r="AU67" s="120">
        <f>(AS67*4)+(AT67*8)</f>
        <v>1372.7407256700481</v>
      </c>
      <c r="AY67" s="9" t="s">
        <v>241</v>
      </c>
      <c r="AZ67" s="121">
        <f>AZ66*$D$65</f>
        <v>129.79070833997849</v>
      </c>
      <c r="BA67" s="121">
        <f>BA66*$D$65</f>
        <v>106.69723653876675</v>
      </c>
      <c r="BB67" s="120">
        <f>(AZ67*4)+(BA67*8)</f>
        <v>1372.7407256700481</v>
      </c>
      <c r="BF67" s="9" t="s">
        <v>241</v>
      </c>
      <c r="BG67" s="121">
        <f>BG66*$D$65</f>
        <v>129.79070833997849</v>
      </c>
      <c r="BH67" s="121">
        <f>BH66*$D$65</f>
        <v>106.69723653876675</v>
      </c>
      <c r="BI67" s="120">
        <f>(BG67*4)+(BH67*8)</f>
        <v>1372.7407256700481</v>
      </c>
      <c r="BM67" s="9" t="s">
        <v>241</v>
      </c>
      <c r="BN67" s="121">
        <f>BN66*$D$65</f>
        <v>129.79070833997849</v>
      </c>
      <c r="BO67" s="121">
        <f>BO66*$D$65</f>
        <v>106.69723653876675</v>
      </c>
      <c r="BP67" s="120">
        <f>(BN67*4)+(BO67*8)</f>
        <v>1372.7407256700481</v>
      </c>
    </row>
    <row r="68" spans="2:69" x14ac:dyDescent="0.35">
      <c r="B68" s="9" t="s">
        <v>242</v>
      </c>
      <c r="C68" s="122">
        <f>SUM(C66:C67)</f>
        <v>1834.6746143196165</v>
      </c>
      <c r="D68" s="122">
        <f>SUM(D66:D67)</f>
        <v>1551.373009547005</v>
      </c>
      <c r="E68" s="122">
        <f>SUM(E66:E67)</f>
        <v>19749.682533654508</v>
      </c>
      <c r="I68" s="9" t="s">
        <v>242</v>
      </c>
      <c r="J68" s="122">
        <f>SUM(J66:J67)</f>
        <v>1895.2879616878261</v>
      </c>
      <c r="K68" s="122">
        <f>SUM(K66:K67)</f>
        <v>1611.9863569152144</v>
      </c>
      <c r="L68" s="122">
        <f>SUM(L66:L67)</f>
        <v>20477.04270207302</v>
      </c>
      <c r="P68" s="9" t="s">
        <v>242</v>
      </c>
      <c r="Q68" s="122">
        <f>SUM(Q66:Q67)</f>
        <v>1955.9013090560354</v>
      </c>
      <c r="R68" s="122">
        <f>SUM(R66:R67)</f>
        <v>1672.599704283424</v>
      </c>
      <c r="S68" s="122">
        <f>SUM(S66:S67)</f>
        <v>21204.402870491536</v>
      </c>
      <c r="W68" s="9" t="s">
        <v>242</v>
      </c>
      <c r="X68" s="122">
        <f>SUM(X66:X67)</f>
        <v>2016.5146564242455</v>
      </c>
      <c r="Y68" s="122">
        <f>SUM(Y66:Y67)</f>
        <v>1733.2130516516338</v>
      </c>
      <c r="Z68" s="122">
        <f>SUM(Z66:Z67)</f>
        <v>21931.763038910052</v>
      </c>
      <c r="AD68" s="9" t="s">
        <v>242</v>
      </c>
      <c r="AE68" s="122">
        <f>SUM(AE66:AE67)</f>
        <v>1592.2212248467783</v>
      </c>
      <c r="AF68" s="122">
        <f>SUM(AF66:AF67)</f>
        <v>1308.9196200741667</v>
      </c>
      <c r="AG68" s="122">
        <f>SUM(AG66:AG67)</f>
        <v>16840.241859980448</v>
      </c>
      <c r="AK68" s="9" t="s">
        <v>242</v>
      </c>
      <c r="AL68" s="122">
        <f>SUM(AL66:AL67)</f>
        <v>1592.2212248467783</v>
      </c>
      <c r="AM68" s="122">
        <f>SUM(AM66:AM67)</f>
        <v>1308.9196200741667</v>
      </c>
      <c r="AN68" s="122">
        <f>SUM(AN66:AN67)</f>
        <v>16840.241859980448</v>
      </c>
      <c r="AR68" s="9" t="s">
        <v>242</v>
      </c>
      <c r="AS68" s="122">
        <f>SUM(AS66:AS67)</f>
        <v>1592.2212248467783</v>
      </c>
      <c r="AT68" s="122">
        <f>SUM(AT66:AT67)</f>
        <v>1308.9196200741667</v>
      </c>
      <c r="AU68" s="122">
        <f>SUM(AU66:AU67)</f>
        <v>16840.241859980448</v>
      </c>
      <c r="AY68" s="9" t="s">
        <v>242</v>
      </c>
      <c r="AZ68" s="122">
        <f>SUM(AZ66:AZ67)</f>
        <v>1592.2212248467783</v>
      </c>
      <c r="BA68" s="122">
        <f>SUM(BA66:BA67)</f>
        <v>1308.9196200741667</v>
      </c>
      <c r="BB68" s="122">
        <f>SUM(BB66:BB67)</f>
        <v>16840.241859980448</v>
      </c>
      <c r="BF68" s="9" t="s">
        <v>242</v>
      </c>
      <c r="BG68" s="122">
        <f>SUM(BG66:BG67)</f>
        <v>1592.2212248467783</v>
      </c>
      <c r="BH68" s="122">
        <f>SUM(BH66:BH67)</f>
        <v>1308.9196200741667</v>
      </c>
      <c r="BI68" s="122">
        <f>SUM(BI66:BI67)</f>
        <v>16840.241859980448</v>
      </c>
      <c r="BM68" s="9" t="s">
        <v>242</v>
      </c>
      <c r="BN68" s="122">
        <f>SUM(BN66:BN67)</f>
        <v>1592.2212248467783</v>
      </c>
      <c r="BO68" s="122">
        <f>SUM(BO66:BO67)</f>
        <v>1308.9196200741667</v>
      </c>
      <c r="BP68" s="122">
        <f>SUM(BP66:BP67)</f>
        <v>16840.241859980448</v>
      </c>
    </row>
    <row r="69" spans="2:69" x14ac:dyDescent="0.35">
      <c r="C69" s="91"/>
      <c r="D69" s="91"/>
      <c r="E69" s="91"/>
      <c r="F69" s="89"/>
      <c r="J69" s="91"/>
      <c r="K69" s="91"/>
      <c r="L69" s="91"/>
      <c r="M69" s="89"/>
      <c r="Q69" s="91"/>
      <c r="R69" s="91"/>
      <c r="S69" s="91"/>
      <c r="T69" s="89"/>
      <c r="X69" s="91"/>
      <c r="Y69" s="91"/>
      <c r="Z69" s="91"/>
      <c r="AA69" s="89"/>
      <c r="AE69" s="91"/>
      <c r="AF69" s="91"/>
      <c r="AG69" s="91"/>
      <c r="AH69" s="89"/>
      <c r="AL69" s="91"/>
      <c r="AM69" s="91"/>
      <c r="AN69" s="91"/>
      <c r="AO69" s="89"/>
      <c r="AS69" s="91"/>
      <c r="AT69" s="91"/>
      <c r="AU69" s="91"/>
      <c r="AV69" s="89"/>
      <c r="AZ69" s="91"/>
      <c r="BA69" s="91"/>
      <c r="BB69" s="91"/>
      <c r="BC69" s="89"/>
      <c r="BG69" s="91"/>
      <c r="BH69" s="91"/>
      <c r="BI69" s="91"/>
      <c r="BJ69" s="89"/>
      <c r="BN69" s="91"/>
      <c r="BO69" s="91"/>
      <c r="BP69" s="91"/>
      <c r="BQ69" s="89"/>
    </row>
    <row r="70" spans="2:69" x14ac:dyDescent="0.35">
      <c r="B70" t="s">
        <v>243</v>
      </c>
      <c r="C70" s="89">
        <f>+E68/12</f>
        <v>1645.8068778045424</v>
      </c>
      <c r="D70" s="85"/>
      <c r="F70" s="92"/>
      <c r="I70" t="s">
        <v>243</v>
      </c>
      <c r="J70" s="89">
        <f>+L68/12</f>
        <v>1706.4202251727518</v>
      </c>
      <c r="K70" s="85"/>
      <c r="M70" s="92"/>
      <c r="P70" t="s">
        <v>243</v>
      </c>
      <c r="Q70" s="89">
        <f>+S68/12</f>
        <v>1767.0335725409614</v>
      </c>
      <c r="R70" s="85"/>
      <c r="T70" s="92"/>
      <c r="W70" t="s">
        <v>243</v>
      </c>
      <c r="X70" s="89">
        <f>+Z68/12</f>
        <v>1827.6469199091709</v>
      </c>
      <c r="Y70" s="85"/>
      <c r="AA70" s="92"/>
      <c r="AD70" t="s">
        <v>243</v>
      </c>
      <c r="AE70" s="89">
        <f>+AG68/12</f>
        <v>1403.3534883317041</v>
      </c>
      <c r="AF70" s="85"/>
      <c r="AH70" s="92"/>
      <c r="AK70" t="s">
        <v>243</v>
      </c>
      <c r="AL70" s="89">
        <f>+AN68/12</f>
        <v>1403.3534883317041</v>
      </c>
      <c r="AM70" s="85"/>
      <c r="AO70" s="92"/>
      <c r="AR70" t="s">
        <v>243</v>
      </c>
      <c r="AS70" s="89">
        <f>+AU68/12</f>
        <v>1403.3534883317041</v>
      </c>
      <c r="AT70" s="85"/>
      <c r="AV70" s="92"/>
      <c r="AY70" t="s">
        <v>243</v>
      </c>
      <c r="AZ70" s="89">
        <f>+BB68/12</f>
        <v>1403.3534883317041</v>
      </c>
      <c r="BA70" s="85"/>
      <c r="BC70" s="92"/>
      <c r="BF70" t="s">
        <v>243</v>
      </c>
      <c r="BG70" s="89">
        <f>+BI68/12</f>
        <v>1403.3534883317041</v>
      </c>
      <c r="BH70" s="85"/>
      <c r="BJ70" s="92"/>
      <c r="BM70" t="s">
        <v>243</v>
      </c>
      <c r="BN70" s="89">
        <f>+BP68/12</f>
        <v>1403.3534883317041</v>
      </c>
      <c r="BO70" s="85"/>
      <c r="BQ70" s="92"/>
    </row>
    <row r="71" spans="2:69" x14ac:dyDescent="0.35">
      <c r="B71" s="9" t="s">
        <v>244</v>
      </c>
      <c r="C71" s="93">
        <f>F17</f>
        <v>2312.6399999999994</v>
      </c>
      <c r="F71" s="87"/>
      <c r="I71" s="9" t="s">
        <v>244</v>
      </c>
      <c r="J71" s="93">
        <f>M17</f>
        <v>2890.8000000000006</v>
      </c>
      <c r="M71" s="87"/>
      <c r="P71" s="9" t="s">
        <v>244</v>
      </c>
      <c r="Q71" s="93">
        <f>T17</f>
        <v>3468.9599999999991</v>
      </c>
      <c r="T71" s="87"/>
      <c r="W71" s="9" t="s">
        <v>244</v>
      </c>
      <c r="X71" s="93">
        <f>AA17</f>
        <v>4047.1199999999994</v>
      </c>
      <c r="AA71" s="87"/>
      <c r="AD71" s="9" t="s">
        <v>244</v>
      </c>
      <c r="AE71" s="93">
        <f>AH17</f>
        <v>0</v>
      </c>
      <c r="AH71" s="87"/>
      <c r="AK71" s="9" t="s">
        <v>244</v>
      </c>
      <c r="AL71" s="93">
        <f>AO17</f>
        <v>0</v>
      </c>
      <c r="AO71" s="87"/>
      <c r="AR71" s="9" t="s">
        <v>244</v>
      </c>
      <c r="AS71" s="93">
        <f>AV17</f>
        <v>0</v>
      </c>
      <c r="AV71" s="87"/>
      <c r="AY71" s="9" t="s">
        <v>244</v>
      </c>
      <c r="AZ71" s="93">
        <f>BC17</f>
        <v>0</v>
      </c>
      <c r="BC71" s="87"/>
      <c r="BF71" s="9" t="s">
        <v>244</v>
      </c>
      <c r="BG71" s="93">
        <f>BJ17</f>
        <v>0</v>
      </c>
      <c r="BJ71" s="87"/>
      <c r="BM71" s="9" t="s">
        <v>244</v>
      </c>
      <c r="BN71" s="93">
        <f>BQ17</f>
        <v>0</v>
      </c>
      <c r="BQ71" s="87"/>
    </row>
    <row r="72" spans="2:69" x14ac:dyDescent="0.35">
      <c r="B72" s="9" t="s">
        <v>245</v>
      </c>
      <c r="C72" s="94">
        <f>(C70/C71)*100</f>
        <v>71.165718737224253</v>
      </c>
      <c r="F72" s="94"/>
      <c r="I72" s="9" t="s">
        <v>245</v>
      </c>
      <c r="J72" s="94">
        <f>(J70/J71)*100</f>
        <v>59.029342229581829</v>
      </c>
      <c r="M72" s="94"/>
      <c r="P72" s="9" t="s">
        <v>245</v>
      </c>
      <c r="Q72" s="94">
        <f>(Q70/Q71)*100</f>
        <v>50.938424557820262</v>
      </c>
      <c r="T72" s="94"/>
      <c r="W72" s="9" t="s">
        <v>245</v>
      </c>
      <c r="X72" s="94">
        <f>(X70/X71)*100</f>
        <v>45.159197649419127</v>
      </c>
      <c r="AA72" s="94"/>
      <c r="AD72" s="9" t="s">
        <v>245</v>
      </c>
      <c r="AE72" s="94" t="e">
        <f>(AE70/AE71)*100</f>
        <v>#DIV/0!</v>
      </c>
      <c r="AH72" s="94"/>
      <c r="AK72" s="9" t="s">
        <v>245</v>
      </c>
      <c r="AL72" s="94" t="e">
        <f>(AL70/AL71)*100</f>
        <v>#DIV/0!</v>
      </c>
      <c r="AO72" s="94"/>
      <c r="AR72" s="9" t="s">
        <v>245</v>
      </c>
      <c r="AS72" s="94" t="e">
        <f>(AS70/AS71)*100</f>
        <v>#DIV/0!</v>
      </c>
      <c r="AV72" s="94"/>
      <c r="AY72" s="9" t="s">
        <v>245</v>
      </c>
      <c r="AZ72" s="94" t="e">
        <f>(AZ70/AZ71)*100</f>
        <v>#DIV/0!</v>
      </c>
      <c r="BC72" s="94"/>
      <c r="BF72" s="9" t="s">
        <v>245</v>
      </c>
      <c r="BG72" s="94" t="e">
        <f>(BG70/BG71)*100</f>
        <v>#DIV/0!</v>
      </c>
      <c r="BJ72" s="94"/>
      <c r="BM72" s="9" t="s">
        <v>245</v>
      </c>
      <c r="BN72" s="94" t="e">
        <f>(BN70/BN71)*100</f>
        <v>#DIV/0!</v>
      </c>
      <c r="BQ72" s="94"/>
    </row>
    <row r="73" spans="2:69" x14ac:dyDescent="0.35">
      <c r="B73" s="9" t="s">
        <v>246</v>
      </c>
      <c r="C73" s="104">
        <f>E64/F17</f>
        <v>1.2805496845205202</v>
      </c>
      <c r="D73" s="89"/>
      <c r="I73" s="9" t="s">
        <v>246</v>
      </c>
      <c r="J73" s="104">
        <f>L64/M17</f>
        <v>1.1309448645616158</v>
      </c>
      <c r="K73" s="89"/>
      <c r="P73" s="9" t="s">
        <v>246</v>
      </c>
      <c r="Q73" s="104">
        <f>S64/T17</f>
        <v>1.0312083179223466</v>
      </c>
      <c r="R73" s="89"/>
      <c r="W73" s="9" t="s">
        <v>246</v>
      </c>
      <c r="X73" s="104">
        <f>Z64/AA17</f>
        <v>0.95996792746572601</v>
      </c>
      <c r="Y73" s="89"/>
      <c r="AD73" s="9" t="s">
        <v>246</v>
      </c>
      <c r="AE73" s="104" t="e">
        <f>AG64/AH17</f>
        <v>#DIV/0!</v>
      </c>
      <c r="AF73" s="89"/>
      <c r="AK73" s="9" t="s">
        <v>246</v>
      </c>
      <c r="AL73" s="104" t="e">
        <f>AN64/AO17</f>
        <v>#DIV/0!</v>
      </c>
      <c r="AM73" s="89"/>
      <c r="AR73" s="9" t="s">
        <v>246</v>
      </c>
      <c r="AS73" s="104" t="e">
        <f>AU64/AV17</f>
        <v>#DIV/0!</v>
      </c>
      <c r="AT73" s="89"/>
      <c r="AY73" s="9" t="s">
        <v>246</v>
      </c>
      <c r="AZ73" s="104" t="e">
        <f>BB64/BC17</f>
        <v>#DIV/0!</v>
      </c>
      <c r="BA73" s="89"/>
      <c r="BF73" s="9" t="s">
        <v>246</v>
      </c>
      <c r="BG73" s="104" t="e">
        <f>BI64/BJ17</f>
        <v>#DIV/0!</v>
      </c>
      <c r="BH73" s="89"/>
      <c r="BM73" s="9" t="s">
        <v>246</v>
      </c>
      <c r="BN73" s="104" t="e">
        <f>BP64/BQ17</f>
        <v>#DIV/0!</v>
      </c>
      <c r="BO73" s="89"/>
    </row>
    <row r="74" spans="2:69" x14ac:dyDescent="0.35">
      <c r="B74" s="9" t="s">
        <v>247</v>
      </c>
      <c r="C74" s="104">
        <f>E51/F17</f>
        <v>6.5632034713618301</v>
      </c>
      <c r="D74" s="85"/>
      <c r="I74" s="9" t="s">
        <v>247</v>
      </c>
      <c r="J74" s="104">
        <f>L51/M17</f>
        <v>5.3751594454726614</v>
      </c>
      <c r="K74" s="85"/>
      <c r="P74" s="9" t="s">
        <v>247</v>
      </c>
      <c r="Q74" s="104">
        <f>S51/T17</f>
        <v>4.5831300948798868</v>
      </c>
      <c r="R74" s="85"/>
      <c r="W74" s="9" t="s">
        <v>247</v>
      </c>
      <c r="X74" s="104">
        <f>Z51/AA17</f>
        <v>4.0173948444564731</v>
      </c>
      <c r="Y74" s="85"/>
      <c r="AD74" s="9" t="s">
        <v>247</v>
      </c>
      <c r="AE74" s="104" t="e">
        <f>AG51/AH17</f>
        <v>#DIV/0!</v>
      </c>
      <c r="AF74" s="85"/>
      <c r="AK74" s="9" t="s">
        <v>247</v>
      </c>
      <c r="AL74" s="104" t="e">
        <f>AN51/AO17</f>
        <v>#DIV/0!</v>
      </c>
      <c r="AM74" s="85"/>
      <c r="AR74" s="9" t="s">
        <v>247</v>
      </c>
      <c r="AS74" s="104" t="e">
        <f>AU51/AV17</f>
        <v>#DIV/0!</v>
      </c>
      <c r="AT74" s="85"/>
      <c r="AY74" s="9" t="s">
        <v>247</v>
      </c>
      <c r="AZ74" s="104" t="e">
        <f>BB51/BC17</f>
        <v>#DIV/0!</v>
      </c>
      <c r="BA74" s="85"/>
      <c r="BF74" s="9" t="s">
        <v>247</v>
      </c>
      <c r="BG74" s="104" t="e">
        <f>BI51/BJ17</f>
        <v>#DIV/0!</v>
      </c>
      <c r="BH74" s="85"/>
      <c r="BM74" s="9" t="s">
        <v>247</v>
      </c>
      <c r="BN74" s="104" t="e">
        <f>BP51/BQ17</f>
        <v>#DIV/0!</v>
      </c>
      <c r="BO74" s="85"/>
    </row>
    <row r="75" spans="2:69" x14ac:dyDescent="0.35">
      <c r="C75" s="85"/>
      <c r="J75" s="85"/>
      <c r="Q75" s="85"/>
      <c r="X75" s="85"/>
      <c r="AE75" s="85"/>
      <c r="AL75" s="85"/>
      <c r="AS75" s="85"/>
      <c r="AZ75" s="85"/>
      <c r="BG75" s="85"/>
      <c r="BN75" s="85"/>
    </row>
    <row r="76" spans="2:69" x14ac:dyDescent="0.35">
      <c r="B76" s="9"/>
      <c r="D76" s="89"/>
      <c r="I76" s="9"/>
      <c r="K76" s="89"/>
      <c r="P76" s="9"/>
      <c r="R76" s="89"/>
      <c r="W76" s="9"/>
      <c r="Y76" s="89"/>
      <c r="AD76" s="9"/>
      <c r="AF76" s="89"/>
      <c r="AK76" s="9"/>
      <c r="AM76" s="89"/>
      <c r="AR76" s="9"/>
      <c r="AT76" s="89"/>
      <c r="AY76" s="9"/>
      <c r="BA76" s="89"/>
      <c r="BF76" s="9"/>
      <c r="BH76" s="89"/>
      <c r="BM76" s="9"/>
      <c r="BO76" s="89"/>
    </row>
  </sheetData>
  <mergeCells count="20">
    <mergeCell ref="AS34:AT34"/>
    <mergeCell ref="AZ34:BA34"/>
    <mergeCell ref="BG34:BH34"/>
    <mergeCell ref="BN34:BO34"/>
    <mergeCell ref="AS27:AT27"/>
    <mergeCell ref="AZ27:BA27"/>
    <mergeCell ref="BG27:BH27"/>
    <mergeCell ref="BN27:BO27"/>
    <mergeCell ref="AL34:AM34"/>
    <mergeCell ref="C27:D27"/>
    <mergeCell ref="J27:K27"/>
    <mergeCell ref="Q27:R27"/>
    <mergeCell ref="X27:Y27"/>
    <mergeCell ref="AE27:AF27"/>
    <mergeCell ref="AL27:AM27"/>
    <mergeCell ref="C34:D34"/>
    <mergeCell ref="J34:K34"/>
    <mergeCell ref="Q34:R34"/>
    <mergeCell ref="X34:Y34"/>
    <mergeCell ref="AE34:AF34"/>
  </mergeCells>
  <pageMargins left="0.7" right="0.7" top="0.75" bottom="0.75" header="0.3" footer="0.3"/>
  <pageSetup scale="48" orientation="landscape" r:id="rId1"/>
  <headerFooter>
    <oddFooter>&amp;L&amp;Z&amp;F&amp;A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R76"/>
  <sheetViews>
    <sheetView topLeftCell="A43" zoomScaleNormal="100" workbookViewId="0">
      <selection activeCell="E30" sqref="E30"/>
    </sheetView>
  </sheetViews>
  <sheetFormatPr defaultColWidth="9.1796875" defaultRowHeight="14.5" x14ac:dyDescent="0.35"/>
  <cols>
    <col min="1" max="1" width="1.453125" customWidth="1"/>
    <col min="2" max="2" width="27.1796875" customWidth="1"/>
    <col min="3" max="3" width="17.81640625" bestFit="1" customWidth="1"/>
    <col min="4" max="4" width="14.26953125" customWidth="1"/>
    <col min="5" max="5" width="18.7265625" bestFit="1" customWidth="1"/>
    <col min="6" max="6" width="13.81640625" bestFit="1" customWidth="1"/>
    <col min="7" max="7" width="15" bestFit="1" customWidth="1"/>
    <col min="8" max="8" width="2.453125" customWidth="1"/>
    <col min="9" max="9" width="27.1796875" customWidth="1"/>
    <col min="10" max="10" width="17.81640625" bestFit="1" customWidth="1"/>
    <col min="11" max="11" width="14.26953125" customWidth="1"/>
    <col min="12" max="12" width="22.7265625" bestFit="1" customWidth="1"/>
    <col min="13" max="13" width="13.81640625" bestFit="1" customWidth="1"/>
    <col min="14" max="14" width="15" bestFit="1" customWidth="1"/>
    <col min="15" max="15" width="3.1796875" customWidth="1"/>
    <col min="16" max="16" width="27.1796875" customWidth="1"/>
    <col min="17" max="17" width="17.81640625" bestFit="1" customWidth="1"/>
    <col min="18" max="18" width="14.26953125" customWidth="1"/>
    <col min="19" max="19" width="22.7265625" bestFit="1" customWidth="1"/>
    <col min="20" max="20" width="13.81640625" bestFit="1" customWidth="1"/>
    <col min="21" max="21" width="15" bestFit="1" customWidth="1"/>
    <col min="22" max="22" width="3.1796875" customWidth="1"/>
    <col min="23" max="23" width="27.1796875" customWidth="1"/>
    <col min="24" max="24" width="17.81640625" bestFit="1" customWidth="1"/>
    <col min="25" max="25" width="14.26953125" customWidth="1"/>
    <col min="26" max="26" width="22.7265625" bestFit="1" customWidth="1"/>
    <col min="27" max="27" width="13.81640625" bestFit="1" customWidth="1"/>
    <col min="28" max="28" width="15" bestFit="1" customWidth="1"/>
    <col min="29" max="29" width="3.1796875" customWidth="1"/>
    <col min="30" max="30" width="27.1796875" customWidth="1"/>
    <col min="31" max="31" width="17.81640625" bestFit="1" customWidth="1"/>
    <col min="32" max="32" width="14.26953125" customWidth="1"/>
    <col min="33" max="33" width="22.7265625" bestFit="1" customWidth="1"/>
    <col min="34" max="34" width="13.81640625" bestFit="1" customWidth="1"/>
    <col min="35" max="35" width="15" bestFit="1" customWidth="1"/>
    <col min="36" max="36" width="3.1796875" customWidth="1"/>
    <col min="37" max="37" width="27.1796875" customWidth="1"/>
    <col min="38" max="38" width="17.81640625" bestFit="1" customWidth="1"/>
    <col min="39" max="39" width="14.26953125" customWidth="1"/>
    <col min="40" max="40" width="22.7265625" bestFit="1" customWidth="1"/>
    <col min="41" max="41" width="13.81640625" bestFit="1" customWidth="1"/>
    <col min="42" max="42" width="15" bestFit="1" customWidth="1"/>
    <col min="43" max="43" width="3.1796875" customWidth="1"/>
    <col min="44" max="44" width="27.1796875" customWidth="1"/>
    <col min="45" max="45" width="17.81640625" bestFit="1" customWidth="1"/>
    <col min="46" max="46" width="14.26953125" customWidth="1"/>
    <col min="47" max="47" width="22.7265625" bestFit="1" customWidth="1"/>
    <col min="48" max="48" width="13.81640625" bestFit="1" customWidth="1"/>
    <col min="49" max="49" width="15" bestFit="1" customWidth="1"/>
    <col min="50" max="50" width="3.1796875" customWidth="1"/>
    <col min="51" max="51" width="27.1796875" customWidth="1"/>
    <col min="52" max="52" width="17.81640625" bestFit="1" customWidth="1"/>
    <col min="53" max="53" width="14.26953125" customWidth="1"/>
    <col min="54" max="54" width="22.7265625" bestFit="1" customWidth="1"/>
    <col min="55" max="55" width="13.81640625" bestFit="1" customWidth="1"/>
    <col min="56" max="56" width="15" bestFit="1" customWidth="1"/>
    <col min="57" max="57" width="3.1796875" customWidth="1"/>
    <col min="58" max="58" width="27.1796875" customWidth="1"/>
    <col min="59" max="59" width="17.81640625" bestFit="1" customWidth="1"/>
    <col min="60" max="60" width="14.26953125" customWidth="1"/>
    <col min="61" max="61" width="22.7265625" bestFit="1" customWidth="1"/>
    <col min="62" max="62" width="13.81640625" bestFit="1" customWidth="1"/>
    <col min="63" max="63" width="15" bestFit="1" customWidth="1"/>
    <col min="64" max="64" width="3.1796875" customWidth="1"/>
    <col min="65" max="65" width="27.1796875" customWidth="1"/>
    <col min="66" max="66" width="17.81640625" bestFit="1" customWidth="1"/>
    <col min="67" max="67" width="14.26953125" customWidth="1"/>
    <col min="68" max="68" width="22.7265625" bestFit="1" customWidth="1"/>
    <col min="69" max="69" width="13.81640625" bestFit="1" customWidth="1"/>
    <col min="70" max="70" width="15" bestFit="1" customWidth="1"/>
  </cols>
  <sheetData>
    <row r="1" spans="2:70" ht="15" thickBot="1" x14ac:dyDescent="0.4">
      <c r="B1" s="107" t="s">
        <v>73</v>
      </c>
      <c r="C1" s="108">
        <v>1</v>
      </c>
      <c r="I1" s="107" t="s">
        <v>73</v>
      </c>
      <c r="J1" s="108">
        <v>2</v>
      </c>
      <c r="P1" s="107" t="s">
        <v>73</v>
      </c>
      <c r="Q1" s="108">
        <v>3</v>
      </c>
      <c r="W1" s="107" t="s">
        <v>73</v>
      </c>
      <c r="X1" s="108">
        <v>4</v>
      </c>
      <c r="AD1" s="107" t="s">
        <v>73</v>
      </c>
      <c r="AE1" s="108">
        <v>5</v>
      </c>
      <c r="AK1" s="107" t="s">
        <v>73</v>
      </c>
      <c r="AL1" s="108">
        <v>6</v>
      </c>
      <c r="AR1" s="107" t="s">
        <v>73</v>
      </c>
      <c r="AS1" s="108">
        <v>7</v>
      </c>
      <c r="AY1" s="107" t="s">
        <v>73</v>
      </c>
      <c r="AZ1" s="125">
        <v>8</v>
      </c>
      <c r="BF1" s="107" t="s">
        <v>73</v>
      </c>
      <c r="BG1" s="125">
        <v>9</v>
      </c>
      <c r="BM1" s="107" t="s">
        <v>73</v>
      </c>
      <c r="BN1" s="125">
        <v>10</v>
      </c>
    </row>
    <row r="2" spans="2:70" x14ac:dyDescent="0.35">
      <c r="B2" t="s">
        <v>74</v>
      </c>
      <c r="C2" s="106">
        <f>+Assumptions!K9</f>
        <v>0.08</v>
      </c>
      <c r="I2" t="s">
        <v>74</v>
      </c>
      <c r="J2" s="106">
        <f>+Assumptions!L9</f>
        <v>0.1</v>
      </c>
      <c r="P2" t="s">
        <v>74</v>
      </c>
      <c r="Q2" s="106">
        <f>+Assumptions!M9</f>
        <v>0.12</v>
      </c>
      <c r="W2" t="s">
        <v>74</v>
      </c>
      <c r="X2" s="106">
        <f>+Assumptions!N9</f>
        <v>0.14000000000000001</v>
      </c>
      <c r="AD2" t="s">
        <v>74</v>
      </c>
      <c r="AE2" s="106">
        <f>+Assumptions!O9</f>
        <v>0</v>
      </c>
      <c r="AK2" t="s">
        <v>74</v>
      </c>
      <c r="AL2" s="106">
        <f>+Assumptions!P9</f>
        <v>0</v>
      </c>
      <c r="AR2" t="s">
        <v>74</v>
      </c>
      <c r="AS2" s="106">
        <f>+Assumptions!Q9</f>
        <v>0</v>
      </c>
      <c r="AY2" t="s">
        <v>74</v>
      </c>
      <c r="AZ2" s="106">
        <f>+Assumptions!R9</f>
        <v>0</v>
      </c>
      <c r="BF2" t="s">
        <v>74</v>
      </c>
      <c r="BG2" s="106">
        <f>+Assumptions!S9</f>
        <v>0</v>
      </c>
      <c r="BM2" t="s">
        <v>74</v>
      </c>
      <c r="BN2" s="106">
        <f>+Assumptions!T9</f>
        <v>0</v>
      </c>
    </row>
    <row r="3" spans="2:70" x14ac:dyDescent="0.35">
      <c r="B3" t="s">
        <v>206</v>
      </c>
      <c r="C3" s="98">
        <f>F17*12</f>
        <v>9250.56</v>
      </c>
      <c r="I3" t="s">
        <v>206</v>
      </c>
      <c r="J3" s="98">
        <f>M17*12</f>
        <v>11563.2</v>
      </c>
      <c r="P3" t="s">
        <v>206</v>
      </c>
      <c r="Q3" s="98">
        <f>T17*12</f>
        <v>13875.84</v>
      </c>
      <c r="W3" t="s">
        <v>206</v>
      </c>
      <c r="X3" s="98">
        <f>AA17*12</f>
        <v>16188.480000000003</v>
      </c>
      <c r="AD3" t="s">
        <v>206</v>
      </c>
      <c r="AE3" s="98">
        <f>AH17*12</f>
        <v>0</v>
      </c>
      <c r="AK3" t="s">
        <v>206</v>
      </c>
      <c r="AL3" s="98">
        <f>AO17*12</f>
        <v>0</v>
      </c>
      <c r="AR3" t="s">
        <v>206</v>
      </c>
      <c r="AS3" s="98">
        <f>AV17*12</f>
        <v>0</v>
      </c>
      <c r="AY3" t="s">
        <v>206</v>
      </c>
      <c r="AZ3" s="98">
        <f>BC17*12</f>
        <v>0</v>
      </c>
      <c r="BF3" t="s">
        <v>206</v>
      </c>
      <c r="BG3" s="98">
        <f>BJ17*12</f>
        <v>0</v>
      </c>
      <c r="BM3" t="s">
        <v>206</v>
      </c>
      <c r="BN3" s="98">
        <f>BQ17*12</f>
        <v>0</v>
      </c>
    </row>
    <row r="4" spans="2:70" x14ac:dyDescent="0.35">
      <c r="B4" t="s">
        <v>207</v>
      </c>
      <c r="C4" s="99">
        <f>+F14</f>
        <v>4.6199999999999992</v>
      </c>
      <c r="I4" t="s">
        <v>207</v>
      </c>
      <c r="J4" s="99">
        <f>+M14</f>
        <v>4.6199999999999992</v>
      </c>
      <c r="P4" t="s">
        <v>207</v>
      </c>
      <c r="Q4" s="99">
        <f>+T14</f>
        <v>4.6199999999999992</v>
      </c>
      <c r="W4" t="s">
        <v>207</v>
      </c>
      <c r="X4" s="99">
        <f>+AA14</f>
        <v>4.6199999999999992</v>
      </c>
      <c r="AD4" t="s">
        <v>207</v>
      </c>
      <c r="AE4" s="99">
        <f>+AH14</f>
        <v>4.6199999999999992</v>
      </c>
      <c r="AK4" t="s">
        <v>207</v>
      </c>
      <c r="AL4" s="99">
        <f>+AO14</f>
        <v>4.6199999999999992</v>
      </c>
      <c r="AR4" t="s">
        <v>207</v>
      </c>
      <c r="AS4" s="99">
        <f>+AV14</f>
        <v>4.6199999999999992</v>
      </c>
      <c r="AY4" t="s">
        <v>207</v>
      </c>
      <c r="AZ4" s="99">
        <f>+BC14</f>
        <v>4.6199999999999992</v>
      </c>
      <c r="BF4" t="s">
        <v>207</v>
      </c>
      <c r="BG4" s="99">
        <f>+BJ14</f>
        <v>4.6199999999999992</v>
      </c>
      <c r="BM4" t="s">
        <v>207</v>
      </c>
      <c r="BN4" s="99">
        <f>+BQ14</f>
        <v>4.6199999999999992</v>
      </c>
    </row>
    <row r="5" spans="2:70" x14ac:dyDescent="0.35">
      <c r="C5" s="99"/>
      <c r="J5" s="99"/>
      <c r="Q5" s="99"/>
      <c r="X5" s="99"/>
      <c r="AE5" s="99"/>
      <c r="AL5" s="99"/>
      <c r="AS5" s="99"/>
      <c r="AZ5" s="99"/>
      <c r="BG5" s="99"/>
      <c r="BN5" s="99"/>
    </row>
    <row r="6" spans="2:70" x14ac:dyDescent="0.35">
      <c r="B6" s="26" t="s">
        <v>208</v>
      </c>
      <c r="C6" s="92">
        <f>+E29</f>
        <v>0</v>
      </c>
      <c r="D6" s="143"/>
      <c r="I6" s="26" t="s">
        <v>208</v>
      </c>
      <c r="J6" s="92">
        <f>+L29</f>
        <v>0</v>
      </c>
      <c r="K6" s="143"/>
      <c r="P6" s="26" t="s">
        <v>208</v>
      </c>
      <c r="Q6" s="92">
        <f>+S29</f>
        <v>0</v>
      </c>
      <c r="R6" s="143"/>
      <c r="W6" s="26" t="s">
        <v>208</v>
      </c>
      <c r="X6" s="92">
        <f>+Z29</f>
        <v>0</v>
      </c>
      <c r="Y6" s="143"/>
      <c r="AD6" s="26" t="s">
        <v>208</v>
      </c>
      <c r="AE6" s="92">
        <f>+AG29</f>
        <v>0</v>
      </c>
      <c r="AF6" s="143"/>
      <c r="AK6" s="26" t="s">
        <v>208</v>
      </c>
      <c r="AL6" s="92">
        <f>+AN29</f>
        <v>0</v>
      </c>
      <c r="AM6" s="143"/>
      <c r="AR6" s="26" t="s">
        <v>208</v>
      </c>
      <c r="AS6" s="92">
        <f>+AU29</f>
        <v>0</v>
      </c>
      <c r="AT6" s="143"/>
      <c r="AY6" s="26" t="s">
        <v>208</v>
      </c>
      <c r="AZ6" s="92">
        <f>+BB29</f>
        <v>0</v>
      </c>
      <c r="BA6" s="143"/>
      <c r="BF6" s="26" t="s">
        <v>208</v>
      </c>
      <c r="BG6" s="92">
        <f>+BI29</f>
        <v>0</v>
      </c>
      <c r="BH6" s="143"/>
      <c r="BM6" s="26" t="s">
        <v>208</v>
      </c>
      <c r="BN6" s="92">
        <f>+BP29</f>
        <v>0</v>
      </c>
      <c r="BO6" s="143"/>
    </row>
    <row r="7" spans="2:70" x14ac:dyDescent="0.35">
      <c r="B7" s="26" t="s">
        <v>209</v>
      </c>
      <c r="C7" s="92">
        <f>+E30</f>
        <v>1097.7331199999999</v>
      </c>
      <c r="D7" s="143"/>
      <c r="I7" s="26" t="s">
        <v>209</v>
      </c>
      <c r="J7" s="92">
        <f>+L30</f>
        <v>1372.1664000000001</v>
      </c>
      <c r="K7" s="143"/>
      <c r="P7" s="26" t="s">
        <v>209</v>
      </c>
      <c r="Q7" s="92">
        <f>+S30</f>
        <v>1646.5996799999998</v>
      </c>
      <c r="R7" s="143"/>
      <c r="W7" s="26" t="s">
        <v>209</v>
      </c>
      <c r="X7" s="92">
        <f>+Z30</f>
        <v>1921.03296</v>
      </c>
      <c r="Y7" s="143"/>
      <c r="AD7" s="26" t="s">
        <v>209</v>
      </c>
      <c r="AE7" s="92">
        <f>+AG30</f>
        <v>0</v>
      </c>
      <c r="AF7" s="143"/>
      <c r="AK7" s="26" t="s">
        <v>209</v>
      </c>
      <c r="AL7" s="92">
        <f>+AN30</f>
        <v>0</v>
      </c>
      <c r="AM7" s="143"/>
      <c r="AR7" s="26" t="s">
        <v>209</v>
      </c>
      <c r="AS7" s="92">
        <f>+AU30</f>
        <v>0</v>
      </c>
      <c r="AT7" s="143"/>
      <c r="AY7" s="26" t="s">
        <v>209</v>
      </c>
      <c r="AZ7" s="92">
        <f>+BB30</f>
        <v>0</v>
      </c>
      <c r="BA7" s="143"/>
      <c r="BF7" s="26" t="s">
        <v>209</v>
      </c>
      <c r="BG7" s="92">
        <f>+BI30</f>
        <v>0</v>
      </c>
      <c r="BH7" s="143"/>
      <c r="BM7" s="26" t="s">
        <v>209</v>
      </c>
      <c r="BN7" s="92">
        <f>+BP30</f>
        <v>0</v>
      </c>
      <c r="BO7" s="143"/>
    </row>
    <row r="8" spans="2:70" x14ac:dyDescent="0.35">
      <c r="B8" s="1" t="s">
        <v>210</v>
      </c>
      <c r="C8" s="124">
        <f>+E64</f>
        <v>750.72298948614537</v>
      </c>
      <c r="D8" s="143"/>
      <c r="I8" s="1" t="s">
        <v>210</v>
      </c>
      <c r="J8" s="124">
        <f>+L64</f>
        <v>938.40373685768168</v>
      </c>
      <c r="K8" s="143"/>
      <c r="P8" s="1" t="s">
        <v>210</v>
      </c>
      <c r="Q8" s="124">
        <f>+S64</f>
        <v>1126.0844842292179</v>
      </c>
      <c r="R8" s="143"/>
      <c r="W8" s="1" t="s">
        <v>210</v>
      </c>
      <c r="X8" s="124">
        <f>+Z64</f>
        <v>1313.7652316007543</v>
      </c>
      <c r="Y8" s="143"/>
      <c r="AD8" s="1" t="s">
        <v>210</v>
      </c>
      <c r="AE8" s="124">
        <f>+AG64</f>
        <v>0</v>
      </c>
      <c r="AF8" s="143"/>
      <c r="AK8" s="1" t="s">
        <v>210</v>
      </c>
      <c r="AL8" s="124">
        <f>+AN64</f>
        <v>0</v>
      </c>
      <c r="AM8" s="143"/>
      <c r="AR8" s="1" t="s">
        <v>210</v>
      </c>
      <c r="AS8" s="124">
        <f>+AU64</f>
        <v>0</v>
      </c>
      <c r="AT8" s="143"/>
      <c r="AY8" s="1" t="s">
        <v>210</v>
      </c>
      <c r="AZ8" s="124">
        <f>+BB64</f>
        <v>0</v>
      </c>
      <c r="BA8" s="143"/>
      <c r="BF8" s="1" t="s">
        <v>210</v>
      </c>
      <c r="BG8" s="124">
        <f>+BI64</f>
        <v>0</v>
      </c>
      <c r="BH8" s="143"/>
      <c r="BM8" s="1" t="s">
        <v>210</v>
      </c>
      <c r="BN8" s="124">
        <f>+BP64</f>
        <v>0</v>
      </c>
      <c r="BO8" s="143"/>
    </row>
    <row r="9" spans="2:70" x14ac:dyDescent="0.35">
      <c r="B9" s="1" t="s">
        <v>211</v>
      </c>
      <c r="C9" s="204">
        <f>+E67+E46+E50+E31</f>
        <v>893.60152779189855</v>
      </c>
      <c r="D9" s="143"/>
      <c r="I9" s="1" t="s">
        <v>211</v>
      </c>
      <c r="J9" s="204">
        <f>+L67+L46+L50+L31</f>
        <v>1018.6299642105483</v>
      </c>
      <c r="K9" s="143"/>
      <c r="P9" s="1" t="s">
        <v>211</v>
      </c>
      <c r="Q9" s="114">
        <f>+S67+S46+S50+S31</f>
        <v>1143.6584006291978</v>
      </c>
      <c r="R9" s="143"/>
      <c r="W9" s="1" t="s">
        <v>211</v>
      </c>
      <c r="X9" s="114">
        <f>+Z67+Z46+Z50+Z31</f>
        <v>1268.6868370478476</v>
      </c>
      <c r="Y9" s="143"/>
      <c r="AD9" s="1" t="s">
        <v>211</v>
      </c>
      <c r="AE9" s="114">
        <f>+AG67+AG46+AG50+AG31</f>
        <v>393.48778211730007</v>
      </c>
      <c r="AF9" s="143"/>
      <c r="AK9" s="1" t="s">
        <v>211</v>
      </c>
      <c r="AL9" s="114">
        <f>+AN67+AN46+AN50+AN31</f>
        <v>393.48778211730007</v>
      </c>
      <c r="AM9" s="143"/>
      <c r="AR9" s="1" t="s">
        <v>211</v>
      </c>
      <c r="AS9" s="114">
        <f>+AU67+AU46+AU50+AU31</f>
        <v>393.48778211730007</v>
      </c>
      <c r="AT9" s="143"/>
      <c r="AY9" s="1" t="s">
        <v>211</v>
      </c>
      <c r="AZ9" s="114">
        <f>+BB67+BB46+BB50+BB31</f>
        <v>393.48778211730007</v>
      </c>
      <c r="BA9" s="143"/>
      <c r="BF9" s="1" t="s">
        <v>211</v>
      </c>
      <c r="BG9" s="114">
        <f>+BI67+BI46+BI50+BI31</f>
        <v>393.48778211730007</v>
      </c>
      <c r="BH9" s="143"/>
      <c r="BM9" s="1" t="s">
        <v>211</v>
      </c>
      <c r="BN9" s="114">
        <f>+BP67+BP46+BP50+BP31</f>
        <v>393.48778211730007</v>
      </c>
      <c r="BO9" s="143"/>
    </row>
    <row r="10" spans="2:70" x14ac:dyDescent="0.35">
      <c r="B10" s="1"/>
      <c r="C10" s="92">
        <f>+SUM(C6:C9)</f>
        <v>2742.0576372780438</v>
      </c>
      <c r="D10" s="143"/>
      <c r="I10" s="1"/>
      <c r="J10" s="92">
        <f>+SUM(J6:J9)</f>
        <v>3329.2001010682302</v>
      </c>
      <c r="K10" s="143"/>
      <c r="P10" s="1"/>
      <c r="Q10" s="92">
        <f>+SUM(Q6:Q9)</f>
        <v>3916.3425648584152</v>
      </c>
      <c r="R10" s="143"/>
      <c r="W10" s="1"/>
      <c r="X10" s="92">
        <f>+SUM(X6:X9)</f>
        <v>4503.4850286486017</v>
      </c>
      <c r="Y10" s="143"/>
      <c r="AD10" s="1"/>
      <c r="AE10" s="92">
        <f>+SUM(AE6:AE9)</f>
        <v>393.48778211730007</v>
      </c>
      <c r="AF10" s="143"/>
      <c r="AK10" s="1"/>
      <c r="AL10" s="92">
        <f>+SUM(AL6:AL9)</f>
        <v>393.48778211730007</v>
      </c>
      <c r="AM10" s="143"/>
      <c r="AR10" s="1"/>
      <c r="AS10" s="92">
        <f>+SUM(AS6:AS9)</f>
        <v>393.48778211730007</v>
      </c>
      <c r="AT10" s="143"/>
      <c r="AY10" s="1"/>
      <c r="AZ10" s="92">
        <f>+SUM(AZ6:AZ9)</f>
        <v>393.48778211730007</v>
      </c>
      <c r="BA10" s="143"/>
      <c r="BF10" s="1"/>
      <c r="BG10" s="92">
        <f>+SUM(BG6:BG9)</f>
        <v>393.48778211730007</v>
      </c>
      <c r="BH10" s="143"/>
      <c r="BM10" s="1"/>
      <c r="BN10" s="92">
        <f>+SUM(BN6:BN9)</f>
        <v>393.48778211730007</v>
      </c>
      <c r="BO10" s="143"/>
    </row>
    <row r="12" spans="2:70" x14ac:dyDescent="0.35">
      <c r="B12" s="191" t="s">
        <v>212</v>
      </c>
      <c r="C12" s="192"/>
      <c r="D12" s="193"/>
      <c r="E12" s="193"/>
      <c r="F12" s="194"/>
      <c r="G12" s="202"/>
      <c r="I12" s="191" t="s">
        <v>212</v>
      </c>
      <c r="J12" s="192"/>
      <c r="K12" s="193"/>
      <c r="L12" s="193"/>
      <c r="M12" s="194"/>
      <c r="N12" s="202"/>
      <c r="P12" s="191" t="s">
        <v>212</v>
      </c>
      <c r="Q12" s="192"/>
      <c r="R12" s="193"/>
      <c r="S12" s="193"/>
      <c r="T12" s="194"/>
      <c r="U12" s="202"/>
      <c r="W12" s="191" t="s">
        <v>212</v>
      </c>
      <c r="X12" s="192"/>
      <c r="Y12" s="193"/>
      <c r="Z12" s="193"/>
      <c r="AA12" s="194"/>
      <c r="AB12" s="202"/>
      <c r="AD12" s="191" t="s">
        <v>212</v>
      </c>
      <c r="AE12" s="192"/>
      <c r="AF12" s="193"/>
      <c r="AG12" s="193"/>
      <c r="AH12" s="194"/>
      <c r="AI12" s="202"/>
      <c r="AK12" s="191" t="s">
        <v>212</v>
      </c>
      <c r="AL12" s="192"/>
      <c r="AM12" s="193"/>
      <c r="AN12" s="193"/>
      <c r="AO12" s="194"/>
      <c r="AP12" s="202"/>
      <c r="AR12" s="191" t="s">
        <v>212</v>
      </c>
      <c r="AS12" s="192"/>
      <c r="AT12" s="193"/>
      <c r="AU12" s="193"/>
      <c r="AV12" s="194"/>
      <c r="AW12" s="202"/>
      <c r="AY12" s="191" t="s">
        <v>212</v>
      </c>
      <c r="AZ12" s="192"/>
      <c r="BA12" s="193"/>
      <c r="BB12" s="193"/>
      <c r="BC12" s="194"/>
      <c r="BD12" s="202"/>
      <c r="BF12" s="191" t="s">
        <v>212</v>
      </c>
      <c r="BG12" s="192"/>
      <c r="BH12" s="193"/>
      <c r="BI12" s="193"/>
      <c r="BJ12" s="194"/>
      <c r="BK12" s="202"/>
      <c r="BM12" s="191" t="s">
        <v>212</v>
      </c>
      <c r="BN12" s="192"/>
      <c r="BO12" s="193"/>
      <c r="BP12" s="193"/>
      <c r="BQ12" s="194"/>
      <c r="BR12" s="202"/>
    </row>
    <row r="13" spans="2:70" x14ac:dyDescent="0.35">
      <c r="B13" s="312" t="s">
        <v>213</v>
      </c>
      <c r="C13" s="312" t="s">
        <v>214</v>
      </c>
      <c r="D13" s="312" t="s">
        <v>76</v>
      </c>
      <c r="E13" s="312" t="s">
        <v>215</v>
      </c>
      <c r="F13" s="312" t="s">
        <v>207</v>
      </c>
      <c r="I13" s="312" t="s">
        <v>213</v>
      </c>
      <c r="J13" s="312" t="s">
        <v>214</v>
      </c>
      <c r="K13" s="312" t="s">
        <v>76</v>
      </c>
      <c r="L13" s="312" t="s">
        <v>215</v>
      </c>
      <c r="M13" s="312" t="s">
        <v>207</v>
      </c>
      <c r="P13" s="312" t="s">
        <v>213</v>
      </c>
      <c r="Q13" s="312" t="s">
        <v>214</v>
      </c>
      <c r="R13" s="312" t="s">
        <v>76</v>
      </c>
      <c r="S13" s="312" t="s">
        <v>215</v>
      </c>
      <c r="T13" s="312" t="s">
        <v>207</v>
      </c>
      <c r="W13" s="312" t="s">
        <v>213</v>
      </c>
      <c r="X13" s="312" t="s">
        <v>214</v>
      </c>
      <c r="Y13" s="312" t="s">
        <v>76</v>
      </c>
      <c r="Z13" s="312" t="s">
        <v>215</v>
      </c>
      <c r="AA13" s="312" t="s">
        <v>207</v>
      </c>
      <c r="AD13" s="312" t="s">
        <v>213</v>
      </c>
      <c r="AE13" s="312" t="s">
        <v>214</v>
      </c>
      <c r="AF13" s="312" t="s">
        <v>76</v>
      </c>
      <c r="AG13" s="312" t="s">
        <v>215</v>
      </c>
      <c r="AH13" s="312" t="s">
        <v>207</v>
      </c>
      <c r="AK13" s="312" t="s">
        <v>213</v>
      </c>
      <c r="AL13" s="312" t="s">
        <v>214</v>
      </c>
      <c r="AM13" s="312" t="s">
        <v>76</v>
      </c>
      <c r="AN13" s="312" t="s">
        <v>215</v>
      </c>
      <c r="AO13" s="312" t="s">
        <v>207</v>
      </c>
      <c r="AR13" s="312" t="s">
        <v>213</v>
      </c>
      <c r="AS13" s="312" t="s">
        <v>214</v>
      </c>
      <c r="AT13" s="312" t="s">
        <v>76</v>
      </c>
      <c r="AU13" s="312" t="s">
        <v>215</v>
      </c>
      <c r="AV13" s="312" t="s">
        <v>207</v>
      </c>
      <c r="AY13" s="312" t="s">
        <v>213</v>
      </c>
      <c r="AZ13" s="312" t="s">
        <v>214</v>
      </c>
      <c r="BA13" s="312" t="s">
        <v>76</v>
      </c>
      <c r="BB13" s="312" t="s">
        <v>215</v>
      </c>
      <c r="BC13" s="312" t="s">
        <v>207</v>
      </c>
      <c r="BF13" s="312" t="s">
        <v>213</v>
      </c>
      <c r="BG13" s="312" t="s">
        <v>214</v>
      </c>
      <c r="BH13" s="312" t="s">
        <v>76</v>
      </c>
      <c r="BI13" s="312" t="s">
        <v>215</v>
      </c>
      <c r="BJ13" s="312" t="s">
        <v>207</v>
      </c>
      <c r="BM13" s="312" t="s">
        <v>213</v>
      </c>
      <c r="BN13" s="312" t="s">
        <v>214</v>
      </c>
      <c r="BO13" s="312" t="s">
        <v>76</v>
      </c>
      <c r="BP13" s="312" t="s">
        <v>215</v>
      </c>
      <c r="BQ13" s="312" t="s">
        <v>207</v>
      </c>
    </row>
    <row r="14" spans="2:70" x14ac:dyDescent="0.35">
      <c r="B14" s="245">
        <f>+'Utility Bills summary'!$B$1</f>
        <v>2</v>
      </c>
      <c r="C14" s="196">
        <v>6.6</v>
      </c>
      <c r="D14" s="200">
        <f>+HLOOKUP(C1,Assumptions!$K$8:$T$10,3,TRUE)</f>
        <v>0.35</v>
      </c>
      <c r="E14" s="197">
        <f>+C14*D14</f>
        <v>2.3099999999999996</v>
      </c>
      <c r="F14" s="197">
        <f>+B14*E14</f>
        <v>4.6199999999999992</v>
      </c>
      <c r="I14" s="245">
        <v>2</v>
      </c>
      <c r="J14" s="196">
        <v>6.6</v>
      </c>
      <c r="K14" s="200">
        <f>+HLOOKUP(J1,Assumptions!$K$8:$T$10,3,TRUE)</f>
        <v>0.35</v>
      </c>
      <c r="L14" s="197">
        <f>+J14*K14</f>
        <v>2.3099999999999996</v>
      </c>
      <c r="M14" s="197">
        <f>+I14*L14</f>
        <v>4.6199999999999992</v>
      </c>
      <c r="P14" s="245">
        <v>2</v>
      </c>
      <c r="Q14" s="196">
        <v>6.6</v>
      </c>
      <c r="R14" s="200">
        <f>+HLOOKUP(Q1,Assumptions!$K$8:$T$10,3,TRUE)</f>
        <v>0.35</v>
      </c>
      <c r="S14" s="197">
        <f>+Q14*R14</f>
        <v>2.3099999999999996</v>
      </c>
      <c r="T14" s="197">
        <f>+P14*S14</f>
        <v>4.6199999999999992</v>
      </c>
      <c r="W14" s="245">
        <v>2</v>
      </c>
      <c r="X14" s="196">
        <v>6.6</v>
      </c>
      <c r="Y14" s="200">
        <f>+HLOOKUP(X1,Assumptions!$K$8:$T$10,3,TRUE)</f>
        <v>0.35</v>
      </c>
      <c r="Z14" s="197">
        <f>+X14*Y14</f>
        <v>2.3099999999999996</v>
      </c>
      <c r="AA14" s="197">
        <f>+W14*Z14</f>
        <v>4.6199999999999992</v>
      </c>
      <c r="AD14" s="245">
        <v>2</v>
      </c>
      <c r="AE14" s="196">
        <v>6.6</v>
      </c>
      <c r="AF14" s="200">
        <f>+HLOOKUP(AE1,Assumptions!$K$8:$T$10,3,TRUE)</f>
        <v>0.35</v>
      </c>
      <c r="AG14" s="197">
        <f>+AE14*AF14</f>
        <v>2.3099999999999996</v>
      </c>
      <c r="AH14" s="197">
        <f>+AD14*AG14</f>
        <v>4.6199999999999992</v>
      </c>
      <c r="AK14" s="245">
        <v>2</v>
      </c>
      <c r="AL14" s="196">
        <v>6.6</v>
      </c>
      <c r="AM14" s="200">
        <f>+HLOOKUP(AL1,Assumptions!$K$8:$T$10,3,TRUE)</f>
        <v>0.35</v>
      </c>
      <c r="AN14" s="197">
        <f>+AL14*AM14</f>
        <v>2.3099999999999996</v>
      </c>
      <c r="AO14" s="197">
        <f>+AK14*AN14</f>
        <v>4.6199999999999992</v>
      </c>
      <c r="AR14" s="245">
        <v>2</v>
      </c>
      <c r="AS14" s="196">
        <v>6.6</v>
      </c>
      <c r="AT14" s="200">
        <f>+HLOOKUP(AS1,Assumptions!$K$8:$T$10,3,TRUE)</f>
        <v>0.35</v>
      </c>
      <c r="AU14" s="197">
        <f>+AS14*AT14</f>
        <v>2.3099999999999996</v>
      </c>
      <c r="AV14" s="197">
        <f>+AR14*AU14</f>
        <v>4.6199999999999992</v>
      </c>
      <c r="AY14" s="245">
        <v>2</v>
      </c>
      <c r="AZ14" s="196">
        <v>6.6</v>
      </c>
      <c r="BA14" s="200">
        <f>+HLOOKUP(AZ1,Assumptions!$K$8:$T$10,3,TRUE)</f>
        <v>0.35</v>
      </c>
      <c r="BB14" s="197">
        <f>+AZ14*BA14</f>
        <v>2.3099999999999996</v>
      </c>
      <c r="BC14" s="197">
        <f>+AY14*BB14</f>
        <v>4.6199999999999992</v>
      </c>
      <c r="BF14" s="245">
        <v>2</v>
      </c>
      <c r="BG14" s="196">
        <v>6.6</v>
      </c>
      <c r="BH14" s="200">
        <f>+HLOOKUP(BG1,Assumptions!$K$8:$T$10,3,TRUE)</f>
        <v>0.35</v>
      </c>
      <c r="BI14" s="197">
        <f>+BG14*BH14</f>
        <v>2.3099999999999996</v>
      </c>
      <c r="BJ14" s="197">
        <f>+BF14*BI14</f>
        <v>4.6199999999999992</v>
      </c>
      <c r="BM14" s="245">
        <v>2</v>
      </c>
      <c r="BN14" s="196">
        <v>6.6</v>
      </c>
      <c r="BO14" s="200">
        <f>+HLOOKUP(BN1,Assumptions!$K$8:$T$10,3,TRUE)</f>
        <v>0.35</v>
      </c>
      <c r="BP14" s="197">
        <f>+BN14*BO14</f>
        <v>2.3099999999999996</v>
      </c>
      <c r="BQ14" s="197">
        <f>+BM14*BP14</f>
        <v>4.6199999999999992</v>
      </c>
    </row>
    <row r="15" spans="2:70" x14ac:dyDescent="0.35">
      <c r="B15" s="23"/>
      <c r="E15" s="79"/>
      <c r="F15" s="79"/>
      <c r="G15" s="79"/>
      <c r="I15" s="23"/>
      <c r="L15" s="79"/>
      <c r="M15" s="79"/>
      <c r="N15" s="79"/>
      <c r="P15" s="23"/>
      <c r="S15" s="79"/>
      <c r="T15" s="79"/>
      <c r="U15" s="79"/>
      <c r="W15" s="23"/>
      <c r="Z15" s="79"/>
      <c r="AA15" s="79"/>
      <c r="AB15" s="79"/>
      <c r="AD15" s="23"/>
      <c r="AG15" s="79"/>
      <c r="AH15" s="79"/>
      <c r="AI15" s="79"/>
      <c r="AK15" s="23"/>
      <c r="AN15" s="79"/>
      <c r="AO15" s="79"/>
      <c r="AP15" s="79"/>
      <c r="AR15" s="23"/>
      <c r="AU15" s="79"/>
      <c r="AV15" s="79"/>
      <c r="AW15" s="79"/>
      <c r="AY15" s="23"/>
      <c r="BB15" s="79"/>
      <c r="BC15" s="79"/>
      <c r="BD15" s="79"/>
      <c r="BF15" s="23"/>
      <c r="BI15" s="79"/>
      <c r="BJ15" s="79"/>
      <c r="BK15" s="79"/>
      <c r="BM15" s="23"/>
      <c r="BP15" s="79"/>
      <c r="BQ15" s="79"/>
      <c r="BR15" s="79"/>
    </row>
    <row r="16" spans="2:70" x14ac:dyDescent="0.35">
      <c r="B16" s="80" t="s">
        <v>216</v>
      </c>
      <c r="C16" s="312" t="s">
        <v>214</v>
      </c>
      <c r="D16" s="81" t="s">
        <v>217</v>
      </c>
      <c r="E16" s="82" t="s">
        <v>218</v>
      </c>
      <c r="F16" s="82" t="s">
        <v>219</v>
      </c>
      <c r="I16" s="80" t="s">
        <v>216</v>
      </c>
      <c r="J16" s="312" t="s">
        <v>214</v>
      </c>
      <c r="K16" s="81" t="s">
        <v>217</v>
      </c>
      <c r="L16" s="82" t="s">
        <v>218</v>
      </c>
      <c r="M16" s="82" t="s">
        <v>219</v>
      </c>
      <c r="P16" s="80" t="s">
        <v>216</v>
      </c>
      <c r="Q16" s="312" t="s">
        <v>214</v>
      </c>
      <c r="R16" s="81" t="s">
        <v>217</v>
      </c>
      <c r="S16" s="82" t="s">
        <v>218</v>
      </c>
      <c r="T16" s="82" t="s">
        <v>219</v>
      </c>
      <c r="W16" s="80" t="s">
        <v>216</v>
      </c>
      <c r="X16" s="312" t="s">
        <v>214</v>
      </c>
      <c r="Y16" s="81" t="s">
        <v>217</v>
      </c>
      <c r="Z16" s="82" t="s">
        <v>218</v>
      </c>
      <c r="AA16" s="82" t="s">
        <v>219</v>
      </c>
      <c r="AD16" s="80" t="s">
        <v>216</v>
      </c>
      <c r="AE16" s="312" t="s">
        <v>214</v>
      </c>
      <c r="AF16" s="81" t="s">
        <v>217</v>
      </c>
      <c r="AG16" s="82" t="s">
        <v>218</v>
      </c>
      <c r="AH16" s="82" t="s">
        <v>219</v>
      </c>
      <c r="AK16" s="80" t="s">
        <v>216</v>
      </c>
      <c r="AL16" s="312" t="s">
        <v>214</v>
      </c>
      <c r="AM16" s="81" t="s">
        <v>217</v>
      </c>
      <c r="AN16" s="82" t="s">
        <v>218</v>
      </c>
      <c r="AO16" s="82" t="s">
        <v>219</v>
      </c>
      <c r="AR16" s="80" t="s">
        <v>216</v>
      </c>
      <c r="AS16" s="312" t="s">
        <v>214</v>
      </c>
      <c r="AT16" s="81" t="s">
        <v>217</v>
      </c>
      <c r="AU16" s="82" t="s">
        <v>218</v>
      </c>
      <c r="AV16" s="82" t="s">
        <v>219</v>
      </c>
      <c r="AY16" s="80" t="s">
        <v>216</v>
      </c>
      <c r="AZ16" s="312" t="s">
        <v>214</v>
      </c>
      <c r="BA16" s="81" t="s">
        <v>217</v>
      </c>
      <c r="BB16" s="82" t="s">
        <v>218</v>
      </c>
      <c r="BC16" s="82" t="s">
        <v>219</v>
      </c>
      <c r="BF16" s="80" t="s">
        <v>216</v>
      </c>
      <c r="BG16" s="312" t="s">
        <v>214</v>
      </c>
      <c r="BH16" s="81" t="s">
        <v>217</v>
      </c>
      <c r="BI16" s="82" t="s">
        <v>218</v>
      </c>
      <c r="BJ16" s="82" t="s">
        <v>219</v>
      </c>
      <c r="BM16" s="80" t="s">
        <v>216</v>
      </c>
      <c r="BN16" s="312" t="s">
        <v>214</v>
      </c>
      <c r="BO16" s="81" t="s">
        <v>217</v>
      </c>
      <c r="BP16" s="82" t="s">
        <v>218</v>
      </c>
      <c r="BQ16" s="82" t="s">
        <v>219</v>
      </c>
    </row>
    <row r="17" spans="2:70" x14ac:dyDescent="0.35">
      <c r="B17" s="198">
        <f>+C2</f>
        <v>0.08</v>
      </c>
      <c r="C17" s="197">
        <f>+C14</f>
        <v>6.6</v>
      </c>
      <c r="D17" s="199">
        <f>+B17*24</f>
        <v>1.92</v>
      </c>
      <c r="E17" s="149">
        <f>+Assumptions!$C$11</f>
        <v>365</v>
      </c>
      <c r="F17" s="149">
        <f>(B14*C17*D17*E17)/12</f>
        <v>770.88</v>
      </c>
      <c r="I17" s="198">
        <f>+J2</f>
        <v>0.1</v>
      </c>
      <c r="J17" s="197">
        <f>+J14</f>
        <v>6.6</v>
      </c>
      <c r="K17" s="199">
        <f>+I17*24</f>
        <v>2.4000000000000004</v>
      </c>
      <c r="L17" s="149">
        <f>+Assumptions!$C$11</f>
        <v>365</v>
      </c>
      <c r="M17" s="149">
        <f>(I14*J17*K17*L17)/12</f>
        <v>963.6</v>
      </c>
      <c r="P17" s="198">
        <f>+Q2</f>
        <v>0.12</v>
      </c>
      <c r="Q17" s="197">
        <f>+Q14</f>
        <v>6.6</v>
      </c>
      <c r="R17" s="199">
        <f>+P17*24</f>
        <v>2.88</v>
      </c>
      <c r="S17" s="149">
        <f>+Assumptions!$C$11</f>
        <v>365</v>
      </c>
      <c r="T17" s="149">
        <f>(P14*Q17*R17*S17)/12</f>
        <v>1156.32</v>
      </c>
      <c r="W17" s="198">
        <f>+X2</f>
        <v>0.14000000000000001</v>
      </c>
      <c r="X17" s="197">
        <f>+X14</f>
        <v>6.6</v>
      </c>
      <c r="Y17" s="199">
        <f>+W17*24</f>
        <v>3.3600000000000003</v>
      </c>
      <c r="Z17" s="149">
        <f>+Assumptions!$C$11</f>
        <v>365</v>
      </c>
      <c r="AA17" s="149">
        <f>(W14*X17*Y17*Z17)/12</f>
        <v>1349.0400000000002</v>
      </c>
      <c r="AD17" s="198">
        <f>+AE2</f>
        <v>0</v>
      </c>
      <c r="AE17" s="197">
        <f>+AE14</f>
        <v>6.6</v>
      </c>
      <c r="AF17" s="199">
        <f>+AD17*24</f>
        <v>0</v>
      </c>
      <c r="AG17" s="149">
        <f>+Assumptions!$C$11</f>
        <v>365</v>
      </c>
      <c r="AH17" s="149">
        <f>(AD14*AE17*AF17*AG17)/12</f>
        <v>0</v>
      </c>
      <c r="AK17" s="198">
        <f>+AL2</f>
        <v>0</v>
      </c>
      <c r="AL17" s="197">
        <f>+AL14</f>
        <v>6.6</v>
      </c>
      <c r="AM17" s="199">
        <f>+AK17*24</f>
        <v>0</v>
      </c>
      <c r="AN17" s="149">
        <f>+Assumptions!$C$11</f>
        <v>365</v>
      </c>
      <c r="AO17" s="149">
        <f>(AK14*AL17*AM17*AN17)/12</f>
        <v>0</v>
      </c>
      <c r="AR17" s="198">
        <f>+AS2</f>
        <v>0</v>
      </c>
      <c r="AS17" s="197">
        <f>+AS14</f>
        <v>6.6</v>
      </c>
      <c r="AT17" s="199">
        <f>+AR17*24</f>
        <v>0</v>
      </c>
      <c r="AU17" s="149">
        <f>+Assumptions!$C$11</f>
        <v>365</v>
      </c>
      <c r="AV17" s="149">
        <f>(AR14*AS17*AT17*AU17)/12</f>
        <v>0</v>
      </c>
      <c r="AY17" s="198">
        <f>+AZ2</f>
        <v>0</v>
      </c>
      <c r="AZ17" s="197">
        <f>+AZ14</f>
        <v>6.6</v>
      </c>
      <c r="BA17" s="199">
        <f>+AY17*24</f>
        <v>0</v>
      </c>
      <c r="BB17" s="149">
        <f>+Assumptions!$C$11</f>
        <v>365</v>
      </c>
      <c r="BC17" s="149">
        <f>(AY14*AZ17*BA17*BB17)/12</f>
        <v>0</v>
      </c>
      <c r="BF17" s="198">
        <f>+BG2</f>
        <v>0</v>
      </c>
      <c r="BG17" s="197">
        <f>+BG14</f>
        <v>6.6</v>
      </c>
      <c r="BH17" s="199">
        <f>+BF17*24</f>
        <v>0</v>
      </c>
      <c r="BI17" s="149">
        <f>+Assumptions!$C$11</f>
        <v>365</v>
      </c>
      <c r="BJ17" s="149">
        <f>(BF14*BG17*BH17*BI17)/12</f>
        <v>0</v>
      </c>
      <c r="BM17" s="198">
        <f>+BN2</f>
        <v>0</v>
      </c>
      <c r="BN17" s="197">
        <f>+BN14</f>
        <v>6.6</v>
      </c>
      <c r="BO17" s="199">
        <f>+BM17*24</f>
        <v>0</v>
      </c>
      <c r="BP17" s="149">
        <f>+Assumptions!$C$11</f>
        <v>365</v>
      </c>
      <c r="BQ17" s="149">
        <f>(BM14*BN17*BO17*BP17)/12</f>
        <v>0</v>
      </c>
    </row>
    <row r="18" spans="2:70" x14ac:dyDescent="0.35">
      <c r="C18" s="63"/>
      <c r="D18" s="10"/>
      <c r="E18" s="10"/>
      <c r="J18" s="63"/>
      <c r="K18" s="10"/>
      <c r="L18" s="10"/>
      <c r="Q18" s="63"/>
      <c r="R18" s="10"/>
      <c r="S18" s="10"/>
      <c r="X18" s="63"/>
      <c r="Y18" s="10"/>
      <c r="Z18" s="10"/>
      <c r="AE18" s="63"/>
      <c r="AF18" s="10"/>
      <c r="AG18" s="10"/>
      <c r="AL18" s="63"/>
      <c r="AM18" s="10"/>
      <c r="AN18" s="10"/>
      <c r="AS18" s="63"/>
      <c r="AT18" s="10"/>
      <c r="AU18" s="10"/>
      <c r="AZ18" s="63"/>
      <c r="BA18" s="10"/>
      <c r="BB18" s="10"/>
      <c r="BG18" s="63"/>
      <c r="BH18" s="10"/>
      <c r="BI18" s="10"/>
      <c r="BN18" s="63"/>
      <c r="BO18" s="10"/>
      <c r="BP18" s="10"/>
    </row>
    <row r="19" spans="2:70" x14ac:dyDescent="0.35">
      <c r="B19" s="75" t="s">
        <v>220</v>
      </c>
      <c r="C19" s="76"/>
      <c r="D19" s="76"/>
      <c r="E19" s="76"/>
      <c r="F19" s="76"/>
      <c r="G19" s="76"/>
      <c r="I19" s="75" t="s">
        <v>220</v>
      </c>
      <c r="J19" s="76"/>
      <c r="K19" s="76"/>
      <c r="L19" s="76"/>
      <c r="M19" s="76"/>
      <c r="N19" s="76"/>
      <c r="P19" s="75" t="s">
        <v>220</v>
      </c>
      <c r="Q19" s="76"/>
      <c r="R19" s="76"/>
      <c r="S19" s="76"/>
      <c r="T19" s="76"/>
      <c r="U19" s="76"/>
      <c r="W19" s="75" t="s">
        <v>220</v>
      </c>
      <c r="X19" s="76"/>
      <c r="Y19" s="76"/>
      <c r="Z19" s="76"/>
      <c r="AA19" s="76"/>
      <c r="AB19" s="76"/>
      <c r="AD19" s="75" t="s">
        <v>220</v>
      </c>
      <c r="AE19" s="76"/>
      <c r="AF19" s="76"/>
      <c r="AG19" s="76"/>
      <c r="AH19" s="76"/>
      <c r="AI19" s="76"/>
      <c r="AK19" s="75" t="s">
        <v>220</v>
      </c>
      <c r="AL19" s="76"/>
      <c r="AM19" s="76"/>
      <c r="AN19" s="76"/>
      <c r="AO19" s="76"/>
      <c r="AP19" s="76"/>
      <c r="AR19" s="75" t="s">
        <v>220</v>
      </c>
      <c r="AS19" s="76"/>
      <c r="AT19" s="76"/>
      <c r="AU19" s="76"/>
      <c r="AV19" s="76"/>
      <c r="AW19" s="76"/>
      <c r="AY19" s="75" t="s">
        <v>220</v>
      </c>
      <c r="AZ19" s="76"/>
      <c r="BA19" s="76"/>
      <c r="BB19" s="76"/>
      <c r="BC19" s="76"/>
      <c r="BD19" s="76"/>
      <c r="BF19" s="75" t="s">
        <v>220</v>
      </c>
      <c r="BG19" s="76"/>
      <c r="BH19" s="76"/>
      <c r="BI19" s="76"/>
      <c r="BJ19" s="76"/>
      <c r="BK19" s="76"/>
      <c r="BM19" s="75" t="s">
        <v>220</v>
      </c>
      <c r="BN19" s="76"/>
      <c r="BO19" s="76"/>
      <c r="BP19" s="76"/>
      <c r="BQ19" s="76"/>
      <c r="BR19" s="76"/>
    </row>
    <row r="20" spans="2:70" s="77" customFormat="1" x14ac:dyDescent="0.35">
      <c r="B20" s="2" t="s">
        <v>221</v>
      </c>
      <c r="C20" s="312" t="s">
        <v>163</v>
      </c>
      <c r="D20" s="123" t="s">
        <v>164</v>
      </c>
      <c r="F20" s="2" t="s">
        <v>248</v>
      </c>
      <c r="G20"/>
      <c r="I20" s="2" t="s">
        <v>221</v>
      </c>
      <c r="J20" s="312" t="s">
        <v>163</v>
      </c>
      <c r="K20" s="123" t="s">
        <v>164</v>
      </c>
      <c r="M20" s="2" t="s">
        <v>248</v>
      </c>
      <c r="N20"/>
      <c r="O20"/>
      <c r="P20" s="2" t="s">
        <v>221</v>
      </c>
      <c r="Q20" s="312" t="s">
        <v>163</v>
      </c>
      <c r="R20" s="123" t="s">
        <v>164</v>
      </c>
      <c r="T20" s="2" t="s">
        <v>248</v>
      </c>
      <c r="U20"/>
      <c r="V20"/>
      <c r="W20" s="2" t="s">
        <v>221</v>
      </c>
      <c r="X20" s="312" t="s">
        <v>163</v>
      </c>
      <c r="Y20" s="123" t="s">
        <v>164</v>
      </c>
      <c r="AA20" s="2" t="s">
        <v>248</v>
      </c>
      <c r="AB20"/>
      <c r="AC20"/>
      <c r="AD20" s="2" t="s">
        <v>221</v>
      </c>
      <c r="AE20" s="312" t="s">
        <v>163</v>
      </c>
      <c r="AF20" s="123" t="s">
        <v>164</v>
      </c>
      <c r="AH20" s="2" t="s">
        <v>248</v>
      </c>
      <c r="AI20"/>
      <c r="AJ20"/>
      <c r="AK20" s="2" t="s">
        <v>221</v>
      </c>
      <c r="AL20" s="312" t="s">
        <v>163</v>
      </c>
      <c r="AM20" s="123" t="s">
        <v>164</v>
      </c>
      <c r="AO20" s="2" t="s">
        <v>248</v>
      </c>
      <c r="AP20"/>
      <c r="AQ20"/>
      <c r="AR20" s="2" t="s">
        <v>221</v>
      </c>
      <c r="AS20" s="312" t="s">
        <v>163</v>
      </c>
      <c r="AT20" s="123" t="s">
        <v>164</v>
      </c>
      <c r="AV20" s="2" t="s">
        <v>248</v>
      </c>
      <c r="AW20"/>
      <c r="AX20"/>
      <c r="AY20" s="2" t="s">
        <v>221</v>
      </c>
      <c r="AZ20" s="312" t="s">
        <v>163</v>
      </c>
      <c r="BA20" s="123" t="s">
        <v>164</v>
      </c>
      <c r="BC20" s="2" t="s">
        <v>248</v>
      </c>
      <c r="BD20"/>
      <c r="BE20"/>
      <c r="BF20" s="2" t="s">
        <v>221</v>
      </c>
      <c r="BG20" s="312" t="s">
        <v>163</v>
      </c>
      <c r="BH20" s="123" t="s">
        <v>164</v>
      </c>
      <c r="BJ20" s="2" t="s">
        <v>248</v>
      </c>
      <c r="BK20"/>
      <c r="BL20"/>
      <c r="BM20" s="2" t="s">
        <v>221</v>
      </c>
      <c r="BN20" s="312" t="s">
        <v>163</v>
      </c>
      <c r="BO20" s="123" t="s">
        <v>164</v>
      </c>
      <c r="BQ20" s="2" t="s">
        <v>248</v>
      </c>
      <c r="BR20"/>
    </row>
    <row r="21" spans="2:70" x14ac:dyDescent="0.35">
      <c r="B21" s="11" t="s">
        <v>165</v>
      </c>
      <c r="C21">
        <f>+Assumptions!$I$93</f>
        <v>0</v>
      </c>
      <c r="D21">
        <f>+Assumptions!$J$96</f>
        <v>0</v>
      </c>
      <c r="F21" t="s">
        <v>157</v>
      </c>
      <c r="G21" s="91">
        <v>0</v>
      </c>
      <c r="I21" s="11" t="s">
        <v>165</v>
      </c>
      <c r="J21">
        <f>+Assumptions!$I$93</f>
        <v>0</v>
      </c>
      <c r="K21">
        <f>+Assumptions!$J$96</f>
        <v>0</v>
      </c>
      <c r="M21" t="s">
        <v>157</v>
      </c>
      <c r="N21" s="91">
        <v>0</v>
      </c>
      <c r="P21" s="11" t="s">
        <v>165</v>
      </c>
      <c r="Q21">
        <f>+Assumptions!$I$93</f>
        <v>0</v>
      </c>
      <c r="R21">
        <f>+Assumptions!$J$96</f>
        <v>0</v>
      </c>
      <c r="T21" t="s">
        <v>157</v>
      </c>
      <c r="U21" s="91">
        <v>0</v>
      </c>
      <c r="W21" s="11" t="s">
        <v>165</v>
      </c>
      <c r="X21">
        <f>+Assumptions!$I$93</f>
        <v>0</v>
      </c>
      <c r="Y21">
        <f>+Assumptions!$J$96</f>
        <v>0</v>
      </c>
      <c r="AA21" t="s">
        <v>157</v>
      </c>
      <c r="AB21" s="91">
        <v>0</v>
      </c>
      <c r="AD21" s="11" t="s">
        <v>165</v>
      </c>
      <c r="AE21">
        <f>+Assumptions!$I$93</f>
        <v>0</v>
      </c>
      <c r="AF21">
        <f>+Assumptions!$J$96</f>
        <v>0</v>
      </c>
      <c r="AH21" t="s">
        <v>157</v>
      </c>
      <c r="AI21" s="91">
        <v>0</v>
      </c>
      <c r="AK21" s="11" t="s">
        <v>165</v>
      </c>
      <c r="AL21">
        <f>+Assumptions!$I$93</f>
        <v>0</v>
      </c>
      <c r="AM21">
        <f>+Assumptions!$J$96</f>
        <v>0</v>
      </c>
      <c r="AO21" t="s">
        <v>157</v>
      </c>
      <c r="AP21" s="91">
        <v>0</v>
      </c>
      <c r="AR21" s="11" t="s">
        <v>165</v>
      </c>
      <c r="AS21">
        <f>+Assumptions!$I$93</f>
        <v>0</v>
      </c>
      <c r="AT21">
        <f>+Assumptions!$J$96</f>
        <v>0</v>
      </c>
      <c r="AV21" t="s">
        <v>157</v>
      </c>
      <c r="AW21" s="91">
        <v>0</v>
      </c>
      <c r="AY21" s="11" t="s">
        <v>165</v>
      </c>
      <c r="AZ21">
        <f>+Assumptions!$I$93</f>
        <v>0</v>
      </c>
      <c r="BA21">
        <f>+Assumptions!$J$96</f>
        <v>0</v>
      </c>
      <c r="BC21" t="s">
        <v>157</v>
      </c>
      <c r="BD21" s="91">
        <v>0</v>
      </c>
      <c r="BF21" s="11" t="s">
        <v>165</v>
      </c>
      <c r="BG21">
        <f>+Assumptions!$I$93</f>
        <v>0</v>
      </c>
      <c r="BH21">
        <f>+Assumptions!$J$96</f>
        <v>0</v>
      </c>
      <c r="BJ21" t="s">
        <v>157</v>
      </c>
      <c r="BK21" s="91">
        <v>0</v>
      </c>
      <c r="BM21" s="11" t="s">
        <v>165</v>
      </c>
      <c r="BN21">
        <f>+Assumptions!$I$93</f>
        <v>0</v>
      </c>
      <c r="BO21">
        <f>+Assumptions!$J$96</f>
        <v>0</v>
      </c>
      <c r="BQ21" t="s">
        <v>157</v>
      </c>
      <c r="BR21" s="91">
        <v>0</v>
      </c>
    </row>
    <row r="22" spans="2:70" x14ac:dyDescent="0.35">
      <c r="B22" t="s">
        <v>166</v>
      </c>
      <c r="C22">
        <f>+Assumptions!$I$94</f>
        <v>0</v>
      </c>
      <c r="D22">
        <f>+Assumptions!$J$97</f>
        <v>0</v>
      </c>
      <c r="E22" s="11"/>
      <c r="F22" t="s">
        <v>161</v>
      </c>
      <c r="G22" s="91">
        <f>+Assumptions!$J$93</f>
        <v>28.1</v>
      </c>
      <c r="I22" t="s">
        <v>166</v>
      </c>
      <c r="J22">
        <f>+Assumptions!$I$94</f>
        <v>0</v>
      </c>
      <c r="K22">
        <f>+Assumptions!$J$97</f>
        <v>0</v>
      </c>
      <c r="L22" s="11"/>
      <c r="M22" t="s">
        <v>161</v>
      </c>
      <c r="N22" s="91">
        <f>+Assumptions!$J$93</f>
        <v>28.1</v>
      </c>
      <c r="P22" t="s">
        <v>166</v>
      </c>
      <c r="Q22">
        <f>+Assumptions!$I$94</f>
        <v>0</v>
      </c>
      <c r="R22">
        <f>+Assumptions!$J$97</f>
        <v>0</v>
      </c>
      <c r="S22" s="11"/>
      <c r="T22" t="s">
        <v>161</v>
      </c>
      <c r="U22" s="91">
        <f>+Assumptions!$J$93</f>
        <v>28.1</v>
      </c>
      <c r="W22" t="s">
        <v>166</v>
      </c>
      <c r="X22">
        <f>+Assumptions!$I$94</f>
        <v>0</v>
      </c>
      <c r="Y22">
        <f>+Assumptions!$J$97</f>
        <v>0</v>
      </c>
      <c r="Z22" s="11"/>
      <c r="AA22" t="s">
        <v>161</v>
      </c>
      <c r="AB22" s="91">
        <f>+Assumptions!$J$93</f>
        <v>28.1</v>
      </c>
      <c r="AD22" t="s">
        <v>166</v>
      </c>
      <c r="AE22">
        <f>+Assumptions!$I$94</f>
        <v>0</v>
      </c>
      <c r="AF22">
        <f>+Assumptions!$J$97</f>
        <v>0</v>
      </c>
      <c r="AG22" s="11"/>
      <c r="AH22" t="s">
        <v>161</v>
      </c>
      <c r="AI22" s="91">
        <f>+Assumptions!$J$93</f>
        <v>28.1</v>
      </c>
      <c r="AK22" t="s">
        <v>166</v>
      </c>
      <c r="AL22">
        <f>+Assumptions!$I$94</f>
        <v>0</v>
      </c>
      <c r="AM22">
        <f>+Assumptions!$J$97</f>
        <v>0</v>
      </c>
      <c r="AN22" s="11"/>
      <c r="AO22" t="s">
        <v>161</v>
      </c>
      <c r="AP22" s="91">
        <f>+Assumptions!$J$93</f>
        <v>28.1</v>
      </c>
      <c r="AR22" t="s">
        <v>166</v>
      </c>
      <c r="AS22">
        <f>+Assumptions!$I$94</f>
        <v>0</v>
      </c>
      <c r="AT22">
        <f>+Assumptions!$J$97</f>
        <v>0</v>
      </c>
      <c r="AU22" s="11"/>
      <c r="AV22" t="s">
        <v>161</v>
      </c>
      <c r="AW22" s="91">
        <f>+Assumptions!$J$93</f>
        <v>28.1</v>
      </c>
      <c r="AY22" t="s">
        <v>166</v>
      </c>
      <c r="AZ22">
        <f>+Assumptions!$I$94</f>
        <v>0</v>
      </c>
      <c r="BA22">
        <f>+Assumptions!$J$97</f>
        <v>0</v>
      </c>
      <c r="BB22" s="11"/>
      <c r="BC22" t="s">
        <v>161</v>
      </c>
      <c r="BD22" s="91">
        <f>+Assumptions!$J$93</f>
        <v>28.1</v>
      </c>
      <c r="BF22" t="s">
        <v>166</v>
      </c>
      <c r="BG22">
        <f>+Assumptions!$I$94</f>
        <v>0</v>
      </c>
      <c r="BH22">
        <f>+Assumptions!$J$97</f>
        <v>0</v>
      </c>
      <c r="BI22" s="11"/>
      <c r="BJ22" t="s">
        <v>161</v>
      </c>
      <c r="BK22" s="91">
        <f>+Assumptions!$J$93</f>
        <v>28.1</v>
      </c>
      <c r="BM22" t="s">
        <v>166</v>
      </c>
      <c r="BN22">
        <f>+Assumptions!$I$94</f>
        <v>0</v>
      </c>
      <c r="BO22">
        <f>+Assumptions!$J$97</f>
        <v>0</v>
      </c>
      <c r="BP22" s="11"/>
      <c r="BQ22" t="s">
        <v>161</v>
      </c>
      <c r="BR22" s="91">
        <f>+Assumptions!$J$93</f>
        <v>28.1</v>
      </c>
    </row>
    <row r="23" spans="2:70" x14ac:dyDescent="0.35">
      <c r="E23" s="11"/>
      <c r="F23" s="11"/>
      <c r="L23" s="11"/>
      <c r="M23" s="11"/>
      <c r="S23" s="11"/>
      <c r="T23" s="11"/>
      <c r="Z23" s="11"/>
      <c r="AA23" s="11"/>
      <c r="AG23" s="11"/>
      <c r="AH23" s="11"/>
      <c r="AN23" s="11"/>
      <c r="AO23" s="11"/>
      <c r="AU23" s="11"/>
      <c r="AV23" s="11"/>
      <c r="BB23" s="11"/>
      <c r="BC23" s="11"/>
      <c r="BI23" s="11"/>
      <c r="BJ23" s="11"/>
      <c r="BP23" s="11"/>
      <c r="BQ23" s="11"/>
    </row>
    <row r="24" spans="2:70" x14ac:dyDescent="0.35">
      <c r="B24" s="2" t="s">
        <v>167</v>
      </c>
      <c r="C24" s="190">
        <f>+Assumptions!$I$96</f>
        <v>0.14679999999999999</v>
      </c>
      <c r="D24" s="190">
        <f>+Assumptions!$J$99</f>
        <v>0.1046</v>
      </c>
      <c r="E24" s="123"/>
      <c r="I24" s="2" t="s">
        <v>167</v>
      </c>
      <c r="J24" s="190">
        <f>+Assumptions!$I$96</f>
        <v>0.14679999999999999</v>
      </c>
      <c r="K24" s="190">
        <f>+Assumptions!$J$99</f>
        <v>0.1046</v>
      </c>
      <c r="L24" s="123"/>
      <c r="P24" s="2" t="s">
        <v>167</v>
      </c>
      <c r="Q24" s="190">
        <f>+Assumptions!$I$96</f>
        <v>0.14679999999999999</v>
      </c>
      <c r="R24" s="190">
        <f>+Assumptions!$J$99</f>
        <v>0.1046</v>
      </c>
      <c r="S24" s="123"/>
      <c r="W24" s="2" t="s">
        <v>167</v>
      </c>
      <c r="X24" s="190">
        <f>+Assumptions!$I$96</f>
        <v>0.14679999999999999</v>
      </c>
      <c r="Y24" s="190">
        <f>+Assumptions!$J$99</f>
        <v>0.1046</v>
      </c>
      <c r="Z24" s="123"/>
      <c r="AD24" s="2" t="s">
        <v>167</v>
      </c>
      <c r="AE24" s="190">
        <f>+Assumptions!$I$96</f>
        <v>0.14679999999999999</v>
      </c>
      <c r="AF24" s="190">
        <f>+Assumptions!$J$99</f>
        <v>0.1046</v>
      </c>
      <c r="AG24" s="123"/>
      <c r="AK24" s="2" t="s">
        <v>167</v>
      </c>
      <c r="AL24" s="190">
        <f>+Assumptions!$I$96</f>
        <v>0.14679999999999999</v>
      </c>
      <c r="AM24" s="190">
        <f>+Assumptions!$J$99</f>
        <v>0.1046</v>
      </c>
      <c r="AN24" s="123"/>
      <c r="AR24" s="2" t="s">
        <v>167</v>
      </c>
      <c r="AS24" s="190">
        <f>+Assumptions!$I$96</f>
        <v>0.14679999999999999</v>
      </c>
      <c r="AT24" s="190">
        <f>+Assumptions!$J$99</f>
        <v>0.1046</v>
      </c>
      <c r="AU24" s="123"/>
      <c r="AY24" s="2" t="s">
        <v>167</v>
      </c>
      <c r="AZ24" s="190">
        <f>+Assumptions!$I$96</f>
        <v>0.14679999999999999</v>
      </c>
      <c r="BA24" s="190">
        <f>+Assumptions!$J$99</f>
        <v>0.1046</v>
      </c>
      <c r="BB24" s="123"/>
      <c r="BF24" s="2" t="s">
        <v>167</v>
      </c>
      <c r="BG24" s="190">
        <f>+Assumptions!$I$96</f>
        <v>0.14679999999999999</v>
      </c>
      <c r="BH24" s="190">
        <f>+Assumptions!$J$99</f>
        <v>0.1046</v>
      </c>
      <c r="BI24" s="123"/>
      <c r="BM24" s="2" t="s">
        <v>167</v>
      </c>
      <c r="BN24" s="190">
        <f>+Assumptions!$I$96</f>
        <v>0.14679999999999999</v>
      </c>
      <c r="BO24" s="190">
        <f>+Assumptions!$J$99</f>
        <v>0.1046</v>
      </c>
      <c r="BP24" s="123"/>
    </row>
    <row r="26" spans="2:70" x14ac:dyDescent="0.35">
      <c r="B26" s="84" t="s">
        <v>223</v>
      </c>
      <c r="C26" s="78"/>
      <c r="D26" s="78"/>
      <c r="E26" s="78"/>
      <c r="F26" s="78"/>
      <c r="G26" s="78"/>
      <c r="I26" s="84" t="s">
        <v>223</v>
      </c>
      <c r="J26" s="78"/>
      <c r="K26" s="78"/>
      <c r="L26" s="78"/>
      <c r="M26" s="78"/>
      <c r="N26" s="78"/>
      <c r="P26" s="84" t="s">
        <v>223</v>
      </c>
      <c r="Q26" s="78"/>
      <c r="R26" s="78"/>
      <c r="S26" s="78"/>
      <c r="T26" s="78"/>
      <c r="U26" s="78"/>
      <c r="W26" s="84" t="s">
        <v>223</v>
      </c>
      <c r="X26" s="78"/>
      <c r="Y26" s="78"/>
      <c r="Z26" s="78"/>
      <c r="AA26" s="78"/>
      <c r="AB26" s="78"/>
      <c r="AD26" s="84" t="s">
        <v>223</v>
      </c>
      <c r="AE26" s="78"/>
      <c r="AF26" s="78"/>
      <c r="AG26" s="78"/>
      <c r="AH26" s="78"/>
      <c r="AI26" s="78"/>
      <c r="AK26" s="84" t="s">
        <v>223</v>
      </c>
      <c r="AL26" s="78"/>
      <c r="AM26" s="78"/>
      <c r="AN26" s="78"/>
      <c r="AO26" s="78"/>
      <c r="AP26" s="78"/>
      <c r="AR26" s="84" t="s">
        <v>223</v>
      </c>
      <c r="AS26" s="78"/>
      <c r="AT26" s="78"/>
      <c r="AU26" s="78"/>
      <c r="AV26" s="78"/>
      <c r="AW26" s="78"/>
      <c r="AY26" s="84" t="s">
        <v>223</v>
      </c>
      <c r="AZ26" s="78"/>
      <c r="BA26" s="78"/>
      <c r="BB26" s="78"/>
      <c r="BC26" s="78"/>
      <c r="BD26" s="78"/>
      <c r="BF26" s="84" t="s">
        <v>223</v>
      </c>
      <c r="BG26" s="78"/>
      <c r="BH26" s="78"/>
      <c r="BI26" s="78"/>
      <c r="BJ26" s="78"/>
      <c r="BK26" s="78"/>
      <c r="BM26" s="84" t="s">
        <v>223</v>
      </c>
      <c r="BN26" s="78"/>
      <c r="BO26" s="78"/>
      <c r="BP26" s="78"/>
      <c r="BQ26" s="78"/>
      <c r="BR26" s="78"/>
    </row>
    <row r="27" spans="2:70" x14ac:dyDescent="0.35">
      <c r="B27" s="64"/>
      <c r="C27" s="362" t="s">
        <v>224</v>
      </c>
      <c r="D27" s="362"/>
      <c r="I27" s="64"/>
      <c r="J27" s="362" t="s">
        <v>224</v>
      </c>
      <c r="K27" s="362"/>
      <c r="P27" s="64"/>
      <c r="Q27" s="362" t="s">
        <v>224</v>
      </c>
      <c r="R27" s="362"/>
      <c r="W27" s="64"/>
      <c r="X27" s="362" t="s">
        <v>224</v>
      </c>
      <c r="Y27" s="362"/>
      <c r="AD27" s="64"/>
      <c r="AE27" s="362" t="s">
        <v>224</v>
      </c>
      <c r="AF27" s="362"/>
      <c r="AK27" s="64"/>
      <c r="AL27" s="362" t="s">
        <v>224</v>
      </c>
      <c r="AM27" s="362"/>
      <c r="AR27" s="64"/>
      <c r="AS27" s="362" t="s">
        <v>224</v>
      </c>
      <c r="AT27" s="362"/>
      <c r="AY27" s="64"/>
      <c r="AZ27" s="362" t="s">
        <v>224</v>
      </c>
      <c r="BA27" s="362"/>
      <c r="BF27" s="64"/>
      <c r="BG27" s="362" t="s">
        <v>224</v>
      </c>
      <c r="BH27" s="362"/>
      <c r="BM27" s="64"/>
      <c r="BN27" s="362" t="s">
        <v>224</v>
      </c>
      <c r="BO27" s="362"/>
    </row>
    <row r="28" spans="2:70" x14ac:dyDescent="0.35">
      <c r="C28" s="312" t="s">
        <v>225</v>
      </c>
      <c r="D28" s="312" t="s">
        <v>226</v>
      </c>
      <c r="E28" s="312" t="s">
        <v>227</v>
      </c>
      <c r="J28" s="312" t="s">
        <v>225</v>
      </c>
      <c r="K28" s="312" t="s">
        <v>226</v>
      </c>
      <c r="L28" s="312" t="s">
        <v>227</v>
      </c>
      <c r="Q28" s="312" t="s">
        <v>225</v>
      </c>
      <c r="R28" s="312" t="s">
        <v>226</v>
      </c>
      <c r="S28" s="312" t="s">
        <v>227</v>
      </c>
      <c r="X28" s="312" t="s">
        <v>225</v>
      </c>
      <c r="Y28" s="312" t="s">
        <v>226</v>
      </c>
      <c r="Z28" s="312" t="s">
        <v>227</v>
      </c>
      <c r="AE28" s="312" t="s">
        <v>225</v>
      </c>
      <c r="AF28" s="312" t="s">
        <v>226</v>
      </c>
      <c r="AG28" s="312" t="s">
        <v>227</v>
      </c>
      <c r="AL28" s="312" t="s">
        <v>225</v>
      </c>
      <c r="AM28" s="312" t="s">
        <v>226</v>
      </c>
      <c r="AN28" s="312" t="s">
        <v>227</v>
      </c>
      <c r="AS28" s="312" t="s">
        <v>225</v>
      </c>
      <c r="AT28" s="312" t="s">
        <v>226</v>
      </c>
      <c r="AU28" s="312" t="s">
        <v>227</v>
      </c>
      <c r="AZ28" s="312" t="s">
        <v>225</v>
      </c>
      <c r="BA28" s="312" t="s">
        <v>226</v>
      </c>
      <c r="BB28" s="312" t="s">
        <v>227</v>
      </c>
      <c r="BG28" s="312" t="s">
        <v>225</v>
      </c>
      <c r="BH28" s="312" t="s">
        <v>226</v>
      </c>
      <c r="BI28" s="312" t="s">
        <v>227</v>
      </c>
      <c r="BN28" s="312" t="s">
        <v>225</v>
      </c>
      <c r="BO28" s="312" t="s">
        <v>226</v>
      </c>
      <c r="BP28" s="312" t="s">
        <v>227</v>
      </c>
    </row>
    <row r="29" spans="2:70" x14ac:dyDescent="0.35">
      <c r="B29" s="83" t="s">
        <v>228</v>
      </c>
      <c r="C29" s="109">
        <f>(C21*5)+(C22*(F14-5))</f>
        <v>0</v>
      </c>
      <c r="D29" s="109">
        <f>(D21*5)+(D22*(F14-5))</f>
        <v>0</v>
      </c>
      <c r="E29" s="110">
        <f>+C29*4+D29*8</f>
        <v>0</v>
      </c>
      <c r="I29" s="83" t="s">
        <v>228</v>
      </c>
      <c r="J29" s="109">
        <f>(J21*5)+(J22*(M14-5))</f>
        <v>0</v>
      </c>
      <c r="K29" s="109">
        <f>(K21*5)+(K22*(M14-5))</f>
        <v>0</v>
      </c>
      <c r="L29" s="110">
        <f>+J29*4+K29*8</f>
        <v>0</v>
      </c>
      <c r="P29" s="83" t="s">
        <v>228</v>
      </c>
      <c r="Q29" s="109">
        <f>(Q21*5)+(Q22*(T14-5))</f>
        <v>0</v>
      </c>
      <c r="R29" s="109">
        <f>(R21*5)+(R22*(T14-5))</f>
        <v>0</v>
      </c>
      <c r="S29" s="110">
        <f>+Q29*4+R29*8</f>
        <v>0</v>
      </c>
      <c r="W29" s="83" t="s">
        <v>228</v>
      </c>
      <c r="X29" s="109">
        <f>(X21*5)+(X22*(AA14-5))</f>
        <v>0</v>
      </c>
      <c r="Y29" s="109">
        <f>(Y21*5)+(Y22*(AA14-5))</f>
        <v>0</v>
      </c>
      <c r="Z29" s="110">
        <f>+X29*4+Y29*8</f>
        <v>0</v>
      </c>
      <c r="AD29" s="83" t="s">
        <v>228</v>
      </c>
      <c r="AE29" s="109">
        <f>(AE21*5)+(AE22*(AH14-5))</f>
        <v>0</v>
      </c>
      <c r="AF29" s="109">
        <f>(AF21*5)+(AF22*(AH14-5))</f>
        <v>0</v>
      </c>
      <c r="AG29" s="110">
        <f>+AE29*4+AF29*8</f>
        <v>0</v>
      </c>
      <c r="AK29" s="83" t="s">
        <v>228</v>
      </c>
      <c r="AL29" s="109">
        <f>(AL21*5)+(AL22*(AO14-5))</f>
        <v>0</v>
      </c>
      <c r="AM29" s="109">
        <f>(AM21*5)+(AM22*(AO14-5))</f>
        <v>0</v>
      </c>
      <c r="AN29" s="110">
        <f>+AL29*4+AM29*8</f>
        <v>0</v>
      </c>
      <c r="AR29" s="83" t="s">
        <v>228</v>
      </c>
      <c r="AS29" s="109">
        <f>(AS21*5)+(AS22*(AV14-5))</f>
        <v>0</v>
      </c>
      <c r="AT29" s="109">
        <f>(AT21*5)+(AT22*(AV14-5))</f>
        <v>0</v>
      </c>
      <c r="AU29" s="110">
        <f>+AS29*4+AT29*8</f>
        <v>0</v>
      </c>
      <c r="AY29" s="83" t="s">
        <v>228</v>
      </c>
      <c r="AZ29" s="109">
        <f>(AZ21*5)+(AZ22*(BC14-5))</f>
        <v>0</v>
      </c>
      <c r="BA29" s="109">
        <f>(BA21*5)+(BA22*(BC14-5))</f>
        <v>0</v>
      </c>
      <c r="BB29" s="110">
        <f>+AZ29*4+BA29*8</f>
        <v>0</v>
      </c>
      <c r="BF29" s="83" t="s">
        <v>228</v>
      </c>
      <c r="BG29" s="109">
        <f>(BG21*5)+(BG22*(BJ14-5))</f>
        <v>0</v>
      </c>
      <c r="BH29" s="109">
        <f>(BH21*5)+(BH22*(BJ14-5))</f>
        <v>0</v>
      </c>
      <c r="BI29" s="110">
        <f>+BG29*4+BH29*8</f>
        <v>0</v>
      </c>
      <c r="BM29" s="83" t="s">
        <v>228</v>
      </c>
      <c r="BN29" s="109">
        <f>(BN21*5)+(BN22*(BQ14-5))</f>
        <v>0</v>
      </c>
      <c r="BO29" s="109">
        <f>(BO21*5)+(BO22*(BQ14-5))</f>
        <v>0</v>
      </c>
      <c r="BP29" s="110">
        <f>+BN29*4+BO29*8</f>
        <v>0</v>
      </c>
    </row>
    <row r="30" spans="2:70" x14ac:dyDescent="0.35">
      <c r="B30" s="9" t="s">
        <v>229</v>
      </c>
      <c r="C30" s="111">
        <f>+C24*F17</f>
        <v>113.16518399999998</v>
      </c>
      <c r="D30" s="111">
        <f>+D24*F17</f>
        <v>80.634047999999993</v>
      </c>
      <c r="E30" s="201">
        <f>+C30*4+D30*8</f>
        <v>1097.7331199999999</v>
      </c>
      <c r="I30" s="9" t="s">
        <v>229</v>
      </c>
      <c r="J30" s="111">
        <f>+J24*M17</f>
        <v>141.45648</v>
      </c>
      <c r="K30" s="111">
        <f>+K24*M17</f>
        <v>100.79255999999999</v>
      </c>
      <c r="L30" s="201">
        <f>+J30*4+K30*8</f>
        <v>1372.1664000000001</v>
      </c>
      <c r="P30" s="9" t="s">
        <v>229</v>
      </c>
      <c r="Q30" s="111">
        <f>+Q24*T17</f>
        <v>169.74777599999999</v>
      </c>
      <c r="R30" s="111">
        <f>+R24*T17</f>
        <v>120.951072</v>
      </c>
      <c r="S30" s="201">
        <f>+Q30*4+R30*8</f>
        <v>1646.5996799999998</v>
      </c>
      <c r="W30" s="9" t="s">
        <v>229</v>
      </c>
      <c r="X30" s="111">
        <f>+X24*AA17</f>
        <v>198.039072</v>
      </c>
      <c r="Y30" s="111">
        <f>+Y24*AA17</f>
        <v>141.10958400000001</v>
      </c>
      <c r="Z30" s="201">
        <f>+X30*4+Y30*8</f>
        <v>1921.03296</v>
      </c>
      <c r="AD30" s="9" t="s">
        <v>229</v>
      </c>
      <c r="AE30" s="111">
        <f>+AE24*AH17</f>
        <v>0</v>
      </c>
      <c r="AF30" s="111">
        <f>+AF24*AH17</f>
        <v>0</v>
      </c>
      <c r="AG30" s="201">
        <f>+AE30*4+AF30*8</f>
        <v>0</v>
      </c>
      <c r="AK30" s="9" t="s">
        <v>229</v>
      </c>
      <c r="AL30" s="111">
        <f>+AL24*AO17</f>
        <v>0</v>
      </c>
      <c r="AM30" s="111">
        <f>+AM24*AO17</f>
        <v>0</v>
      </c>
      <c r="AN30" s="201">
        <f>+AL30*4+AM30*8</f>
        <v>0</v>
      </c>
      <c r="AR30" s="9" t="s">
        <v>229</v>
      </c>
      <c r="AS30" s="111">
        <f>+AS24*AV17</f>
        <v>0</v>
      </c>
      <c r="AT30" s="111">
        <f>+AT24*AV17</f>
        <v>0</v>
      </c>
      <c r="AU30" s="201">
        <f>+AS30*4+AT30*8</f>
        <v>0</v>
      </c>
      <c r="AY30" s="9" t="s">
        <v>229</v>
      </c>
      <c r="AZ30" s="111">
        <f>+AZ24*BC17</f>
        <v>0</v>
      </c>
      <c r="BA30" s="111">
        <f>+BA24*BC17</f>
        <v>0</v>
      </c>
      <c r="BB30" s="201">
        <f>+AZ30*4+BA30*8</f>
        <v>0</v>
      </c>
      <c r="BF30" s="9" t="s">
        <v>229</v>
      </c>
      <c r="BG30" s="111">
        <f>+BG24*BJ17</f>
        <v>0</v>
      </c>
      <c r="BH30" s="111">
        <f>+BH24*BJ17</f>
        <v>0</v>
      </c>
      <c r="BI30" s="201">
        <f>+BG30*4+BH30*8</f>
        <v>0</v>
      </c>
      <c r="BM30" s="9" t="s">
        <v>229</v>
      </c>
      <c r="BN30" s="111">
        <f>+BN24*BQ17</f>
        <v>0</v>
      </c>
      <c r="BO30" s="111">
        <f>+BO24*BQ17</f>
        <v>0</v>
      </c>
      <c r="BP30" s="201">
        <f>+BN30*4+BO30*8</f>
        <v>0</v>
      </c>
    </row>
    <row r="31" spans="2:70" x14ac:dyDescent="0.35">
      <c r="B31" s="9" t="s">
        <v>161</v>
      </c>
      <c r="C31" s="113">
        <f>+G21+G22</f>
        <v>28.1</v>
      </c>
      <c r="D31" s="113">
        <f>+G21+G22</f>
        <v>28.1</v>
      </c>
      <c r="E31" s="112">
        <f>+C31*4+D31*8</f>
        <v>337.20000000000005</v>
      </c>
      <c r="F31" s="85"/>
      <c r="I31" s="9" t="s">
        <v>161</v>
      </c>
      <c r="J31" s="113">
        <f>+N21+N22</f>
        <v>28.1</v>
      </c>
      <c r="K31" s="113">
        <f>+N21+N22</f>
        <v>28.1</v>
      </c>
      <c r="L31" s="112">
        <f>+J31*4+K31*8</f>
        <v>337.20000000000005</v>
      </c>
      <c r="M31" s="85"/>
      <c r="P31" s="9" t="s">
        <v>161</v>
      </c>
      <c r="Q31" s="113">
        <f>+U21+U22</f>
        <v>28.1</v>
      </c>
      <c r="R31" s="113">
        <f>+U21+U22</f>
        <v>28.1</v>
      </c>
      <c r="S31" s="112">
        <f>+Q31*4+R31*8</f>
        <v>337.20000000000005</v>
      </c>
      <c r="T31" s="85"/>
      <c r="W31" s="9" t="s">
        <v>161</v>
      </c>
      <c r="X31" s="113">
        <f>+AB21+AB22</f>
        <v>28.1</v>
      </c>
      <c r="Y31" s="113">
        <f>+AB21+AB22</f>
        <v>28.1</v>
      </c>
      <c r="Z31" s="112">
        <f>+X31*4+Y31*8</f>
        <v>337.20000000000005</v>
      </c>
      <c r="AA31" s="85"/>
      <c r="AD31" s="9" t="s">
        <v>161</v>
      </c>
      <c r="AE31" s="113">
        <f>+AI21+AI22</f>
        <v>28.1</v>
      </c>
      <c r="AF31" s="113">
        <f>+AI21+AI22</f>
        <v>28.1</v>
      </c>
      <c r="AG31" s="112">
        <f>+AE31*4+AF31*8</f>
        <v>337.20000000000005</v>
      </c>
      <c r="AH31" s="85"/>
      <c r="AK31" s="9" t="s">
        <v>161</v>
      </c>
      <c r="AL31" s="113">
        <f>+AP21+AP22</f>
        <v>28.1</v>
      </c>
      <c r="AM31" s="113">
        <f>+AP21+AP22</f>
        <v>28.1</v>
      </c>
      <c r="AN31" s="112">
        <f>+AL31*4+AM31*8</f>
        <v>337.20000000000005</v>
      </c>
      <c r="AO31" s="85"/>
      <c r="AR31" s="9" t="s">
        <v>161</v>
      </c>
      <c r="AS31" s="113">
        <f>+AW21+AW22</f>
        <v>28.1</v>
      </c>
      <c r="AT31" s="113">
        <f>+AW21+AW22</f>
        <v>28.1</v>
      </c>
      <c r="AU31" s="112">
        <f>+AS31*4+AT31*8</f>
        <v>337.20000000000005</v>
      </c>
      <c r="AV31" s="85"/>
      <c r="AY31" s="9" t="s">
        <v>161</v>
      </c>
      <c r="AZ31" s="113">
        <f>+BD21+BD22</f>
        <v>28.1</v>
      </c>
      <c r="BA31" s="113">
        <f>+BD21+BD22</f>
        <v>28.1</v>
      </c>
      <c r="BB31" s="112">
        <f>+AZ31*4+BA31*8</f>
        <v>337.20000000000005</v>
      </c>
      <c r="BC31" s="85"/>
      <c r="BF31" s="9" t="s">
        <v>161</v>
      </c>
      <c r="BG31" s="113">
        <f>+BK21+BK22</f>
        <v>28.1</v>
      </c>
      <c r="BH31" s="113">
        <f>+BK21+BK22</f>
        <v>28.1</v>
      </c>
      <c r="BI31" s="112">
        <f>+BG31*4+BH31*8</f>
        <v>337.20000000000005</v>
      </c>
      <c r="BJ31" s="85"/>
      <c r="BM31" s="9" t="s">
        <v>161</v>
      </c>
      <c r="BN31" s="113">
        <f>+BR21+BR22</f>
        <v>28.1</v>
      </c>
      <c r="BO31" s="113">
        <f>+BR21+BR22</f>
        <v>28.1</v>
      </c>
      <c r="BP31" s="112">
        <f>+BN31*4+BO31*8</f>
        <v>337.20000000000005</v>
      </c>
      <c r="BQ31" s="85"/>
    </row>
    <row r="32" spans="2:70" x14ac:dyDescent="0.35">
      <c r="B32" s="86" t="s">
        <v>231</v>
      </c>
      <c r="C32" s="111">
        <f>SUM(C29:C31)</f>
        <v>141.26518399999998</v>
      </c>
      <c r="D32" s="111">
        <f>SUM(D29:D31)</f>
        <v>108.734048</v>
      </c>
      <c r="E32" s="111">
        <f>SUM(E29:E31)</f>
        <v>1434.9331199999999</v>
      </c>
      <c r="I32" s="86" t="s">
        <v>231</v>
      </c>
      <c r="J32" s="111">
        <f>SUM(J29:J31)</f>
        <v>169.55647999999999</v>
      </c>
      <c r="K32" s="111">
        <f>SUM(K29:K31)</f>
        <v>128.89256</v>
      </c>
      <c r="L32" s="111">
        <f>SUM(L29:L31)</f>
        <v>1709.3664000000001</v>
      </c>
      <c r="P32" s="86" t="s">
        <v>231</v>
      </c>
      <c r="Q32" s="111">
        <f>SUM(Q29:Q31)</f>
        <v>197.84777599999998</v>
      </c>
      <c r="R32" s="111">
        <f>SUM(R29:R31)</f>
        <v>149.051072</v>
      </c>
      <c r="S32" s="111">
        <f>SUM(S29:S31)</f>
        <v>1983.7996799999999</v>
      </c>
      <c r="W32" s="86" t="s">
        <v>231</v>
      </c>
      <c r="X32" s="111">
        <f>SUM(X29:X31)</f>
        <v>226.139072</v>
      </c>
      <c r="Y32" s="111">
        <f>SUM(Y29:Y31)</f>
        <v>169.20958400000001</v>
      </c>
      <c r="Z32" s="111">
        <f>SUM(Z29:Z31)</f>
        <v>2258.2329600000003</v>
      </c>
      <c r="AD32" s="86" t="s">
        <v>231</v>
      </c>
      <c r="AE32" s="111">
        <f>SUM(AE29:AE31)</f>
        <v>28.1</v>
      </c>
      <c r="AF32" s="111">
        <f>SUM(AF29:AF31)</f>
        <v>28.1</v>
      </c>
      <c r="AG32" s="111">
        <f>SUM(AG29:AG31)</f>
        <v>337.20000000000005</v>
      </c>
      <c r="AK32" s="86" t="s">
        <v>231</v>
      </c>
      <c r="AL32" s="111">
        <f>SUM(AL29:AL31)</f>
        <v>28.1</v>
      </c>
      <c r="AM32" s="111">
        <f>SUM(AM29:AM31)</f>
        <v>28.1</v>
      </c>
      <c r="AN32" s="111">
        <f>SUM(AN29:AN31)</f>
        <v>337.20000000000005</v>
      </c>
      <c r="AR32" s="86" t="s">
        <v>231</v>
      </c>
      <c r="AS32" s="111">
        <f>SUM(AS29:AS31)</f>
        <v>28.1</v>
      </c>
      <c r="AT32" s="111">
        <f>SUM(AT29:AT31)</f>
        <v>28.1</v>
      </c>
      <c r="AU32" s="111">
        <f>SUM(AU29:AU31)</f>
        <v>337.20000000000005</v>
      </c>
      <c r="AY32" s="86" t="s">
        <v>231</v>
      </c>
      <c r="AZ32" s="111">
        <f>SUM(AZ29:AZ31)</f>
        <v>28.1</v>
      </c>
      <c r="BA32" s="111">
        <f>SUM(BA29:BA31)</f>
        <v>28.1</v>
      </c>
      <c r="BB32" s="111">
        <f>SUM(BB29:BB31)</f>
        <v>337.20000000000005</v>
      </c>
      <c r="BF32" s="86" t="s">
        <v>231</v>
      </c>
      <c r="BG32" s="111">
        <f>SUM(BG29:BG31)</f>
        <v>28.1</v>
      </c>
      <c r="BH32" s="111">
        <f>SUM(BH29:BH31)</f>
        <v>28.1</v>
      </c>
      <c r="BI32" s="111">
        <f>SUM(BI29:BI31)</f>
        <v>337.20000000000005</v>
      </c>
      <c r="BM32" s="86" t="s">
        <v>231</v>
      </c>
      <c r="BN32" s="111">
        <f>SUM(BN29:BN31)</f>
        <v>28.1</v>
      </c>
      <c r="BO32" s="111">
        <f>SUM(BO29:BO31)</f>
        <v>28.1</v>
      </c>
      <c r="BP32" s="111">
        <f>SUM(BP29:BP31)</f>
        <v>337.20000000000005</v>
      </c>
    </row>
    <row r="33" spans="2:70" x14ac:dyDescent="0.35">
      <c r="C33" s="111"/>
      <c r="D33" s="111"/>
      <c r="E33" s="111"/>
      <c r="J33" s="111"/>
      <c r="K33" s="111"/>
      <c r="L33" s="111"/>
      <c r="Q33" s="111"/>
      <c r="R33" s="111"/>
      <c r="S33" s="111"/>
      <c r="X33" s="111"/>
      <c r="Y33" s="111"/>
      <c r="Z33" s="111"/>
      <c r="AE33" s="111"/>
      <c r="AF33" s="111"/>
      <c r="AG33" s="111"/>
      <c r="AL33" s="111"/>
      <c r="AM33" s="111"/>
      <c r="AN33" s="111"/>
      <c r="AS33" s="111"/>
      <c r="AT33" s="111"/>
      <c r="AU33" s="111"/>
      <c r="AZ33" s="111"/>
      <c r="BA33" s="111"/>
      <c r="BB33" s="111"/>
      <c r="BG33" s="111"/>
      <c r="BH33" s="111"/>
      <c r="BI33" s="111"/>
      <c r="BN33" s="111"/>
      <c r="BO33" s="111"/>
      <c r="BP33" s="111"/>
    </row>
    <row r="34" spans="2:70" x14ac:dyDescent="0.35">
      <c r="C34" s="362" t="s">
        <v>224</v>
      </c>
      <c r="D34" s="362"/>
      <c r="E34" s="98"/>
      <c r="G34" s="98"/>
      <c r="J34" s="362" t="s">
        <v>224</v>
      </c>
      <c r="K34" s="362"/>
      <c r="L34" s="98"/>
      <c r="N34" s="98"/>
      <c r="Q34" s="362" t="s">
        <v>224</v>
      </c>
      <c r="R34" s="362"/>
      <c r="S34" s="98"/>
      <c r="U34" s="98"/>
      <c r="X34" s="362" t="s">
        <v>224</v>
      </c>
      <c r="Y34" s="362"/>
      <c r="Z34" s="98"/>
      <c r="AB34" s="98"/>
      <c r="AE34" s="362" t="s">
        <v>224</v>
      </c>
      <c r="AF34" s="362"/>
      <c r="AG34" s="98"/>
      <c r="AI34" s="98"/>
      <c r="AL34" s="362" t="s">
        <v>224</v>
      </c>
      <c r="AM34" s="362"/>
      <c r="AN34" s="98"/>
      <c r="AP34" s="98"/>
      <c r="AS34" s="362" t="s">
        <v>224</v>
      </c>
      <c r="AT34" s="362"/>
      <c r="AU34" s="98"/>
      <c r="AW34" s="98"/>
      <c r="AZ34" s="362" t="s">
        <v>224</v>
      </c>
      <c r="BA34" s="362"/>
      <c r="BB34" s="98"/>
      <c r="BD34" s="98"/>
      <c r="BG34" s="362" t="s">
        <v>224</v>
      </c>
      <c r="BH34" s="362"/>
      <c r="BI34" s="98"/>
      <c r="BK34" s="98"/>
      <c r="BN34" s="362" t="s">
        <v>224</v>
      </c>
      <c r="BO34" s="362"/>
      <c r="BP34" s="98"/>
      <c r="BR34" s="98"/>
    </row>
    <row r="35" spans="2:70" x14ac:dyDescent="0.35">
      <c r="B35" s="88" t="s">
        <v>232</v>
      </c>
      <c r="C35" s="312" t="s">
        <v>225</v>
      </c>
      <c r="D35" s="312" t="s">
        <v>226</v>
      </c>
      <c r="E35" s="312" t="s">
        <v>227</v>
      </c>
      <c r="I35" s="88" t="s">
        <v>232</v>
      </c>
      <c r="J35" s="312" t="s">
        <v>225</v>
      </c>
      <c r="K35" s="312" t="s">
        <v>226</v>
      </c>
      <c r="L35" s="312" t="s">
        <v>227</v>
      </c>
      <c r="P35" s="88" t="s">
        <v>232</v>
      </c>
      <c r="Q35" s="312" t="s">
        <v>225</v>
      </c>
      <c r="R35" s="312" t="s">
        <v>226</v>
      </c>
      <c r="S35" s="312" t="s">
        <v>227</v>
      </c>
      <c r="W35" s="88" t="s">
        <v>232</v>
      </c>
      <c r="X35" s="312" t="s">
        <v>225</v>
      </c>
      <c r="Y35" s="312" t="s">
        <v>226</v>
      </c>
      <c r="Z35" s="312" t="s">
        <v>227</v>
      </c>
      <c r="AD35" s="88" t="s">
        <v>232</v>
      </c>
      <c r="AE35" s="312" t="s">
        <v>225</v>
      </c>
      <c r="AF35" s="312" t="s">
        <v>226</v>
      </c>
      <c r="AG35" s="312" t="s">
        <v>227</v>
      </c>
      <c r="AK35" s="88" t="s">
        <v>232</v>
      </c>
      <c r="AL35" s="312" t="s">
        <v>225</v>
      </c>
      <c r="AM35" s="312" t="s">
        <v>226</v>
      </c>
      <c r="AN35" s="312" t="s">
        <v>227</v>
      </c>
      <c r="AR35" s="88" t="s">
        <v>232</v>
      </c>
      <c r="AS35" s="312" t="s">
        <v>225</v>
      </c>
      <c r="AT35" s="312" t="s">
        <v>226</v>
      </c>
      <c r="AU35" s="312" t="s">
        <v>227</v>
      </c>
      <c r="AY35" s="88" t="s">
        <v>232</v>
      </c>
      <c r="AZ35" s="312" t="s">
        <v>225</v>
      </c>
      <c r="BA35" s="312" t="s">
        <v>226</v>
      </c>
      <c r="BB35" s="312" t="s">
        <v>227</v>
      </c>
      <c r="BF35" s="88" t="s">
        <v>232</v>
      </c>
      <c r="BG35" s="312" t="s">
        <v>225</v>
      </c>
      <c r="BH35" s="312" t="s">
        <v>226</v>
      </c>
      <c r="BI35" s="312" t="s">
        <v>227</v>
      </c>
      <c r="BM35" s="88" t="s">
        <v>232</v>
      </c>
      <c r="BN35" s="312" t="s">
        <v>225</v>
      </c>
      <c r="BO35" s="312" t="s">
        <v>226</v>
      </c>
      <c r="BP35" s="312" t="s">
        <v>227</v>
      </c>
    </row>
    <row r="36" spans="2:70" x14ac:dyDescent="0.35">
      <c r="B36" t="s">
        <v>157</v>
      </c>
      <c r="C36" s="114">
        <f>Assumptions!$C$89</f>
        <v>1.28</v>
      </c>
      <c r="D36" s="114">
        <f>Assumptions!$C$89</f>
        <v>1.28</v>
      </c>
      <c r="E36" s="115">
        <f t="shared" ref="E36:E45" si="0">(C36*4)+(D36*8)</f>
        <v>15.36</v>
      </c>
      <c r="F36" s="85"/>
      <c r="G36" s="98"/>
      <c r="I36" t="s">
        <v>157</v>
      </c>
      <c r="J36" s="114">
        <f>Assumptions!$C$89</f>
        <v>1.28</v>
      </c>
      <c r="K36" s="114">
        <f>Assumptions!$C$89</f>
        <v>1.28</v>
      </c>
      <c r="L36" s="115">
        <f t="shared" ref="L36:L45" si="1">(J36*4)+(K36*8)</f>
        <v>15.36</v>
      </c>
      <c r="M36" s="85"/>
      <c r="N36" s="98"/>
      <c r="P36" t="s">
        <v>157</v>
      </c>
      <c r="Q36" s="114">
        <f>Assumptions!$C$89</f>
        <v>1.28</v>
      </c>
      <c r="R36" s="114">
        <f>Assumptions!$C$89</f>
        <v>1.28</v>
      </c>
      <c r="S36" s="115">
        <f t="shared" ref="S36:S45" si="2">(Q36*4)+(R36*8)</f>
        <v>15.36</v>
      </c>
      <c r="T36" s="85"/>
      <c r="U36" s="98"/>
      <c r="W36" t="s">
        <v>157</v>
      </c>
      <c r="X36" s="114">
        <f>Assumptions!$C$89</f>
        <v>1.28</v>
      </c>
      <c r="Y36" s="114">
        <f>Assumptions!$C$89</f>
        <v>1.28</v>
      </c>
      <c r="Z36" s="115">
        <f t="shared" ref="Z36:Z45" si="3">(X36*4)+(Y36*8)</f>
        <v>15.36</v>
      </c>
      <c r="AA36" s="85"/>
      <c r="AB36" s="98"/>
      <c r="AD36" t="s">
        <v>157</v>
      </c>
      <c r="AE36" s="114">
        <f>Assumptions!$C$89</f>
        <v>1.28</v>
      </c>
      <c r="AF36" s="114">
        <f>Assumptions!$C$89</f>
        <v>1.28</v>
      </c>
      <c r="AG36" s="115">
        <f t="shared" ref="AG36:AG45" si="4">(AE36*4)+(AF36*8)</f>
        <v>15.36</v>
      </c>
      <c r="AH36" s="85"/>
      <c r="AI36" s="98"/>
      <c r="AK36" t="s">
        <v>157</v>
      </c>
      <c r="AL36" s="114">
        <f>Assumptions!$C$89</f>
        <v>1.28</v>
      </c>
      <c r="AM36" s="114">
        <f>Assumptions!$C$89</f>
        <v>1.28</v>
      </c>
      <c r="AN36" s="115">
        <f t="shared" ref="AN36:AN45" si="5">(AL36*4)+(AM36*8)</f>
        <v>15.36</v>
      </c>
      <c r="AO36" s="85"/>
      <c r="AP36" s="98"/>
      <c r="AR36" t="s">
        <v>157</v>
      </c>
      <c r="AS36" s="114">
        <f>Assumptions!$C$89</f>
        <v>1.28</v>
      </c>
      <c r="AT36" s="114">
        <f>Assumptions!$C$89</f>
        <v>1.28</v>
      </c>
      <c r="AU36" s="115">
        <f t="shared" ref="AU36:AU45" si="6">(AS36*4)+(AT36*8)</f>
        <v>15.36</v>
      </c>
      <c r="AV36" s="85"/>
      <c r="AW36" s="98"/>
      <c r="AY36" t="s">
        <v>157</v>
      </c>
      <c r="AZ36" s="114">
        <f>Assumptions!$C$89</f>
        <v>1.28</v>
      </c>
      <c r="BA36" s="114">
        <f>Assumptions!$C$89</f>
        <v>1.28</v>
      </c>
      <c r="BB36" s="115">
        <f t="shared" ref="BB36:BB45" si="7">(AZ36*4)+(BA36*8)</f>
        <v>15.36</v>
      </c>
      <c r="BC36" s="85"/>
      <c r="BD36" s="98"/>
      <c r="BF36" t="s">
        <v>157</v>
      </c>
      <c r="BG36" s="114">
        <f>Assumptions!$C$89</f>
        <v>1.28</v>
      </c>
      <c r="BH36" s="114">
        <f>Assumptions!$C$89</f>
        <v>1.28</v>
      </c>
      <c r="BI36" s="115">
        <f t="shared" ref="BI36:BI45" si="8">(BG36*4)+(BH36*8)</f>
        <v>15.36</v>
      </c>
      <c r="BJ36" s="85"/>
      <c r="BK36" s="98"/>
      <c r="BM36" t="s">
        <v>157</v>
      </c>
      <c r="BN36" s="114">
        <f>Assumptions!$C$89</f>
        <v>1.28</v>
      </c>
      <c r="BO36" s="114">
        <f>Assumptions!$C$89</f>
        <v>1.28</v>
      </c>
      <c r="BP36" s="115">
        <f t="shared" ref="BP36:BP45" si="9">(BN36*4)+(BO36*8)</f>
        <v>15.36</v>
      </c>
      <c r="BQ36" s="85"/>
      <c r="BR36" s="98"/>
    </row>
    <row r="37" spans="2:70" x14ac:dyDescent="0.35">
      <c r="B37" t="s">
        <v>169</v>
      </c>
      <c r="C37" s="114">
        <f>F$17*Assumptions!$C99</f>
        <v>11.7405024</v>
      </c>
      <c r="D37" s="114">
        <f>F$17*Assumptions!$C99</f>
        <v>11.7405024</v>
      </c>
      <c r="E37" s="115">
        <f t="shared" si="0"/>
        <v>140.88602880000002</v>
      </c>
      <c r="F37" s="85"/>
      <c r="I37" t="s">
        <v>169</v>
      </c>
      <c r="J37" s="114">
        <f>M$17*Assumptions!$C99</f>
        <v>14.675628000000001</v>
      </c>
      <c r="K37" s="114">
        <f>M$17*Assumptions!$C99</f>
        <v>14.675628000000001</v>
      </c>
      <c r="L37" s="115">
        <f t="shared" si="1"/>
        <v>176.10753600000001</v>
      </c>
      <c r="M37" s="85"/>
      <c r="P37" t="s">
        <v>169</v>
      </c>
      <c r="Q37" s="114">
        <f>T$17*Assumptions!$C99</f>
        <v>17.610753599999999</v>
      </c>
      <c r="R37" s="114">
        <f>T$17*Assumptions!$C99</f>
        <v>17.610753599999999</v>
      </c>
      <c r="S37" s="115">
        <f t="shared" si="2"/>
        <v>211.3290432</v>
      </c>
      <c r="T37" s="85"/>
      <c r="W37" t="s">
        <v>169</v>
      </c>
      <c r="X37" s="114">
        <f>AA$17*Assumptions!$C99</f>
        <v>20.545879200000005</v>
      </c>
      <c r="Y37" s="114">
        <f>AA$17*Assumptions!$C99</f>
        <v>20.545879200000005</v>
      </c>
      <c r="Z37" s="115">
        <f t="shared" si="3"/>
        <v>246.55055040000008</v>
      </c>
      <c r="AA37" s="85"/>
      <c r="AD37" t="s">
        <v>169</v>
      </c>
      <c r="AE37" s="114">
        <f>AH$17*Assumptions!$C99</f>
        <v>0</v>
      </c>
      <c r="AF37" s="114">
        <f>AH$17*Assumptions!$C99</f>
        <v>0</v>
      </c>
      <c r="AG37" s="115">
        <f t="shared" si="4"/>
        <v>0</v>
      </c>
      <c r="AH37" s="85"/>
      <c r="AK37" t="s">
        <v>169</v>
      </c>
      <c r="AL37" s="114">
        <f>AO$17*Assumptions!$C99</f>
        <v>0</v>
      </c>
      <c r="AM37" s="114">
        <f>AO$17*Assumptions!$C99</f>
        <v>0</v>
      </c>
      <c r="AN37" s="115">
        <f t="shared" si="5"/>
        <v>0</v>
      </c>
      <c r="AO37" s="85"/>
      <c r="AR37" t="s">
        <v>169</v>
      </c>
      <c r="AS37" s="114">
        <f>AV$17*Assumptions!$C99</f>
        <v>0</v>
      </c>
      <c r="AT37" s="114">
        <f>AV$17*Assumptions!$C99</f>
        <v>0</v>
      </c>
      <c r="AU37" s="115">
        <f t="shared" si="6"/>
        <v>0</v>
      </c>
      <c r="AV37" s="85"/>
      <c r="AY37" t="s">
        <v>169</v>
      </c>
      <c r="AZ37" s="114">
        <f>BC$17*Assumptions!$C99</f>
        <v>0</v>
      </c>
      <c r="BA37" s="114">
        <f>BC$17*Assumptions!$C99</f>
        <v>0</v>
      </c>
      <c r="BB37" s="115">
        <f t="shared" si="7"/>
        <v>0</v>
      </c>
      <c r="BC37" s="85"/>
      <c r="BF37" t="s">
        <v>169</v>
      </c>
      <c r="BG37" s="114">
        <f>BJ$17*Assumptions!$C99</f>
        <v>0</v>
      </c>
      <c r="BH37" s="114">
        <f>BJ$17*Assumptions!$C99</f>
        <v>0</v>
      </c>
      <c r="BI37" s="115">
        <f t="shared" si="8"/>
        <v>0</v>
      </c>
      <c r="BJ37" s="85"/>
      <c r="BM37" t="s">
        <v>169</v>
      </c>
      <c r="BN37" s="114">
        <f>BQ$17*Assumptions!$C99</f>
        <v>0</v>
      </c>
      <c r="BO37" s="114">
        <f>BQ$17*Assumptions!$C99</f>
        <v>0</v>
      </c>
      <c r="BP37" s="115">
        <f t="shared" si="9"/>
        <v>0</v>
      </c>
      <c r="BQ37" s="85"/>
    </row>
    <row r="38" spans="2:70" x14ac:dyDescent="0.35">
      <c r="B38" t="s">
        <v>171</v>
      </c>
      <c r="C38" s="114">
        <f>F$17*Assumptions!$C100</f>
        <v>0.76240032000000002</v>
      </c>
      <c r="D38" s="114">
        <f>F$17*Assumptions!$C100</f>
        <v>0.76240032000000002</v>
      </c>
      <c r="E38" s="115">
        <f t="shared" si="0"/>
        <v>9.1488038399999994</v>
      </c>
      <c r="F38" s="85"/>
      <c r="I38" t="s">
        <v>171</v>
      </c>
      <c r="J38" s="114">
        <f>M$17*Assumptions!$C100</f>
        <v>0.95300040000000008</v>
      </c>
      <c r="K38" s="114">
        <f>M$17*Assumptions!$C100</f>
        <v>0.95300040000000008</v>
      </c>
      <c r="L38" s="115">
        <f t="shared" si="1"/>
        <v>11.436004800000001</v>
      </c>
      <c r="M38" s="85"/>
      <c r="P38" t="s">
        <v>171</v>
      </c>
      <c r="Q38" s="114">
        <f>T$17*Assumptions!$C100</f>
        <v>1.1436004799999999</v>
      </c>
      <c r="R38" s="114">
        <f>T$17*Assumptions!$C100</f>
        <v>1.1436004799999999</v>
      </c>
      <c r="S38" s="115">
        <f t="shared" si="2"/>
        <v>13.723205759999999</v>
      </c>
      <c r="T38" s="85"/>
      <c r="W38" t="s">
        <v>171</v>
      </c>
      <c r="X38" s="114">
        <f>AA$17*Assumptions!$C100</f>
        <v>1.3342005600000002</v>
      </c>
      <c r="Y38" s="114">
        <f>AA$17*Assumptions!$C100</f>
        <v>1.3342005600000002</v>
      </c>
      <c r="Z38" s="115">
        <f t="shared" si="3"/>
        <v>16.010406720000002</v>
      </c>
      <c r="AA38" s="85"/>
      <c r="AD38" t="s">
        <v>171</v>
      </c>
      <c r="AE38" s="114">
        <f>AH$17*Assumptions!$C100</f>
        <v>0</v>
      </c>
      <c r="AF38" s="114">
        <f>AH$17*Assumptions!$C100</f>
        <v>0</v>
      </c>
      <c r="AG38" s="115">
        <f t="shared" si="4"/>
        <v>0</v>
      </c>
      <c r="AH38" s="85"/>
      <c r="AK38" t="s">
        <v>171</v>
      </c>
      <c r="AL38" s="114">
        <f>AO$17*Assumptions!$C100</f>
        <v>0</v>
      </c>
      <c r="AM38" s="114">
        <f>AO$17*Assumptions!$C100</f>
        <v>0</v>
      </c>
      <c r="AN38" s="115">
        <f t="shared" si="5"/>
        <v>0</v>
      </c>
      <c r="AO38" s="85"/>
      <c r="AR38" t="s">
        <v>171</v>
      </c>
      <c r="AS38" s="114">
        <f>AV$17*Assumptions!$C100</f>
        <v>0</v>
      </c>
      <c r="AT38" s="114">
        <f>AV$17*Assumptions!$C100</f>
        <v>0</v>
      </c>
      <c r="AU38" s="115">
        <f t="shared" si="6"/>
        <v>0</v>
      </c>
      <c r="AV38" s="85"/>
      <c r="AY38" t="s">
        <v>171</v>
      </c>
      <c r="AZ38" s="114">
        <f>BC$17*Assumptions!$C100</f>
        <v>0</v>
      </c>
      <c r="BA38" s="114">
        <f>BC$17*Assumptions!$C100</f>
        <v>0</v>
      </c>
      <c r="BB38" s="115">
        <f t="shared" si="7"/>
        <v>0</v>
      </c>
      <c r="BC38" s="85"/>
      <c r="BF38" t="s">
        <v>171</v>
      </c>
      <c r="BG38" s="114">
        <f>BJ$17*Assumptions!$C100</f>
        <v>0</v>
      </c>
      <c r="BH38" s="114">
        <f>BJ$17*Assumptions!$C100</f>
        <v>0</v>
      </c>
      <c r="BI38" s="115">
        <f t="shared" si="8"/>
        <v>0</v>
      </c>
      <c r="BJ38" s="85"/>
      <c r="BM38" t="s">
        <v>171</v>
      </c>
      <c r="BN38" s="114">
        <f>BQ$17*Assumptions!$C100</f>
        <v>0</v>
      </c>
      <c r="BO38" s="114">
        <f>BQ$17*Assumptions!$C100</f>
        <v>0</v>
      </c>
      <c r="BP38" s="115">
        <f t="shared" si="9"/>
        <v>0</v>
      </c>
      <c r="BQ38" s="85"/>
    </row>
    <row r="39" spans="2:70" x14ac:dyDescent="0.35">
      <c r="B39" t="s">
        <v>172</v>
      </c>
      <c r="C39" s="114">
        <f>F$17*Assumptions!$C101</f>
        <v>5.1944463999999995</v>
      </c>
      <c r="D39" s="114">
        <f>F$17*Assumptions!$C101</f>
        <v>5.1944463999999995</v>
      </c>
      <c r="E39" s="115">
        <f t="shared" si="0"/>
        <v>62.33335679999999</v>
      </c>
      <c r="F39" s="85"/>
      <c r="I39" t="s">
        <v>172</v>
      </c>
      <c r="J39" s="114">
        <f>M$17*Assumptions!$C101</f>
        <v>6.4930579999999996</v>
      </c>
      <c r="K39" s="114">
        <f>M$17*Assumptions!$C101</f>
        <v>6.4930579999999996</v>
      </c>
      <c r="L39" s="115">
        <f t="shared" si="1"/>
        <v>77.916696000000002</v>
      </c>
      <c r="M39" s="85"/>
      <c r="P39" t="s">
        <v>172</v>
      </c>
      <c r="Q39" s="114">
        <f>T$17*Assumptions!$C101</f>
        <v>7.7916695999999988</v>
      </c>
      <c r="R39" s="114">
        <f>T$17*Assumptions!$C101</f>
        <v>7.7916695999999988</v>
      </c>
      <c r="S39" s="115">
        <f t="shared" si="2"/>
        <v>93.500035199999985</v>
      </c>
      <c r="T39" s="85"/>
      <c r="W39" t="s">
        <v>172</v>
      </c>
      <c r="X39" s="114">
        <f>AA$17*Assumptions!$C101</f>
        <v>9.0902811999999997</v>
      </c>
      <c r="Y39" s="114">
        <f>AA$17*Assumptions!$C101</f>
        <v>9.0902811999999997</v>
      </c>
      <c r="Z39" s="115">
        <f t="shared" si="3"/>
        <v>109.0833744</v>
      </c>
      <c r="AA39" s="85"/>
      <c r="AD39" t="s">
        <v>172</v>
      </c>
      <c r="AE39" s="114">
        <f>AH$17*Assumptions!$C101</f>
        <v>0</v>
      </c>
      <c r="AF39" s="114">
        <f>AH$17*Assumptions!$C101</f>
        <v>0</v>
      </c>
      <c r="AG39" s="115">
        <f t="shared" si="4"/>
        <v>0</v>
      </c>
      <c r="AH39" s="85"/>
      <c r="AK39" t="s">
        <v>172</v>
      </c>
      <c r="AL39" s="114">
        <f>AO$17*Assumptions!$C101</f>
        <v>0</v>
      </c>
      <c r="AM39" s="114">
        <f>AO$17*Assumptions!$C101</f>
        <v>0</v>
      </c>
      <c r="AN39" s="115">
        <f t="shared" si="5"/>
        <v>0</v>
      </c>
      <c r="AO39" s="85"/>
      <c r="AR39" t="s">
        <v>172</v>
      </c>
      <c r="AS39" s="114">
        <f>AV$17*Assumptions!$C101</f>
        <v>0</v>
      </c>
      <c r="AT39" s="114">
        <f>AV$17*Assumptions!$C101</f>
        <v>0</v>
      </c>
      <c r="AU39" s="115">
        <f t="shared" si="6"/>
        <v>0</v>
      </c>
      <c r="AV39" s="85"/>
      <c r="AY39" t="s">
        <v>172</v>
      </c>
      <c r="AZ39" s="114">
        <f>BC$17*Assumptions!$C101</f>
        <v>0</v>
      </c>
      <c r="BA39" s="114">
        <f>BC$17*Assumptions!$C101</f>
        <v>0</v>
      </c>
      <c r="BB39" s="115">
        <f t="shared" si="7"/>
        <v>0</v>
      </c>
      <c r="BC39" s="85"/>
      <c r="BF39" t="s">
        <v>172</v>
      </c>
      <c r="BG39" s="114">
        <f>BJ$17*Assumptions!$C101</f>
        <v>0</v>
      </c>
      <c r="BH39" s="114">
        <f>BJ$17*Assumptions!$C101</f>
        <v>0</v>
      </c>
      <c r="BI39" s="115">
        <f t="shared" si="8"/>
        <v>0</v>
      </c>
      <c r="BJ39" s="85"/>
      <c r="BM39" t="s">
        <v>172</v>
      </c>
      <c r="BN39" s="114">
        <f>BQ$17*Assumptions!$C101</f>
        <v>0</v>
      </c>
      <c r="BO39" s="114">
        <f>BQ$17*Assumptions!$C101</f>
        <v>0</v>
      </c>
      <c r="BP39" s="115">
        <f t="shared" si="9"/>
        <v>0</v>
      </c>
      <c r="BQ39" s="85"/>
    </row>
    <row r="40" spans="2:70" x14ac:dyDescent="0.35">
      <c r="B40" t="s">
        <v>175</v>
      </c>
      <c r="C40" s="114">
        <f>F$17*Assumptions!$C102</f>
        <v>1.19364344</v>
      </c>
      <c r="D40" s="114">
        <f>F$17*Assumptions!$C102</f>
        <v>1.19364344</v>
      </c>
      <c r="E40" s="115">
        <f t="shared" si="0"/>
        <v>14.323721280000001</v>
      </c>
      <c r="I40" t="s">
        <v>175</v>
      </c>
      <c r="J40" s="114">
        <f>M$17*Assumptions!$C102</f>
        <v>1.4920543000000002</v>
      </c>
      <c r="K40" s="114">
        <f>M$17*Assumptions!$C102</f>
        <v>1.4920543000000002</v>
      </c>
      <c r="L40" s="115">
        <f t="shared" si="1"/>
        <v>17.904651600000001</v>
      </c>
      <c r="P40" t="s">
        <v>175</v>
      </c>
      <c r="Q40" s="114">
        <f>T$17*Assumptions!$C102</f>
        <v>1.7904651599999999</v>
      </c>
      <c r="R40" s="114">
        <f>T$17*Assumptions!$C102</f>
        <v>1.7904651599999999</v>
      </c>
      <c r="S40" s="115">
        <f t="shared" si="2"/>
        <v>21.485581919999998</v>
      </c>
      <c r="W40" t="s">
        <v>175</v>
      </c>
      <c r="X40" s="114">
        <f>AA$17*Assumptions!$C102</f>
        <v>2.0888760200000003</v>
      </c>
      <c r="Y40" s="114">
        <f>AA$17*Assumptions!$C102</f>
        <v>2.0888760200000003</v>
      </c>
      <c r="Z40" s="115">
        <f t="shared" si="3"/>
        <v>25.066512240000002</v>
      </c>
      <c r="AD40" t="s">
        <v>175</v>
      </c>
      <c r="AE40" s="114">
        <f>AH$17*Assumptions!$C102</f>
        <v>0</v>
      </c>
      <c r="AF40" s="114">
        <f>AH$17*Assumptions!$C102</f>
        <v>0</v>
      </c>
      <c r="AG40" s="115">
        <f t="shared" si="4"/>
        <v>0</v>
      </c>
      <c r="AK40" t="s">
        <v>175</v>
      </c>
      <c r="AL40" s="114">
        <f>AO$17*Assumptions!$C102</f>
        <v>0</v>
      </c>
      <c r="AM40" s="114">
        <f>AO$17*Assumptions!$C102</f>
        <v>0</v>
      </c>
      <c r="AN40" s="115">
        <f t="shared" si="5"/>
        <v>0</v>
      </c>
      <c r="AR40" t="s">
        <v>175</v>
      </c>
      <c r="AS40" s="114">
        <f>AV$17*Assumptions!$C102</f>
        <v>0</v>
      </c>
      <c r="AT40" s="114">
        <f>AV$17*Assumptions!$C102</f>
        <v>0</v>
      </c>
      <c r="AU40" s="115">
        <f t="shared" si="6"/>
        <v>0</v>
      </c>
      <c r="AY40" t="s">
        <v>175</v>
      </c>
      <c r="AZ40" s="114">
        <f>BC$17*Assumptions!$C102</f>
        <v>0</v>
      </c>
      <c r="BA40" s="114">
        <f>BC$17*Assumptions!$C102</f>
        <v>0</v>
      </c>
      <c r="BB40" s="115">
        <f t="shared" si="7"/>
        <v>0</v>
      </c>
      <c r="BF40" t="s">
        <v>175</v>
      </c>
      <c r="BG40" s="114">
        <f>BJ$17*Assumptions!$C102</f>
        <v>0</v>
      </c>
      <c r="BH40" s="114">
        <f>BJ$17*Assumptions!$C102</f>
        <v>0</v>
      </c>
      <c r="BI40" s="115">
        <f t="shared" si="8"/>
        <v>0</v>
      </c>
      <c r="BM40" t="s">
        <v>175</v>
      </c>
      <c r="BN40" s="114">
        <f>BQ$17*Assumptions!$C102</f>
        <v>0</v>
      </c>
      <c r="BO40" s="114">
        <f>BQ$17*Assumptions!$C102</f>
        <v>0</v>
      </c>
      <c r="BP40" s="115">
        <f t="shared" si="9"/>
        <v>0</v>
      </c>
    </row>
    <row r="41" spans="2:70" x14ac:dyDescent="0.35">
      <c r="B41" t="s">
        <v>176</v>
      </c>
      <c r="C41" s="114">
        <f>F$17*Assumptions!$C103</f>
        <v>2.8715280000000003E-2</v>
      </c>
      <c r="D41" s="114">
        <f>F$17*Assumptions!$C103</f>
        <v>2.8715280000000003E-2</v>
      </c>
      <c r="E41" s="115">
        <f t="shared" si="0"/>
        <v>0.34458336000000001</v>
      </c>
      <c r="I41" t="s">
        <v>176</v>
      </c>
      <c r="J41" s="114">
        <f>M$17*Assumptions!$C103</f>
        <v>3.5894100000000005E-2</v>
      </c>
      <c r="K41" s="114">
        <f>M$17*Assumptions!$C103</f>
        <v>3.5894100000000005E-2</v>
      </c>
      <c r="L41" s="115">
        <f t="shared" si="1"/>
        <v>0.43072920000000003</v>
      </c>
      <c r="P41" t="s">
        <v>176</v>
      </c>
      <c r="Q41" s="114">
        <f>T$17*Assumptions!$C103</f>
        <v>4.3072920000000001E-2</v>
      </c>
      <c r="R41" s="114">
        <f>T$17*Assumptions!$C103</f>
        <v>4.3072920000000001E-2</v>
      </c>
      <c r="S41" s="115">
        <f t="shared" si="2"/>
        <v>0.51687503999999995</v>
      </c>
      <c r="W41" t="s">
        <v>176</v>
      </c>
      <c r="X41" s="114">
        <f>AA$17*Assumptions!$C103</f>
        <v>5.025174000000001E-2</v>
      </c>
      <c r="Y41" s="114">
        <f>AA$17*Assumptions!$C103</f>
        <v>5.025174000000001E-2</v>
      </c>
      <c r="Z41" s="115">
        <f t="shared" si="3"/>
        <v>0.60302088000000009</v>
      </c>
      <c r="AD41" t="s">
        <v>176</v>
      </c>
      <c r="AE41" s="114">
        <f>AH$17*Assumptions!$C103</f>
        <v>0</v>
      </c>
      <c r="AF41" s="114">
        <f>AH$17*Assumptions!$C103</f>
        <v>0</v>
      </c>
      <c r="AG41" s="115">
        <f t="shared" si="4"/>
        <v>0</v>
      </c>
      <c r="AK41" t="s">
        <v>176</v>
      </c>
      <c r="AL41" s="114">
        <f>AO$17*Assumptions!$C103</f>
        <v>0</v>
      </c>
      <c r="AM41" s="114">
        <f>AO$17*Assumptions!$C103</f>
        <v>0</v>
      </c>
      <c r="AN41" s="115">
        <f t="shared" si="5"/>
        <v>0</v>
      </c>
      <c r="AR41" t="s">
        <v>176</v>
      </c>
      <c r="AS41" s="114">
        <f>AV$17*Assumptions!$C103</f>
        <v>0</v>
      </c>
      <c r="AT41" s="114">
        <f>AV$17*Assumptions!$C103</f>
        <v>0</v>
      </c>
      <c r="AU41" s="115">
        <f t="shared" si="6"/>
        <v>0</v>
      </c>
      <c r="AY41" t="s">
        <v>176</v>
      </c>
      <c r="AZ41" s="114">
        <f>BC$17*Assumptions!$C103</f>
        <v>0</v>
      </c>
      <c r="BA41" s="114">
        <f>BC$17*Assumptions!$C103</f>
        <v>0</v>
      </c>
      <c r="BB41" s="115">
        <f t="shared" si="7"/>
        <v>0</v>
      </c>
      <c r="BF41" t="s">
        <v>176</v>
      </c>
      <c r="BG41" s="114">
        <f>BJ$17*Assumptions!$C103</f>
        <v>0</v>
      </c>
      <c r="BH41" s="114">
        <f>BJ$17*Assumptions!$C103</f>
        <v>0</v>
      </c>
      <c r="BI41" s="115">
        <f t="shared" si="8"/>
        <v>0</v>
      </c>
      <c r="BM41" t="s">
        <v>176</v>
      </c>
      <c r="BN41" s="114">
        <f>BQ$17*Assumptions!$C103</f>
        <v>0</v>
      </c>
      <c r="BO41" s="114">
        <f>BQ$17*Assumptions!$C103</f>
        <v>0</v>
      </c>
      <c r="BP41" s="115">
        <f t="shared" si="9"/>
        <v>0</v>
      </c>
    </row>
    <row r="42" spans="2:70" x14ac:dyDescent="0.35">
      <c r="B42" t="s">
        <v>177</v>
      </c>
      <c r="C42" s="114">
        <f>F$17*Assumptions!$C104</f>
        <v>5.1391999999999996E-4</v>
      </c>
      <c r="D42" s="114">
        <f>F$17*Assumptions!$C104</f>
        <v>5.1391999999999996E-4</v>
      </c>
      <c r="E42" s="115">
        <f t="shared" si="0"/>
        <v>6.1670399999999995E-3</v>
      </c>
      <c r="I42" t="s">
        <v>177</v>
      </c>
      <c r="J42" s="114">
        <f>M$17*Assumptions!$C104</f>
        <v>6.424E-4</v>
      </c>
      <c r="K42" s="114">
        <f>M$17*Assumptions!$C104</f>
        <v>6.424E-4</v>
      </c>
      <c r="L42" s="115">
        <f t="shared" si="1"/>
        <v>7.7088E-3</v>
      </c>
      <c r="P42" t="s">
        <v>177</v>
      </c>
      <c r="Q42" s="114">
        <f>T$17*Assumptions!$C104</f>
        <v>7.7087999999999983E-4</v>
      </c>
      <c r="R42" s="114">
        <f>T$17*Assumptions!$C104</f>
        <v>7.7087999999999983E-4</v>
      </c>
      <c r="S42" s="115">
        <f t="shared" si="2"/>
        <v>9.250559999999998E-3</v>
      </c>
      <c r="W42" t="s">
        <v>177</v>
      </c>
      <c r="X42" s="114">
        <f>AA$17*Assumptions!$C104</f>
        <v>8.9936000000000009E-4</v>
      </c>
      <c r="Y42" s="114">
        <f>AA$17*Assumptions!$C104</f>
        <v>8.9936000000000009E-4</v>
      </c>
      <c r="Z42" s="115">
        <f t="shared" si="3"/>
        <v>1.0792320000000001E-2</v>
      </c>
      <c r="AD42" t="s">
        <v>177</v>
      </c>
      <c r="AE42" s="114">
        <f>AH$17*Assumptions!$C104</f>
        <v>0</v>
      </c>
      <c r="AF42" s="114">
        <f>AH$17*Assumptions!$C104</f>
        <v>0</v>
      </c>
      <c r="AG42" s="115">
        <f t="shared" si="4"/>
        <v>0</v>
      </c>
      <c r="AK42" t="s">
        <v>177</v>
      </c>
      <c r="AL42" s="114">
        <f>AO$17*Assumptions!$C104</f>
        <v>0</v>
      </c>
      <c r="AM42" s="114">
        <f>AO$17*Assumptions!$C104</f>
        <v>0</v>
      </c>
      <c r="AN42" s="115">
        <f t="shared" si="5"/>
        <v>0</v>
      </c>
      <c r="AR42" t="s">
        <v>177</v>
      </c>
      <c r="AS42" s="114">
        <f>AV$17*Assumptions!$C104</f>
        <v>0</v>
      </c>
      <c r="AT42" s="114">
        <f>AV$17*Assumptions!$C104</f>
        <v>0</v>
      </c>
      <c r="AU42" s="115">
        <f t="shared" si="6"/>
        <v>0</v>
      </c>
      <c r="AY42" t="s">
        <v>177</v>
      </c>
      <c r="AZ42" s="114">
        <f>BC$17*Assumptions!$C104</f>
        <v>0</v>
      </c>
      <c r="BA42" s="114">
        <f>BC$17*Assumptions!$C104</f>
        <v>0</v>
      </c>
      <c r="BB42" s="115">
        <f t="shared" si="7"/>
        <v>0</v>
      </c>
      <c r="BF42" t="s">
        <v>177</v>
      </c>
      <c r="BG42" s="114">
        <f>BJ$17*Assumptions!$C104</f>
        <v>0</v>
      </c>
      <c r="BH42" s="114">
        <f>BJ$17*Assumptions!$C104</f>
        <v>0</v>
      </c>
      <c r="BI42" s="115">
        <f t="shared" si="8"/>
        <v>0</v>
      </c>
      <c r="BM42" t="s">
        <v>177</v>
      </c>
      <c r="BN42" s="114">
        <f>BQ$17*Assumptions!$C104</f>
        <v>0</v>
      </c>
      <c r="BO42" s="114">
        <f>BQ$17*Assumptions!$C104</f>
        <v>0</v>
      </c>
      <c r="BP42" s="115">
        <f t="shared" si="9"/>
        <v>0</v>
      </c>
    </row>
    <row r="43" spans="2:70" x14ac:dyDescent="0.35">
      <c r="B43" t="s">
        <v>178</v>
      </c>
      <c r="C43" s="114">
        <f>F$17*Assumptions!$C105</f>
        <v>0</v>
      </c>
      <c r="D43" s="114">
        <f>F$17*Assumptions!$C105</f>
        <v>0</v>
      </c>
      <c r="E43" s="115">
        <f t="shared" si="0"/>
        <v>0</v>
      </c>
      <c r="I43" t="s">
        <v>178</v>
      </c>
      <c r="J43" s="114">
        <f>M$17*Assumptions!$C105</f>
        <v>0</v>
      </c>
      <c r="K43" s="114">
        <f>M$17*Assumptions!$C105</f>
        <v>0</v>
      </c>
      <c r="L43" s="115">
        <f t="shared" si="1"/>
        <v>0</v>
      </c>
      <c r="P43" t="s">
        <v>178</v>
      </c>
      <c r="Q43" s="114">
        <f>T$17*Assumptions!$C105</f>
        <v>0</v>
      </c>
      <c r="R43" s="114">
        <f>T$17*Assumptions!$C105</f>
        <v>0</v>
      </c>
      <c r="S43" s="115">
        <f t="shared" si="2"/>
        <v>0</v>
      </c>
      <c r="W43" t="s">
        <v>178</v>
      </c>
      <c r="X43" s="114">
        <f>AA$17*Assumptions!$C105</f>
        <v>0</v>
      </c>
      <c r="Y43" s="114">
        <f>AA$17*Assumptions!$C105</f>
        <v>0</v>
      </c>
      <c r="Z43" s="115">
        <f t="shared" si="3"/>
        <v>0</v>
      </c>
      <c r="AD43" t="s">
        <v>178</v>
      </c>
      <c r="AE43" s="114">
        <f>AH$17*Assumptions!$C105</f>
        <v>0</v>
      </c>
      <c r="AF43" s="114">
        <f>AH$17*Assumptions!$C105</f>
        <v>0</v>
      </c>
      <c r="AG43" s="115">
        <f t="shared" si="4"/>
        <v>0</v>
      </c>
      <c r="AK43" t="s">
        <v>178</v>
      </c>
      <c r="AL43" s="114">
        <f>AO$17*Assumptions!$C105</f>
        <v>0</v>
      </c>
      <c r="AM43" s="114">
        <f>AO$17*Assumptions!$C105</f>
        <v>0</v>
      </c>
      <c r="AN43" s="115">
        <f t="shared" si="5"/>
        <v>0</v>
      </c>
      <c r="AR43" t="s">
        <v>178</v>
      </c>
      <c r="AS43" s="114">
        <f>AV$17*Assumptions!$C105</f>
        <v>0</v>
      </c>
      <c r="AT43" s="114">
        <f>AV$17*Assumptions!$C105</f>
        <v>0</v>
      </c>
      <c r="AU43" s="115">
        <f t="shared" si="6"/>
        <v>0</v>
      </c>
      <c r="AY43" t="s">
        <v>178</v>
      </c>
      <c r="AZ43" s="114">
        <f>BC$17*Assumptions!$C105</f>
        <v>0</v>
      </c>
      <c r="BA43" s="114">
        <f>BC$17*Assumptions!$C105</f>
        <v>0</v>
      </c>
      <c r="BB43" s="115">
        <f t="shared" si="7"/>
        <v>0</v>
      </c>
      <c r="BF43" t="s">
        <v>178</v>
      </c>
      <c r="BG43" s="114">
        <f>BJ$17*Assumptions!$C105</f>
        <v>0</v>
      </c>
      <c r="BH43" s="114">
        <f>BJ$17*Assumptions!$C105</f>
        <v>0</v>
      </c>
      <c r="BI43" s="115">
        <f t="shared" si="8"/>
        <v>0</v>
      </c>
      <c r="BM43" t="s">
        <v>178</v>
      </c>
      <c r="BN43" s="114">
        <f>BQ$17*Assumptions!$C105</f>
        <v>0</v>
      </c>
      <c r="BO43" s="114">
        <f>BQ$17*Assumptions!$C105</f>
        <v>0</v>
      </c>
      <c r="BP43" s="115">
        <f t="shared" si="9"/>
        <v>0</v>
      </c>
    </row>
    <row r="44" spans="2:70" x14ac:dyDescent="0.35">
      <c r="B44" t="s">
        <v>180</v>
      </c>
      <c r="C44" s="114">
        <f>F$17*Assumptions!$C106</f>
        <v>3.9314880000000003</v>
      </c>
      <c r="D44" s="114">
        <f>F$17*Assumptions!$C106</f>
        <v>3.9314880000000003</v>
      </c>
      <c r="E44" s="115">
        <f t="shared" si="0"/>
        <v>47.177856000000006</v>
      </c>
      <c r="I44" t="s">
        <v>180</v>
      </c>
      <c r="J44" s="114">
        <f>M$17*Assumptions!$C106</f>
        <v>4.9143600000000003</v>
      </c>
      <c r="K44" s="114">
        <f>M$17*Assumptions!$C106</f>
        <v>4.9143600000000003</v>
      </c>
      <c r="L44" s="115">
        <f t="shared" si="1"/>
        <v>58.972320000000003</v>
      </c>
      <c r="P44" t="s">
        <v>180</v>
      </c>
      <c r="Q44" s="114">
        <f>T$17*Assumptions!$C106</f>
        <v>5.8972319999999998</v>
      </c>
      <c r="R44" s="114">
        <f>T$17*Assumptions!$C106</f>
        <v>5.8972319999999998</v>
      </c>
      <c r="S44" s="115">
        <f t="shared" si="2"/>
        <v>70.766784000000001</v>
      </c>
      <c r="W44" t="s">
        <v>180</v>
      </c>
      <c r="X44" s="114">
        <f>AA$17*Assumptions!$C106</f>
        <v>6.8801040000000011</v>
      </c>
      <c r="Y44" s="114">
        <f>AA$17*Assumptions!$C106</f>
        <v>6.8801040000000011</v>
      </c>
      <c r="Z44" s="115">
        <f t="shared" si="3"/>
        <v>82.561248000000006</v>
      </c>
      <c r="AD44" t="s">
        <v>180</v>
      </c>
      <c r="AE44" s="114">
        <f>AH$17*Assumptions!$C106</f>
        <v>0</v>
      </c>
      <c r="AF44" s="114">
        <f>AH$17*Assumptions!$C106</f>
        <v>0</v>
      </c>
      <c r="AG44" s="115">
        <f t="shared" si="4"/>
        <v>0</v>
      </c>
      <c r="AK44" t="s">
        <v>180</v>
      </c>
      <c r="AL44" s="114">
        <f>AO$17*Assumptions!$C106</f>
        <v>0</v>
      </c>
      <c r="AM44" s="114">
        <f>AO$17*Assumptions!$C106</f>
        <v>0</v>
      </c>
      <c r="AN44" s="115">
        <f t="shared" si="5"/>
        <v>0</v>
      </c>
      <c r="AR44" t="s">
        <v>180</v>
      </c>
      <c r="AS44" s="114">
        <f>AV$17*Assumptions!$C106</f>
        <v>0</v>
      </c>
      <c r="AT44" s="114">
        <f>AV$17*Assumptions!$C106</f>
        <v>0</v>
      </c>
      <c r="AU44" s="115">
        <f t="shared" si="6"/>
        <v>0</v>
      </c>
      <c r="AY44" t="s">
        <v>180</v>
      </c>
      <c r="AZ44" s="114">
        <f>BC$17*Assumptions!$C106</f>
        <v>0</v>
      </c>
      <c r="BA44" s="114">
        <f>BC$17*Assumptions!$C106</f>
        <v>0</v>
      </c>
      <c r="BB44" s="115">
        <f t="shared" si="7"/>
        <v>0</v>
      </c>
      <c r="BF44" t="s">
        <v>180</v>
      </c>
      <c r="BG44" s="114">
        <f>BJ$17*Assumptions!$C106</f>
        <v>0</v>
      </c>
      <c r="BH44" s="114">
        <f>BJ$17*Assumptions!$C106</f>
        <v>0</v>
      </c>
      <c r="BI44" s="115">
        <f t="shared" si="8"/>
        <v>0</v>
      </c>
      <c r="BM44" t="s">
        <v>180</v>
      </c>
      <c r="BN44" s="114">
        <f>BQ$17*Assumptions!$C106</f>
        <v>0</v>
      </c>
      <c r="BO44" s="114">
        <f>BQ$17*Assumptions!$C106</f>
        <v>0</v>
      </c>
      <c r="BP44" s="115">
        <f t="shared" si="9"/>
        <v>0</v>
      </c>
    </row>
    <row r="45" spans="2:70" x14ac:dyDescent="0.35">
      <c r="B45" t="s">
        <v>181</v>
      </c>
      <c r="C45" s="114">
        <f>F$17*Assumptions!$C107</f>
        <v>0</v>
      </c>
      <c r="D45" s="114">
        <f>F$17*Assumptions!$C107</f>
        <v>0</v>
      </c>
      <c r="E45" s="115">
        <f t="shared" si="0"/>
        <v>0</v>
      </c>
      <c r="I45" t="s">
        <v>181</v>
      </c>
      <c r="J45" s="114">
        <f>M$17*Assumptions!$C107</f>
        <v>0</v>
      </c>
      <c r="K45" s="114">
        <f>M$17*Assumptions!$C107</f>
        <v>0</v>
      </c>
      <c r="L45" s="115">
        <f t="shared" si="1"/>
        <v>0</v>
      </c>
      <c r="P45" t="s">
        <v>181</v>
      </c>
      <c r="Q45" s="114">
        <f>T$17*Assumptions!$C107</f>
        <v>0</v>
      </c>
      <c r="R45" s="114">
        <f>T$17*Assumptions!$C107</f>
        <v>0</v>
      </c>
      <c r="S45" s="115">
        <f t="shared" si="2"/>
        <v>0</v>
      </c>
      <c r="W45" t="s">
        <v>181</v>
      </c>
      <c r="X45" s="114">
        <f>AA$17*Assumptions!$C107</f>
        <v>0</v>
      </c>
      <c r="Y45" s="114">
        <f>AA$17*Assumptions!$C107</f>
        <v>0</v>
      </c>
      <c r="Z45" s="115">
        <f t="shared" si="3"/>
        <v>0</v>
      </c>
      <c r="AD45" t="s">
        <v>181</v>
      </c>
      <c r="AE45" s="114">
        <f>AH$17*Assumptions!$C107</f>
        <v>0</v>
      </c>
      <c r="AF45" s="114">
        <f>AH$17*Assumptions!$C107</f>
        <v>0</v>
      </c>
      <c r="AG45" s="115">
        <f t="shared" si="4"/>
        <v>0</v>
      </c>
      <c r="AK45" t="s">
        <v>181</v>
      </c>
      <c r="AL45" s="114">
        <f>AO$17*Assumptions!$C107</f>
        <v>0</v>
      </c>
      <c r="AM45" s="114">
        <f>AO$17*Assumptions!$C107</f>
        <v>0</v>
      </c>
      <c r="AN45" s="115">
        <f t="shared" si="5"/>
        <v>0</v>
      </c>
      <c r="AR45" t="s">
        <v>181</v>
      </c>
      <c r="AS45" s="114">
        <f>AV$17*Assumptions!$C107</f>
        <v>0</v>
      </c>
      <c r="AT45" s="114">
        <f>AV$17*Assumptions!$C107</f>
        <v>0</v>
      </c>
      <c r="AU45" s="115">
        <f t="shared" si="6"/>
        <v>0</v>
      </c>
      <c r="AY45" t="s">
        <v>181</v>
      </c>
      <c r="AZ45" s="114">
        <f>BC$17*Assumptions!$C107</f>
        <v>0</v>
      </c>
      <c r="BA45" s="114">
        <f>BC$17*Assumptions!$C107</f>
        <v>0</v>
      </c>
      <c r="BB45" s="115">
        <f t="shared" si="7"/>
        <v>0</v>
      </c>
      <c r="BF45" t="s">
        <v>181</v>
      </c>
      <c r="BG45" s="114">
        <f>BJ$17*Assumptions!$C107</f>
        <v>0</v>
      </c>
      <c r="BH45" s="114">
        <f>BJ$17*Assumptions!$C107</f>
        <v>0</v>
      </c>
      <c r="BI45" s="115">
        <f t="shared" si="8"/>
        <v>0</v>
      </c>
      <c r="BM45" t="s">
        <v>181</v>
      </c>
      <c r="BN45" s="114">
        <f>BQ$17*Assumptions!$C107</f>
        <v>0</v>
      </c>
      <c r="BO45" s="114">
        <f>BQ$17*Assumptions!$C107</f>
        <v>0</v>
      </c>
      <c r="BP45" s="115">
        <f t="shared" si="9"/>
        <v>0</v>
      </c>
    </row>
    <row r="46" spans="2:70" x14ac:dyDescent="0.35">
      <c r="B46" s="22" t="s">
        <v>233</v>
      </c>
      <c r="C46" s="114">
        <f>SUM(C36:C45)</f>
        <v>24.13170976</v>
      </c>
      <c r="D46" s="114">
        <f>SUM(D36:D45)</f>
        <v>24.13170976</v>
      </c>
      <c r="E46" s="114">
        <f>SUM(E36:E45)</f>
        <v>289.58051712000002</v>
      </c>
      <c r="I46" s="22" t="s">
        <v>233</v>
      </c>
      <c r="J46" s="114">
        <f>SUM(J36:J45)</f>
        <v>29.844637200000001</v>
      </c>
      <c r="K46" s="114">
        <f>SUM(K36:K45)</f>
        <v>29.844637200000001</v>
      </c>
      <c r="L46" s="114">
        <f>SUM(L36:L45)</f>
        <v>358.13564639999998</v>
      </c>
      <c r="P46" s="22" t="s">
        <v>233</v>
      </c>
      <c r="Q46" s="114">
        <f>SUM(Q36:Q45)</f>
        <v>35.557564640000002</v>
      </c>
      <c r="R46" s="114">
        <f>SUM(R36:R45)</f>
        <v>35.557564640000002</v>
      </c>
      <c r="S46" s="114">
        <f>SUM(S36:S45)</f>
        <v>426.69077568</v>
      </c>
      <c r="W46" s="22" t="s">
        <v>233</v>
      </c>
      <c r="X46" s="114">
        <f>SUM(X36:X45)</f>
        <v>41.270492080000011</v>
      </c>
      <c r="Y46" s="114">
        <f>SUM(Y36:Y45)</f>
        <v>41.270492080000011</v>
      </c>
      <c r="Z46" s="114">
        <f>SUM(Z36:Z45)</f>
        <v>495.24590496000008</v>
      </c>
      <c r="AD46" s="22" t="s">
        <v>233</v>
      </c>
      <c r="AE46" s="114">
        <f>SUM(AE36:AE45)</f>
        <v>1.28</v>
      </c>
      <c r="AF46" s="114">
        <f>SUM(AF36:AF45)</f>
        <v>1.28</v>
      </c>
      <c r="AG46" s="114">
        <f>SUM(AG36:AG45)</f>
        <v>15.36</v>
      </c>
      <c r="AK46" s="22" t="s">
        <v>233</v>
      </c>
      <c r="AL46" s="114">
        <f>SUM(AL36:AL45)</f>
        <v>1.28</v>
      </c>
      <c r="AM46" s="114">
        <f>SUM(AM36:AM45)</f>
        <v>1.28</v>
      </c>
      <c r="AN46" s="114">
        <f>SUM(AN36:AN45)</f>
        <v>15.36</v>
      </c>
      <c r="AR46" s="22" t="s">
        <v>233</v>
      </c>
      <c r="AS46" s="114">
        <f>SUM(AS36:AS45)</f>
        <v>1.28</v>
      </c>
      <c r="AT46" s="114">
        <f>SUM(AT36:AT45)</f>
        <v>1.28</v>
      </c>
      <c r="AU46" s="114">
        <f>SUM(AU36:AU45)</f>
        <v>15.36</v>
      </c>
      <c r="AY46" s="22" t="s">
        <v>233</v>
      </c>
      <c r="AZ46" s="114">
        <f>SUM(AZ36:AZ45)</f>
        <v>1.28</v>
      </c>
      <c r="BA46" s="114">
        <f>SUM(BA36:BA45)</f>
        <v>1.28</v>
      </c>
      <c r="BB46" s="114">
        <f>SUM(BB36:BB45)</f>
        <v>15.36</v>
      </c>
      <c r="BF46" s="22" t="s">
        <v>233</v>
      </c>
      <c r="BG46" s="114">
        <f>SUM(BG36:BG45)</f>
        <v>1.28</v>
      </c>
      <c r="BH46" s="114">
        <f>SUM(BH36:BH45)</f>
        <v>1.28</v>
      </c>
      <c r="BI46" s="114">
        <f>SUM(BI36:BI45)</f>
        <v>15.36</v>
      </c>
      <c r="BM46" s="22" t="s">
        <v>233</v>
      </c>
      <c r="BN46" s="114">
        <f>SUM(BN36:BN45)</f>
        <v>1.28</v>
      </c>
      <c r="BO46" s="114">
        <f>SUM(BO36:BO45)</f>
        <v>1.28</v>
      </c>
      <c r="BP46" s="114">
        <f>SUM(BP36:BP45)</f>
        <v>15.36</v>
      </c>
    </row>
    <row r="47" spans="2:70" x14ac:dyDescent="0.35">
      <c r="B47" s="22"/>
      <c r="C47" s="114"/>
      <c r="D47" s="114"/>
      <c r="I47" s="22"/>
      <c r="J47" s="114"/>
      <c r="K47" s="114"/>
      <c r="P47" s="22"/>
      <c r="Q47" s="114"/>
      <c r="R47" s="114"/>
      <c r="W47" s="22"/>
      <c r="X47" s="114"/>
      <c r="Y47" s="114"/>
      <c r="AD47" s="22"/>
      <c r="AE47" s="114"/>
      <c r="AF47" s="114"/>
      <c r="AK47" s="22"/>
      <c r="AL47" s="114"/>
      <c r="AM47" s="114"/>
      <c r="AR47" s="22"/>
      <c r="AS47" s="114"/>
      <c r="AT47" s="114"/>
      <c r="AY47" s="22"/>
      <c r="AZ47" s="114"/>
      <c r="BA47" s="114"/>
      <c r="BF47" s="22"/>
      <c r="BG47" s="114"/>
      <c r="BH47" s="114"/>
      <c r="BM47" s="22"/>
      <c r="BN47" s="114"/>
      <c r="BO47" s="114"/>
    </row>
    <row r="48" spans="2:70" x14ac:dyDescent="0.35">
      <c r="B48" t="s">
        <v>234</v>
      </c>
      <c r="C48" s="114">
        <f>+C32+C46</f>
        <v>165.39689375999998</v>
      </c>
      <c r="D48" s="114">
        <f>+D32+D46</f>
        <v>132.86575776000001</v>
      </c>
      <c r="E48" s="115">
        <f>(C48*4)+(D48*8)</f>
        <v>1724.5136371200001</v>
      </c>
      <c r="I48" t="s">
        <v>234</v>
      </c>
      <c r="J48" s="114">
        <f>+J32+J46</f>
        <v>199.40111719999999</v>
      </c>
      <c r="K48" s="114">
        <f>+K32+K46</f>
        <v>158.7371972</v>
      </c>
      <c r="L48" s="115">
        <f>(J48*4)+(K48*8)</f>
        <v>2067.5020463999999</v>
      </c>
      <c r="P48" t="s">
        <v>234</v>
      </c>
      <c r="Q48" s="114">
        <f>+Q32+Q46</f>
        <v>233.40534063999999</v>
      </c>
      <c r="R48" s="114">
        <f>+R32+R46</f>
        <v>184.60863664000001</v>
      </c>
      <c r="S48" s="115">
        <f>(Q48*4)+(R48*8)</f>
        <v>2410.4904556800002</v>
      </c>
      <c r="W48" t="s">
        <v>234</v>
      </c>
      <c r="X48" s="114">
        <f>+X32+X46</f>
        <v>267.40956408</v>
      </c>
      <c r="Y48" s="114">
        <f>+Y32+Y46</f>
        <v>210.48007608</v>
      </c>
      <c r="Z48" s="115">
        <f>(X48*4)+(Y48*8)</f>
        <v>2753.47886496</v>
      </c>
      <c r="AD48" t="s">
        <v>234</v>
      </c>
      <c r="AE48" s="114">
        <f>+AE32+AE46</f>
        <v>29.380000000000003</v>
      </c>
      <c r="AF48" s="114">
        <f>+AF32+AF46</f>
        <v>29.380000000000003</v>
      </c>
      <c r="AG48" s="115">
        <f>(AE48*4)+(AF48*8)</f>
        <v>352.56000000000006</v>
      </c>
      <c r="AK48" t="s">
        <v>234</v>
      </c>
      <c r="AL48" s="114">
        <f>+AL32+AL46</f>
        <v>29.380000000000003</v>
      </c>
      <c r="AM48" s="114">
        <f>+AM32+AM46</f>
        <v>29.380000000000003</v>
      </c>
      <c r="AN48" s="115">
        <f>(AL48*4)+(AM48*8)</f>
        <v>352.56000000000006</v>
      </c>
      <c r="AR48" t="s">
        <v>234</v>
      </c>
      <c r="AS48" s="114">
        <f>+AS32+AS46</f>
        <v>29.380000000000003</v>
      </c>
      <c r="AT48" s="114">
        <f>+AT32+AT46</f>
        <v>29.380000000000003</v>
      </c>
      <c r="AU48" s="115">
        <f>(AS48*4)+(AT48*8)</f>
        <v>352.56000000000006</v>
      </c>
      <c r="AY48" t="s">
        <v>234</v>
      </c>
      <c r="AZ48" s="114">
        <f>+AZ32+AZ46</f>
        <v>29.380000000000003</v>
      </c>
      <c r="BA48" s="114">
        <f>+BA32+BA46</f>
        <v>29.380000000000003</v>
      </c>
      <c r="BB48" s="115">
        <f>(AZ48*4)+(BA48*8)</f>
        <v>352.56000000000006</v>
      </c>
      <c r="BF48" t="s">
        <v>234</v>
      </c>
      <c r="BG48" s="114">
        <f>+BG32+BG46</f>
        <v>29.380000000000003</v>
      </c>
      <c r="BH48" s="114">
        <f>+BH32+BH46</f>
        <v>29.380000000000003</v>
      </c>
      <c r="BI48" s="115">
        <f>(BG48*4)+(BH48*8)</f>
        <v>352.56000000000006</v>
      </c>
      <c r="BM48" t="s">
        <v>234</v>
      </c>
      <c r="BN48" s="114">
        <f>+BN32+BN46</f>
        <v>29.380000000000003</v>
      </c>
      <c r="BO48" s="114">
        <f>+BO32+BO46</f>
        <v>29.380000000000003</v>
      </c>
      <c r="BP48" s="115">
        <f>(BN48*4)+(BO48*8)</f>
        <v>352.56000000000006</v>
      </c>
    </row>
    <row r="49" spans="2:69" x14ac:dyDescent="0.35">
      <c r="C49" s="117" t="s">
        <v>182</v>
      </c>
      <c r="D49" s="118">
        <v>2.5108999999999999E-2</v>
      </c>
      <c r="E49" s="119" t="s">
        <v>235</v>
      </c>
      <c r="J49" s="117" t="s">
        <v>182</v>
      </c>
      <c r="K49" s="118">
        <v>2.5108999999999999E-2</v>
      </c>
      <c r="L49" s="119" t="s">
        <v>235</v>
      </c>
      <c r="Q49" s="117" t="s">
        <v>182</v>
      </c>
      <c r="R49" s="118">
        <v>2.5108999999999999E-2</v>
      </c>
      <c r="S49" s="119" t="s">
        <v>235</v>
      </c>
      <c r="X49" s="117" t="s">
        <v>182</v>
      </c>
      <c r="Y49" s="118">
        <v>2.5108999999999999E-2</v>
      </c>
      <c r="Z49" s="119" t="s">
        <v>235</v>
      </c>
      <c r="AE49" s="117" t="s">
        <v>182</v>
      </c>
      <c r="AF49" s="118">
        <v>2.5108999999999999E-2</v>
      </c>
      <c r="AG49" s="119" t="s">
        <v>235</v>
      </c>
      <c r="AL49" s="117" t="s">
        <v>182</v>
      </c>
      <c r="AM49" s="118">
        <v>2.5108999999999999E-2</v>
      </c>
      <c r="AN49" s="119" t="s">
        <v>235</v>
      </c>
      <c r="AS49" s="117" t="s">
        <v>182</v>
      </c>
      <c r="AT49" s="118">
        <v>2.5108999999999999E-2</v>
      </c>
      <c r="AU49" s="119" t="s">
        <v>235</v>
      </c>
      <c r="AZ49" s="117" t="s">
        <v>182</v>
      </c>
      <c r="BA49" s="118">
        <v>2.5108999999999999E-2</v>
      </c>
      <c r="BB49" s="119" t="s">
        <v>235</v>
      </c>
      <c r="BG49" s="117" t="s">
        <v>182</v>
      </c>
      <c r="BH49" s="118">
        <v>2.5108999999999999E-2</v>
      </c>
      <c r="BI49" s="119" t="s">
        <v>235</v>
      </c>
      <c r="BN49" s="117" t="s">
        <v>182</v>
      </c>
      <c r="BO49" s="118">
        <v>2.5108999999999999E-2</v>
      </c>
      <c r="BP49" s="119" t="s">
        <v>235</v>
      </c>
    </row>
    <row r="50" spans="2:69" x14ac:dyDescent="0.35">
      <c r="B50" t="s">
        <v>182</v>
      </c>
      <c r="C50" s="116">
        <f>C48*$D$49</f>
        <v>4.1529506054198393</v>
      </c>
      <c r="D50" s="116">
        <f>D48*$D$49</f>
        <v>3.3361263115958399</v>
      </c>
      <c r="E50" s="120">
        <f>(C50*4)+(D50*8)</f>
        <v>43.300812914446077</v>
      </c>
      <c r="I50" t="s">
        <v>182</v>
      </c>
      <c r="J50" s="116">
        <f>J48*$D$49</f>
        <v>5.0067626517747996</v>
      </c>
      <c r="K50" s="116">
        <f>K48*$D$49</f>
        <v>3.9857322844947998</v>
      </c>
      <c r="L50" s="120">
        <f>(J50*4)+(K50*8)</f>
        <v>51.912908883057597</v>
      </c>
      <c r="P50" t="s">
        <v>182</v>
      </c>
      <c r="Q50" s="116">
        <f>Q48*$D$49</f>
        <v>5.86057469812976</v>
      </c>
      <c r="R50" s="116">
        <f>R48*$D$49</f>
        <v>4.6353382573937605</v>
      </c>
      <c r="S50" s="120">
        <f>(Q50*4)+(R50*8)</f>
        <v>60.525004851669124</v>
      </c>
      <c r="W50" t="s">
        <v>182</v>
      </c>
      <c r="X50" s="116">
        <f>X48*$D$49</f>
        <v>6.7143867444847194</v>
      </c>
      <c r="Y50" s="116">
        <f>Y48*$D$49</f>
        <v>5.2849442302927203</v>
      </c>
      <c r="Z50" s="120">
        <f>(X50*4)+(Y50*8)</f>
        <v>69.137100820280637</v>
      </c>
      <c r="AD50" t="s">
        <v>182</v>
      </c>
      <c r="AE50" s="116">
        <f>AE48*$D$49</f>
        <v>0.73770242000000008</v>
      </c>
      <c r="AF50" s="116">
        <f>AF48*$D$49</f>
        <v>0.73770242000000008</v>
      </c>
      <c r="AG50" s="120">
        <f>(AE50*4)+(AF50*8)</f>
        <v>8.8524290400000005</v>
      </c>
      <c r="AK50" t="s">
        <v>182</v>
      </c>
      <c r="AL50" s="116">
        <f>AL48*$D$49</f>
        <v>0.73770242000000008</v>
      </c>
      <c r="AM50" s="116">
        <f>AM48*$D$49</f>
        <v>0.73770242000000008</v>
      </c>
      <c r="AN50" s="120">
        <f>(AL50*4)+(AM50*8)</f>
        <v>8.8524290400000005</v>
      </c>
      <c r="AR50" t="s">
        <v>182</v>
      </c>
      <c r="AS50" s="116">
        <f>AS48*$D$49</f>
        <v>0.73770242000000008</v>
      </c>
      <c r="AT50" s="116">
        <f>AT48*$D$49</f>
        <v>0.73770242000000008</v>
      </c>
      <c r="AU50" s="120">
        <f>(AS50*4)+(AT50*8)</f>
        <v>8.8524290400000005</v>
      </c>
      <c r="AY50" t="s">
        <v>182</v>
      </c>
      <c r="AZ50" s="116">
        <f>AZ48*$D$49</f>
        <v>0.73770242000000008</v>
      </c>
      <c r="BA50" s="116">
        <f>BA48*$D$49</f>
        <v>0.73770242000000008</v>
      </c>
      <c r="BB50" s="120">
        <f>(AZ50*4)+(BA50*8)</f>
        <v>8.8524290400000005</v>
      </c>
      <c r="BF50" t="s">
        <v>182</v>
      </c>
      <c r="BG50" s="116">
        <f>BG48*$D$49</f>
        <v>0.73770242000000008</v>
      </c>
      <c r="BH50" s="116">
        <f>BH48*$D$49</f>
        <v>0.73770242000000008</v>
      </c>
      <c r="BI50" s="120">
        <f>(BG50*4)+(BH50*8)</f>
        <v>8.8524290400000005</v>
      </c>
      <c r="BM50" t="s">
        <v>182</v>
      </c>
      <c r="BN50" s="116">
        <f>BN48*$D$49</f>
        <v>0.73770242000000008</v>
      </c>
      <c r="BO50" s="116">
        <f>BO48*$D$49</f>
        <v>0.73770242000000008</v>
      </c>
      <c r="BP50" s="120">
        <f>(BN50*4)+(BO50*8)</f>
        <v>8.8524290400000005</v>
      </c>
    </row>
    <row r="51" spans="2:69" x14ac:dyDescent="0.35">
      <c r="B51" s="9" t="s">
        <v>236</v>
      </c>
      <c r="C51" s="114">
        <f>+C48+C50</f>
        <v>169.54984436541983</v>
      </c>
      <c r="D51" s="114">
        <f>+D48+D50</f>
        <v>136.20188407159586</v>
      </c>
      <c r="E51" s="114">
        <f>SUM(E48:E50)</f>
        <v>1767.8144500344463</v>
      </c>
      <c r="I51" s="9" t="s">
        <v>236</v>
      </c>
      <c r="J51" s="114">
        <f>+J48+J50</f>
        <v>204.40787985177479</v>
      </c>
      <c r="K51" s="114">
        <f>+K48+K50</f>
        <v>162.72292948449478</v>
      </c>
      <c r="L51" s="114">
        <f>SUM(L48:L50)</f>
        <v>2119.4149552830577</v>
      </c>
      <c r="P51" s="9" t="s">
        <v>236</v>
      </c>
      <c r="Q51" s="114">
        <f>+Q48+Q50</f>
        <v>239.26591533812976</v>
      </c>
      <c r="R51" s="114">
        <f>+R48+R50</f>
        <v>189.24397489739377</v>
      </c>
      <c r="S51" s="114">
        <f>SUM(S48:S50)</f>
        <v>2471.0154605316693</v>
      </c>
      <c r="W51" s="9" t="s">
        <v>236</v>
      </c>
      <c r="X51" s="114">
        <f>+X48+X50</f>
        <v>274.12395082448472</v>
      </c>
      <c r="Y51" s="114">
        <f>+Y48+Y50</f>
        <v>215.76502031029273</v>
      </c>
      <c r="Z51" s="114">
        <f>SUM(Z48:Z50)</f>
        <v>2822.6159657802805</v>
      </c>
      <c r="AD51" s="9" t="s">
        <v>236</v>
      </c>
      <c r="AE51" s="114">
        <f>+AE48+AE50</f>
        <v>30.117702420000004</v>
      </c>
      <c r="AF51" s="114">
        <f>+AF48+AF50</f>
        <v>30.117702420000004</v>
      </c>
      <c r="AG51" s="114">
        <f>SUM(AG48:AG50)</f>
        <v>361.41242904000006</v>
      </c>
      <c r="AK51" s="9" t="s">
        <v>236</v>
      </c>
      <c r="AL51" s="114">
        <f>+AL48+AL50</f>
        <v>30.117702420000004</v>
      </c>
      <c r="AM51" s="114">
        <f>+AM48+AM50</f>
        <v>30.117702420000004</v>
      </c>
      <c r="AN51" s="114">
        <f>SUM(AN48:AN50)</f>
        <v>361.41242904000006</v>
      </c>
      <c r="AR51" s="9" t="s">
        <v>236</v>
      </c>
      <c r="AS51" s="114">
        <f>+AS48+AS50</f>
        <v>30.117702420000004</v>
      </c>
      <c r="AT51" s="114">
        <f>+AT48+AT50</f>
        <v>30.117702420000004</v>
      </c>
      <c r="AU51" s="114">
        <f>SUM(AU48:AU50)</f>
        <v>361.41242904000006</v>
      </c>
      <c r="AY51" s="9" t="s">
        <v>236</v>
      </c>
      <c r="AZ51" s="114">
        <f>+AZ48+AZ50</f>
        <v>30.117702420000004</v>
      </c>
      <c r="BA51" s="114">
        <f>+BA48+BA50</f>
        <v>30.117702420000004</v>
      </c>
      <c r="BB51" s="114">
        <f>SUM(BB48:BB50)</f>
        <v>361.41242904000006</v>
      </c>
      <c r="BF51" s="9" t="s">
        <v>236</v>
      </c>
      <c r="BG51" s="114">
        <f>+BG48+BG50</f>
        <v>30.117702420000004</v>
      </c>
      <c r="BH51" s="114">
        <f>+BH48+BH50</f>
        <v>30.117702420000004</v>
      </c>
      <c r="BI51" s="114">
        <f>SUM(BI48:BI50)</f>
        <v>361.41242904000006</v>
      </c>
      <c r="BM51" s="9" t="s">
        <v>236</v>
      </c>
      <c r="BN51" s="114">
        <f>+BN48+BN50</f>
        <v>30.117702420000004</v>
      </c>
      <c r="BO51" s="114">
        <f>+BO48+BO50</f>
        <v>30.117702420000004</v>
      </c>
      <c r="BP51" s="114">
        <f>SUM(BP48:BP50)</f>
        <v>361.41242904000006</v>
      </c>
    </row>
    <row r="53" spans="2:69" x14ac:dyDescent="0.35">
      <c r="B53" s="88" t="s">
        <v>237</v>
      </c>
      <c r="I53" s="88" t="s">
        <v>237</v>
      </c>
      <c r="P53" s="88" t="s">
        <v>237</v>
      </c>
      <c r="W53" s="88" t="s">
        <v>237</v>
      </c>
      <c r="AD53" s="88" t="s">
        <v>237</v>
      </c>
      <c r="AK53" s="88" t="s">
        <v>237</v>
      </c>
      <c r="AR53" s="88" t="s">
        <v>237</v>
      </c>
      <c r="AY53" s="88" t="s">
        <v>237</v>
      </c>
      <c r="BF53" s="88" t="s">
        <v>237</v>
      </c>
      <c r="BM53" s="88" t="s">
        <v>237</v>
      </c>
    </row>
    <row r="54" spans="2:69" x14ac:dyDescent="0.35">
      <c r="B54" t="s">
        <v>184</v>
      </c>
      <c r="C54" s="246">
        <v>0</v>
      </c>
      <c r="D54" s="246">
        <v>0</v>
      </c>
      <c r="E54" s="115">
        <f t="shared" ref="E54:E60" si="10">(C54*4)+(D54*8)</f>
        <v>0</v>
      </c>
      <c r="F54" s="85"/>
      <c r="I54" t="s">
        <v>184</v>
      </c>
      <c r="J54" s="246">
        <v>0</v>
      </c>
      <c r="K54" s="246">
        <v>0</v>
      </c>
      <c r="L54" s="115">
        <f t="shared" ref="L54:L60" si="11">(J54*4)+(K54*8)</f>
        <v>0</v>
      </c>
      <c r="M54" s="85"/>
      <c r="P54" t="s">
        <v>184</v>
      </c>
      <c r="Q54" s="246">
        <v>0</v>
      </c>
      <c r="R54" s="246">
        <v>0</v>
      </c>
      <c r="S54" s="115">
        <f t="shared" ref="S54:S60" si="12">(Q54*4)+(R54*8)</f>
        <v>0</v>
      </c>
      <c r="T54" s="85"/>
      <c r="W54" t="s">
        <v>184</v>
      </c>
      <c r="X54" s="246">
        <v>0</v>
      </c>
      <c r="Y54" s="246">
        <v>0</v>
      </c>
      <c r="Z54" s="115">
        <f t="shared" ref="Z54:Z60" si="13">(X54*4)+(Y54*8)</f>
        <v>0</v>
      </c>
      <c r="AA54" s="85"/>
      <c r="AD54" t="s">
        <v>184</v>
      </c>
      <c r="AE54" s="246">
        <v>0</v>
      </c>
      <c r="AF54" s="246">
        <v>0</v>
      </c>
      <c r="AG54" s="115">
        <f t="shared" ref="AG54:AG60" si="14">(AE54*4)+(AF54*8)</f>
        <v>0</v>
      </c>
      <c r="AH54" s="85"/>
      <c r="AK54" t="s">
        <v>184</v>
      </c>
      <c r="AL54" s="246">
        <v>0</v>
      </c>
      <c r="AM54" s="246">
        <v>0</v>
      </c>
      <c r="AN54" s="115">
        <f t="shared" ref="AN54:AN60" si="15">(AL54*4)+(AM54*8)</f>
        <v>0</v>
      </c>
      <c r="AO54" s="85"/>
      <c r="AR54" t="s">
        <v>184</v>
      </c>
      <c r="AS54" s="246">
        <v>0</v>
      </c>
      <c r="AT54" s="246">
        <v>0</v>
      </c>
      <c r="AU54" s="115">
        <f t="shared" ref="AU54:AU60" si="16">(AS54*4)+(AT54*8)</f>
        <v>0</v>
      </c>
      <c r="AV54" s="85"/>
      <c r="AY54" t="s">
        <v>184</v>
      </c>
      <c r="AZ54" s="246">
        <v>0</v>
      </c>
      <c r="BA54" s="246">
        <v>0</v>
      </c>
      <c r="BB54" s="115">
        <f t="shared" ref="BB54:BB60" si="17">(AZ54*4)+(BA54*8)</f>
        <v>0</v>
      </c>
      <c r="BC54" s="85"/>
      <c r="BF54" t="s">
        <v>184</v>
      </c>
      <c r="BG54" s="246">
        <v>0</v>
      </c>
      <c r="BH54" s="246">
        <v>0</v>
      </c>
      <c r="BI54" s="115">
        <f t="shared" ref="BI54:BI60" si="18">(BG54*4)+(BH54*8)</f>
        <v>0</v>
      </c>
      <c r="BJ54" s="85"/>
      <c r="BM54" t="s">
        <v>184</v>
      </c>
      <c r="BN54" s="246">
        <v>0</v>
      </c>
      <c r="BO54" s="246">
        <v>0</v>
      </c>
      <c r="BP54" s="115">
        <f t="shared" ref="BP54:BP60" si="19">(BN54*4)+(BO54*8)</f>
        <v>0</v>
      </c>
      <c r="BQ54" s="85"/>
    </row>
    <row r="55" spans="2:69" x14ac:dyDescent="0.35">
      <c r="B55" t="s">
        <v>186</v>
      </c>
      <c r="C55" s="114">
        <f>F$17*Assumptions!$I112</f>
        <v>52.248704640000007</v>
      </c>
      <c r="D55" s="114">
        <f>F$17*Assumptions!$I112</f>
        <v>52.248704640000007</v>
      </c>
      <c r="E55" s="115">
        <f t="shared" si="10"/>
        <v>626.98445568000011</v>
      </c>
      <c r="F55" s="85"/>
      <c r="I55" t="s">
        <v>186</v>
      </c>
      <c r="J55" s="114">
        <f>M$17*Assumptions!$I112</f>
        <v>65.310880800000007</v>
      </c>
      <c r="K55" s="114">
        <f>M$17*Assumptions!$I112</f>
        <v>65.310880800000007</v>
      </c>
      <c r="L55" s="115">
        <f t="shared" si="11"/>
        <v>783.73056960000008</v>
      </c>
      <c r="M55" s="85"/>
      <c r="P55" t="s">
        <v>186</v>
      </c>
      <c r="Q55" s="114">
        <f>T$17*Assumptions!$I112</f>
        <v>78.37305696</v>
      </c>
      <c r="R55" s="114">
        <f>T$17*Assumptions!$I112</f>
        <v>78.37305696</v>
      </c>
      <c r="S55" s="115">
        <f t="shared" si="12"/>
        <v>940.47668352000005</v>
      </c>
      <c r="T55" s="85"/>
      <c r="W55" t="s">
        <v>186</v>
      </c>
      <c r="X55" s="114">
        <f>AA$17*Assumptions!$I112</f>
        <v>91.435233120000021</v>
      </c>
      <c r="Y55" s="114">
        <f>AA$17*Assumptions!$I112</f>
        <v>91.435233120000021</v>
      </c>
      <c r="Z55" s="115">
        <f t="shared" si="13"/>
        <v>1097.2227974400002</v>
      </c>
      <c r="AA55" s="85"/>
      <c r="AD55" t="s">
        <v>186</v>
      </c>
      <c r="AE55" s="114">
        <f>AH$17*Assumptions!$I112</f>
        <v>0</v>
      </c>
      <c r="AF55" s="114">
        <f>AH$17*Assumptions!$I112</f>
        <v>0</v>
      </c>
      <c r="AG55" s="115">
        <f t="shared" si="14"/>
        <v>0</v>
      </c>
      <c r="AH55" s="85"/>
      <c r="AK55" t="s">
        <v>186</v>
      </c>
      <c r="AL55" s="114">
        <f>AO$17*Assumptions!$I112</f>
        <v>0</v>
      </c>
      <c r="AM55" s="114">
        <f>AO$17*Assumptions!$I112</f>
        <v>0</v>
      </c>
      <c r="AN55" s="115">
        <f t="shared" si="15"/>
        <v>0</v>
      </c>
      <c r="AO55" s="85"/>
      <c r="AR55" t="s">
        <v>186</v>
      </c>
      <c r="AS55" s="114">
        <f>AV$17*Assumptions!$I112</f>
        <v>0</v>
      </c>
      <c r="AT55" s="114">
        <f>AV$17*Assumptions!$I112</f>
        <v>0</v>
      </c>
      <c r="AU55" s="115">
        <f t="shared" si="16"/>
        <v>0</v>
      </c>
      <c r="AV55" s="85"/>
      <c r="AY55" t="s">
        <v>186</v>
      </c>
      <c r="AZ55" s="114">
        <f>BC$17*Assumptions!$I112</f>
        <v>0</v>
      </c>
      <c r="BA55" s="114">
        <f>BC$17*Assumptions!$I112</f>
        <v>0</v>
      </c>
      <c r="BB55" s="115">
        <f t="shared" si="17"/>
        <v>0</v>
      </c>
      <c r="BC55" s="85"/>
      <c r="BF55" t="s">
        <v>186</v>
      </c>
      <c r="BG55" s="114">
        <f>BJ$17*Assumptions!$I112</f>
        <v>0</v>
      </c>
      <c r="BH55" s="114">
        <f>BJ$17*Assumptions!$I112</f>
        <v>0</v>
      </c>
      <c r="BI55" s="115">
        <f t="shared" si="18"/>
        <v>0</v>
      </c>
      <c r="BJ55" s="85"/>
      <c r="BM55" t="s">
        <v>186</v>
      </c>
      <c r="BN55" s="114">
        <f>BQ$17*Assumptions!$I112</f>
        <v>0</v>
      </c>
      <c r="BO55" s="114">
        <f>BQ$17*Assumptions!$I112</f>
        <v>0</v>
      </c>
      <c r="BP55" s="115">
        <f t="shared" si="19"/>
        <v>0</v>
      </c>
      <c r="BQ55" s="85"/>
    </row>
    <row r="56" spans="2:69" x14ac:dyDescent="0.35">
      <c r="B56" t="s">
        <v>187</v>
      </c>
      <c r="C56" s="114">
        <f>F$17*Assumptions!$C113</f>
        <v>-3.8941645600000006</v>
      </c>
      <c r="D56" s="114">
        <f>F$17*Assumptions!$C113</f>
        <v>-3.8941645600000006</v>
      </c>
      <c r="E56" s="115">
        <f t="shared" si="10"/>
        <v>-46.729974720000008</v>
      </c>
      <c r="F56" s="85"/>
      <c r="I56" t="s">
        <v>187</v>
      </c>
      <c r="J56" s="114">
        <f>M$17*Assumptions!$C113</f>
        <v>-4.867705700000001</v>
      </c>
      <c r="K56" s="114">
        <f>M$17*Assumptions!$C113</f>
        <v>-4.867705700000001</v>
      </c>
      <c r="L56" s="115">
        <f t="shared" si="11"/>
        <v>-58.412468400000009</v>
      </c>
      <c r="M56" s="85"/>
      <c r="P56" t="s">
        <v>187</v>
      </c>
      <c r="Q56" s="114">
        <f>T$17*Assumptions!$C113</f>
        <v>-5.8412468400000011</v>
      </c>
      <c r="R56" s="114">
        <f>T$17*Assumptions!$C113</f>
        <v>-5.8412468400000011</v>
      </c>
      <c r="S56" s="115">
        <f t="shared" si="12"/>
        <v>-70.094962080000016</v>
      </c>
      <c r="T56" s="85"/>
      <c r="W56" t="s">
        <v>187</v>
      </c>
      <c r="X56" s="114">
        <f>AA$17*Assumptions!$C113</f>
        <v>-6.814787980000002</v>
      </c>
      <c r="Y56" s="114">
        <f>AA$17*Assumptions!$C113</f>
        <v>-6.814787980000002</v>
      </c>
      <c r="Z56" s="115">
        <f t="shared" si="13"/>
        <v>-81.777455760000024</v>
      </c>
      <c r="AA56" s="85"/>
      <c r="AD56" t="s">
        <v>187</v>
      </c>
      <c r="AE56" s="114">
        <f>AH$17*Assumptions!$C113</f>
        <v>0</v>
      </c>
      <c r="AF56" s="114">
        <f>AH$17*Assumptions!$C113</f>
        <v>0</v>
      </c>
      <c r="AG56" s="115">
        <f t="shared" si="14"/>
        <v>0</v>
      </c>
      <c r="AH56" s="85"/>
      <c r="AK56" t="s">
        <v>187</v>
      </c>
      <c r="AL56" s="114">
        <f>AO$17*Assumptions!$C113</f>
        <v>0</v>
      </c>
      <c r="AM56" s="114">
        <f>AO$17*Assumptions!$C113</f>
        <v>0</v>
      </c>
      <c r="AN56" s="115">
        <f t="shared" si="15"/>
        <v>0</v>
      </c>
      <c r="AO56" s="85"/>
      <c r="AR56" t="s">
        <v>187</v>
      </c>
      <c r="AS56" s="114">
        <f>AV$17*Assumptions!$C113</f>
        <v>0</v>
      </c>
      <c r="AT56" s="114">
        <f>AV$17*Assumptions!$C113</f>
        <v>0</v>
      </c>
      <c r="AU56" s="115">
        <f t="shared" si="16"/>
        <v>0</v>
      </c>
      <c r="AV56" s="85"/>
      <c r="AY56" t="s">
        <v>187</v>
      </c>
      <c r="AZ56" s="114">
        <f>BC$17*Assumptions!$C113</f>
        <v>0</v>
      </c>
      <c r="BA56" s="114">
        <f>BC$17*Assumptions!$C113</f>
        <v>0</v>
      </c>
      <c r="BB56" s="115">
        <f t="shared" si="17"/>
        <v>0</v>
      </c>
      <c r="BC56" s="85"/>
      <c r="BF56" t="s">
        <v>187</v>
      </c>
      <c r="BG56" s="114">
        <f>BJ$17*Assumptions!$C113</f>
        <v>0</v>
      </c>
      <c r="BH56" s="114">
        <f>BJ$17*Assumptions!$C113</f>
        <v>0</v>
      </c>
      <c r="BI56" s="115">
        <f t="shared" si="18"/>
        <v>0</v>
      </c>
      <c r="BJ56" s="85"/>
      <c r="BM56" t="s">
        <v>187</v>
      </c>
      <c r="BN56" s="114">
        <f>BQ$17*Assumptions!$C113</f>
        <v>0</v>
      </c>
      <c r="BO56" s="114">
        <f>BQ$17*Assumptions!$C113</f>
        <v>0</v>
      </c>
      <c r="BP56" s="115">
        <f t="shared" si="19"/>
        <v>0</v>
      </c>
      <c r="BQ56" s="85"/>
    </row>
    <row r="57" spans="2:69" x14ac:dyDescent="0.35">
      <c r="B57" t="s">
        <v>188</v>
      </c>
      <c r="C57" s="114">
        <f>F$17*Assumptions!$C114</f>
        <v>6.9949008799999994</v>
      </c>
      <c r="D57" s="114">
        <f>F$17*Assumptions!$C114</f>
        <v>6.9949008799999994</v>
      </c>
      <c r="E57" s="115">
        <f t="shared" si="10"/>
        <v>83.938810559999993</v>
      </c>
      <c r="I57" t="s">
        <v>188</v>
      </c>
      <c r="J57" s="114">
        <f>M$17*Assumptions!$C114</f>
        <v>8.7436261000000002</v>
      </c>
      <c r="K57" s="114">
        <f>M$17*Assumptions!$C114</f>
        <v>8.7436261000000002</v>
      </c>
      <c r="L57" s="115">
        <f t="shared" si="11"/>
        <v>104.9235132</v>
      </c>
      <c r="P57" t="s">
        <v>188</v>
      </c>
      <c r="Q57" s="114">
        <f>T$17*Assumptions!$C114</f>
        <v>10.492351319999999</v>
      </c>
      <c r="R57" s="114">
        <f>T$17*Assumptions!$C114</f>
        <v>10.492351319999999</v>
      </c>
      <c r="S57" s="115">
        <f t="shared" si="12"/>
        <v>125.90821584</v>
      </c>
      <c r="W57" t="s">
        <v>188</v>
      </c>
      <c r="X57" s="114">
        <f>AA$17*Assumptions!$C114</f>
        <v>12.24107654</v>
      </c>
      <c r="Y57" s="114">
        <f>AA$17*Assumptions!$C114</f>
        <v>12.24107654</v>
      </c>
      <c r="Z57" s="115">
        <f t="shared" si="13"/>
        <v>146.89291847999999</v>
      </c>
      <c r="AD57" t="s">
        <v>188</v>
      </c>
      <c r="AE57" s="114">
        <f>AH$17*Assumptions!$C114</f>
        <v>0</v>
      </c>
      <c r="AF57" s="114">
        <f>AH$17*Assumptions!$C114</f>
        <v>0</v>
      </c>
      <c r="AG57" s="115">
        <f t="shared" si="14"/>
        <v>0</v>
      </c>
      <c r="AK57" t="s">
        <v>188</v>
      </c>
      <c r="AL57" s="114">
        <f>AO$17*Assumptions!$C114</f>
        <v>0</v>
      </c>
      <c r="AM57" s="114">
        <f>AO$17*Assumptions!$C114</f>
        <v>0</v>
      </c>
      <c r="AN57" s="115">
        <f t="shared" si="15"/>
        <v>0</v>
      </c>
      <c r="AR57" t="s">
        <v>188</v>
      </c>
      <c r="AS57" s="114">
        <f>AV$17*Assumptions!$C114</f>
        <v>0</v>
      </c>
      <c r="AT57" s="114">
        <f>AV$17*Assumptions!$C114</f>
        <v>0</v>
      </c>
      <c r="AU57" s="115">
        <f t="shared" si="16"/>
        <v>0</v>
      </c>
      <c r="AY57" t="s">
        <v>188</v>
      </c>
      <c r="AZ57" s="114">
        <f>BC$17*Assumptions!$C114</f>
        <v>0</v>
      </c>
      <c r="BA57" s="114">
        <f>BC$17*Assumptions!$C114</f>
        <v>0</v>
      </c>
      <c r="BB57" s="115">
        <f t="shared" si="17"/>
        <v>0</v>
      </c>
      <c r="BF57" t="s">
        <v>188</v>
      </c>
      <c r="BG57" s="114">
        <f>BJ$17*Assumptions!$C114</f>
        <v>0</v>
      </c>
      <c r="BH57" s="114">
        <f>BJ$17*Assumptions!$C114</f>
        <v>0</v>
      </c>
      <c r="BI57" s="115">
        <f t="shared" si="18"/>
        <v>0</v>
      </c>
      <c r="BM57" t="s">
        <v>188</v>
      </c>
      <c r="BN57" s="114">
        <f>BQ$17*Assumptions!$C114</f>
        <v>0</v>
      </c>
      <c r="BO57" s="114">
        <f>BQ$17*Assumptions!$C114</f>
        <v>0</v>
      </c>
      <c r="BP57" s="115">
        <f t="shared" si="19"/>
        <v>0</v>
      </c>
    </row>
    <row r="58" spans="2:69" x14ac:dyDescent="0.35">
      <c r="B58" t="s">
        <v>189</v>
      </c>
      <c r="C58" s="114">
        <f>F$17*Assumptions!$C115</f>
        <v>0.67914527999999996</v>
      </c>
      <c r="D58" s="114">
        <f>F$17*Assumptions!$C115</f>
        <v>0.67914527999999996</v>
      </c>
      <c r="E58" s="115">
        <f t="shared" si="10"/>
        <v>8.1497433599999987</v>
      </c>
      <c r="I58" t="s">
        <v>189</v>
      </c>
      <c r="J58" s="114">
        <f>M$17*Assumptions!$C115</f>
        <v>0.84893160000000001</v>
      </c>
      <c r="K58" s="114">
        <f>M$17*Assumptions!$C115</f>
        <v>0.84893160000000001</v>
      </c>
      <c r="L58" s="115">
        <f t="shared" si="11"/>
        <v>10.187179199999999</v>
      </c>
      <c r="P58" t="s">
        <v>189</v>
      </c>
      <c r="Q58" s="114">
        <f>T$17*Assumptions!$C115</f>
        <v>1.0187179199999998</v>
      </c>
      <c r="R58" s="114">
        <f>T$17*Assumptions!$C115</f>
        <v>1.0187179199999998</v>
      </c>
      <c r="S58" s="115">
        <f t="shared" si="12"/>
        <v>12.224615039999998</v>
      </c>
      <c r="W58" t="s">
        <v>189</v>
      </c>
      <c r="X58" s="114">
        <f>AA$17*Assumptions!$C115</f>
        <v>1.1885042400000001</v>
      </c>
      <c r="Y58" s="114">
        <f>AA$17*Assumptions!$C115</f>
        <v>1.1885042400000001</v>
      </c>
      <c r="Z58" s="115">
        <f t="shared" si="13"/>
        <v>14.26205088</v>
      </c>
      <c r="AD58" t="s">
        <v>189</v>
      </c>
      <c r="AE58" s="114">
        <f>AH$17*Assumptions!$C115</f>
        <v>0</v>
      </c>
      <c r="AF58" s="114">
        <f>AH$17*Assumptions!$C115</f>
        <v>0</v>
      </c>
      <c r="AG58" s="115">
        <f t="shared" si="14"/>
        <v>0</v>
      </c>
      <c r="AK58" t="s">
        <v>189</v>
      </c>
      <c r="AL58" s="114">
        <f>AO$17*Assumptions!$C115</f>
        <v>0</v>
      </c>
      <c r="AM58" s="114">
        <f>AO$17*Assumptions!$C115</f>
        <v>0</v>
      </c>
      <c r="AN58" s="115">
        <f t="shared" si="15"/>
        <v>0</v>
      </c>
      <c r="AR58" t="s">
        <v>189</v>
      </c>
      <c r="AS58" s="114">
        <f>AV$17*Assumptions!$C115</f>
        <v>0</v>
      </c>
      <c r="AT58" s="114">
        <f>AV$17*Assumptions!$C115</f>
        <v>0</v>
      </c>
      <c r="AU58" s="115">
        <f t="shared" si="16"/>
        <v>0</v>
      </c>
      <c r="AY58" t="s">
        <v>189</v>
      </c>
      <c r="AZ58" s="114">
        <f>BC$17*Assumptions!$C115</f>
        <v>0</v>
      </c>
      <c r="BA58" s="114">
        <f>BC$17*Assumptions!$C115</f>
        <v>0</v>
      </c>
      <c r="BB58" s="115">
        <f t="shared" si="17"/>
        <v>0</v>
      </c>
      <c r="BF58" t="s">
        <v>189</v>
      </c>
      <c r="BG58" s="114">
        <f>BJ$17*Assumptions!$C115</f>
        <v>0</v>
      </c>
      <c r="BH58" s="114">
        <f>BJ$17*Assumptions!$C115</f>
        <v>0</v>
      </c>
      <c r="BI58" s="115">
        <f t="shared" si="18"/>
        <v>0</v>
      </c>
      <c r="BM58" t="s">
        <v>189</v>
      </c>
      <c r="BN58" s="114">
        <f>BQ$17*Assumptions!$C115</f>
        <v>0</v>
      </c>
      <c r="BO58" s="114">
        <f>BQ$17*Assumptions!$C115</f>
        <v>0</v>
      </c>
      <c r="BP58" s="115">
        <f t="shared" si="19"/>
        <v>0</v>
      </c>
    </row>
    <row r="59" spans="2:69" x14ac:dyDescent="0.35">
      <c r="B59" t="s">
        <v>190</v>
      </c>
      <c r="C59" s="114">
        <f>F$17*Assumptions!$C116</f>
        <v>2.8800076800000003</v>
      </c>
      <c r="D59" s="114">
        <f>F$17*Assumptions!$C116</f>
        <v>2.8800076800000003</v>
      </c>
      <c r="E59" s="115">
        <f t="shared" si="10"/>
        <v>34.560092160000004</v>
      </c>
      <c r="I59" t="s">
        <v>190</v>
      </c>
      <c r="J59" s="114">
        <f>M$17*Assumptions!$C116</f>
        <v>3.6000096000000004</v>
      </c>
      <c r="K59" s="114">
        <f>M$17*Assumptions!$C116</f>
        <v>3.6000096000000004</v>
      </c>
      <c r="L59" s="115">
        <f t="shared" si="11"/>
        <v>43.200115200000006</v>
      </c>
      <c r="P59" t="s">
        <v>190</v>
      </c>
      <c r="Q59" s="114">
        <f>T$17*Assumptions!$C116</f>
        <v>4.3200115199999995</v>
      </c>
      <c r="R59" s="114">
        <f>T$17*Assumptions!$C116</f>
        <v>4.3200115199999995</v>
      </c>
      <c r="S59" s="115">
        <f t="shared" si="12"/>
        <v>51.840138239999995</v>
      </c>
      <c r="W59" t="s">
        <v>190</v>
      </c>
      <c r="X59" s="114">
        <f>AA$17*Assumptions!$C116</f>
        <v>5.040013440000001</v>
      </c>
      <c r="Y59" s="114">
        <f>AA$17*Assumptions!$C116</f>
        <v>5.040013440000001</v>
      </c>
      <c r="Z59" s="115">
        <f t="shared" si="13"/>
        <v>60.480161280000011</v>
      </c>
      <c r="AD59" t="s">
        <v>190</v>
      </c>
      <c r="AE59" s="114">
        <f>AH$17*Assumptions!$C116</f>
        <v>0</v>
      </c>
      <c r="AF59" s="114">
        <f>AH$17*Assumptions!$C116</f>
        <v>0</v>
      </c>
      <c r="AG59" s="115">
        <f t="shared" si="14"/>
        <v>0</v>
      </c>
      <c r="AK59" t="s">
        <v>190</v>
      </c>
      <c r="AL59" s="114">
        <f>AO$17*Assumptions!$C116</f>
        <v>0</v>
      </c>
      <c r="AM59" s="114">
        <f>AO$17*Assumptions!$C116</f>
        <v>0</v>
      </c>
      <c r="AN59" s="115">
        <f t="shared" si="15"/>
        <v>0</v>
      </c>
      <c r="AR59" t="s">
        <v>190</v>
      </c>
      <c r="AS59" s="114">
        <f>AV$17*Assumptions!$C116</f>
        <v>0</v>
      </c>
      <c r="AT59" s="114">
        <f>AV$17*Assumptions!$C116</f>
        <v>0</v>
      </c>
      <c r="AU59" s="115">
        <f t="shared" si="16"/>
        <v>0</v>
      </c>
      <c r="AY59" t="s">
        <v>190</v>
      </c>
      <c r="AZ59" s="114">
        <f>BC$17*Assumptions!$C116</f>
        <v>0</v>
      </c>
      <c r="BA59" s="114">
        <f>BC$17*Assumptions!$C116</f>
        <v>0</v>
      </c>
      <c r="BB59" s="115">
        <f t="shared" si="17"/>
        <v>0</v>
      </c>
      <c r="BF59" t="s">
        <v>190</v>
      </c>
      <c r="BG59" s="114">
        <f>BJ$17*Assumptions!$C116</f>
        <v>0</v>
      </c>
      <c r="BH59" s="114">
        <f>BJ$17*Assumptions!$C116</f>
        <v>0</v>
      </c>
      <c r="BI59" s="115">
        <f t="shared" si="18"/>
        <v>0</v>
      </c>
      <c r="BM59" t="s">
        <v>190</v>
      </c>
      <c r="BN59" s="114">
        <f>BQ$17*Assumptions!$C116</f>
        <v>0</v>
      </c>
      <c r="BO59" s="114">
        <f>BQ$17*Assumptions!$C116</f>
        <v>0</v>
      </c>
      <c r="BP59" s="115">
        <f t="shared" si="19"/>
        <v>0</v>
      </c>
    </row>
    <row r="60" spans="2:69" x14ac:dyDescent="0.35">
      <c r="B60" t="s">
        <v>191</v>
      </c>
      <c r="C60" s="114">
        <f>F$17*Assumptions!$I118</f>
        <v>2.1814619200000003</v>
      </c>
      <c r="D60" s="114">
        <f>F$17*Assumptions!$I118</f>
        <v>2.1814619200000003</v>
      </c>
      <c r="E60" s="120">
        <f t="shared" si="10"/>
        <v>26.177543040000003</v>
      </c>
      <c r="I60" t="s">
        <v>191</v>
      </c>
      <c r="J60" s="114">
        <f>M$17*Assumptions!$I118</f>
        <v>2.7268274000000003</v>
      </c>
      <c r="K60" s="114">
        <f>M$17*Assumptions!$I118</f>
        <v>2.7268274000000003</v>
      </c>
      <c r="L60" s="120">
        <f t="shared" si="11"/>
        <v>32.721928800000001</v>
      </c>
      <c r="P60" t="s">
        <v>191</v>
      </c>
      <c r="Q60" s="114">
        <f>T$17*Assumptions!$I118</f>
        <v>3.27219288</v>
      </c>
      <c r="R60" s="114">
        <f>T$17*Assumptions!$I118</f>
        <v>3.27219288</v>
      </c>
      <c r="S60" s="120">
        <f t="shared" si="12"/>
        <v>39.266314559999998</v>
      </c>
      <c r="W60" t="s">
        <v>191</v>
      </c>
      <c r="X60" s="114">
        <f>AA$17*Assumptions!$I118</f>
        <v>3.8175583600000009</v>
      </c>
      <c r="Y60" s="114">
        <f>AA$17*Assumptions!$I118</f>
        <v>3.8175583600000009</v>
      </c>
      <c r="Z60" s="120">
        <f t="shared" si="13"/>
        <v>45.810700320000009</v>
      </c>
      <c r="AD60" t="s">
        <v>191</v>
      </c>
      <c r="AE60" s="114">
        <f>AH$17*Assumptions!$I118</f>
        <v>0</v>
      </c>
      <c r="AF60" s="114">
        <f>AH$17*Assumptions!$I118</f>
        <v>0</v>
      </c>
      <c r="AG60" s="120">
        <f t="shared" si="14"/>
        <v>0</v>
      </c>
      <c r="AK60" t="s">
        <v>191</v>
      </c>
      <c r="AL60" s="114">
        <f>AO$17*Assumptions!$I118</f>
        <v>0</v>
      </c>
      <c r="AM60" s="114">
        <f>AO$17*Assumptions!$I118</f>
        <v>0</v>
      </c>
      <c r="AN60" s="120">
        <f t="shared" si="15"/>
        <v>0</v>
      </c>
      <c r="AR60" t="s">
        <v>191</v>
      </c>
      <c r="AS60" s="114">
        <f>AV$17*Assumptions!$I118</f>
        <v>0</v>
      </c>
      <c r="AT60" s="114">
        <f>AV$17*Assumptions!$I118</f>
        <v>0</v>
      </c>
      <c r="AU60" s="120">
        <f t="shared" si="16"/>
        <v>0</v>
      </c>
      <c r="AY60" t="s">
        <v>191</v>
      </c>
      <c r="AZ60" s="114">
        <f>BC$17*Assumptions!$I118</f>
        <v>0</v>
      </c>
      <c r="BA60" s="114">
        <f>BC$17*Assumptions!$I118</f>
        <v>0</v>
      </c>
      <c r="BB60" s="120">
        <f t="shared" si="17"/>
        <v>0</v>
      </c>
      <c r="BF60" t="s">
        <v>191</v>
      </c>
      <c r="BG60" s="114">
        <f>BJ$17*Assumptions!$I118</f>
        <v>0</v>
      </c>
      <c r="BH60" s="114">
        <f>BJ$17*Assumptions!$I118</f>
        <v>0</v>
      </c>
      <c r="BI60" s="120">
        <f t="shared" si="18"/>
        <v>0</v>
      </c>
      <c r="BM60" t="s">
        <v>191</v>
      </c>
      <c r="BN60" s="114">
        <f>BQ$17*Assumptions!$I118</f>
        <v>0</v>
      </c>
      <c r="BO60" s="114">
        <f>BQ$17*Assumptions!$I118</f>
        <v>0</v>
      </c>
      <c r="BP60" s="120">
        <f t="shared" si="19"/>
        <v>0</v>
      </c>
    </row>
    <row r="61" spans="2:69" x14ac:dyDescent="0.35">
      <c r="B61" s="9" t="s">
        <v>233</v>
      </c>
      <c r="C61" s="89">
        <f>SUM(C54:C60)</f>
        <v>61.090055840000005</v>
      </c>
      <c r="D61" s="89">
        <f>SUM(D54:D60)</f>
        <v>61.090055840000005</v>
      </c>
      <c r="E61" s="89">
        <f>SUM(E54:E60)</f>
        <v>733.08067008000012</v>
      </c>
      <c r="I61" s="9" t="s">
        <v>233</v>
      </c>
      <c r="J61" s="89">
        <f>SUM(J54:J60)</f>
        <v>76.362569800000017</v>
      </c>
      <c r="K61" s="89">
        <f>SUM(K54:K60)</f>
        <v>76.362569800000017</v>
      </c>
      <c r="L61" s="89">
        <f>SUM(L54:L60)</f>
        <v>916.35083760000009</v>
      </c>
      <c r="P61" s="9" t="s">
        <v>233</v>
      </c>
      <c r="Q61" s="89">
        <f>SUM(Q54:Q60)</f>
        <v>91.635083760000001</v>
      </c>
      <c r="R61" s="89">
        <f>SUM(R54:R60)</f>
        <v>91.635083760000001</v>
      </c>
      <c r="S61" s="89">
        <f>SUM(S54:S60)</f>
        <v>1099.6210051200001</v>
      </c>
      <c r="W61" s="9" t="s">
        <v>233</v>
      </c>
      <c r="X61" s="89">
        <f>SUM(X54:X60)</f>
        <v>106.90759772000001</v>
      </c>
      <c r="Y61" s="89">
        <f>SUM(Y54:Y60)</f>
        <v>106.90759772000001</v>
      </c>
      <c r="Z61" s="89">
        <f>SUM(Z54:Z60)</f>
        <v>1282.8911726400001</v>
      </c>
      <c r="AD61" s="9" t="s">
        <v>233</v>
      </c>
      <c r="AE61" s="89">
        <f>SUM(AE54:AE60)</f>
        <v>0</v>
      </c>
      <c r="AF61" s="89">
        <f>SUM(AF54:AF60)</f>
        <v>0</v>
      </c>
      <c r="AG61" s="89">
        <f>SUM(AG54:AG60)</f>
        <v>0</v>
      </c>
      <c r="AK61" s="9" t="s">
        <v>233</v>
      </c>
      <c r="AL61" s="89">
        <f>SUM(AL54:AL60)</f>
        <v>0</v>
      </c>
      <c r="AM61" s="89">
        <f>SUM(AM54:AM60)</f>
        <v>0</v>
      </c>
      <c r="AN61" s="89">
        <f>SUM(AN54:AN60)</f>
        <v>0</v>
      </c>
      <c r="AR61" s="9" t="s">
        <v>233</v>
      </c>
      <c r="AS61" s="89">
        <f>SUM(AS54:AS60)</f>
        <v>0</v>
      </c>
      <c r="AT61" s="89">
        <f>SUM(AT54:AT60)</f>
        <v>0</v>
      </c>
      <c r="AU61" s="89">
        <f>SUM(AU54:AU60)</f>
        <v>0</v>
      </c>
      <c r="AY61" s="9" t="s">
        <v>233</v>
      </c>
      <c r="AZ61" s="89">
        <f>SUM(AZ54:AZ60)</f>
        <v>0</v>
      </c>
      <c r="BA61" s="89">
        <f>SUM(BA54:BA60)</f>
        <v>0</v>
      </c>
      <c r="BB61" s="89">
        <f>SUM(BB54:BB60)</f>
        <v>0</v>
      </c>
      <c r="BF61" s="9" t="s">
        <v>233</v>
      </c>
      <c r="BG61" s="89">
        <f>SUM(BG54:BG60)</f>
        <v>0</v>
      </c>
      <c r="BH61" s="89">
        <f>SUM(BH54:BH60)</f>
        <v>0</v>
      </c>
      <c r="BI61" s="89">
        <f>SUM(BI54:BI60)</f>
        <v>0</v>
      </c>
      <c r="BM61" s="9" t="s">
        <v>233</v>
      </c>
      <c r="BN61" s="89">
        <f>SUM(BN54:BN60)</f>
        <v>0</v>
      </c>
      <c r="BO61" s="89">
        <f>SUM(BO54:BO60)</f>
        <v>0</v>
      </c>
      <c r="BP61" s="89">
        <f>SUM(BP54:BP60)</f>
        <v>0</v>
      </c>
    </row>
    <row r="62" spans="2:69" x14ac:dyDescent="0.35">
      <c r="B62" s="9"/>
      <c r="C62" s="117" t="s">
        <v>192</v>
      </c>
      <c r="D62" s="118">
        <v>2.4066000000000001E-2</v>
      </c>
      <c r="E62" s="119" t="s">
        <v>235</v>
      </c>
      <c r="I62" s="9"/>
      <c r="J62" s="117" t="s">
        <v>192</v>
      </c>
      <c r="K62" s="118">
        <v>2.4066000000000001E-2</v>
      </c>
      <c r="L62" s="119" t="s">
        <v>235</v>
      </c>
      <c r="P62" s="9"/>
      <c r="Q62" s="117" t="s">
        <v>192</v>
      </c>
      <c r="R62" s="118">
        <v>2.4066000000000001E-2</v>
      </c>
      <c r="S62" s="119" t="s">
        <v>235</v>
      </c>
      <c r="W62" s="9"/>
      <c r="X62" s="117" t="s">
        <v>192</v>
      </c>
      <c r="Y62" s="118">
        <v>2.4066000000000001E-2</v>
      </c>
      <c r="Z62" s="119" t="s">
        <v>235</v>
      </c>
      <c r="AD62" s="9"/>
      <c r="AE62" s="117" t="s">
        <v>192</v>
      </c>
      <c r="AF62" s="118">
        <v>2.4066000000000001E-2</v>
      </c>
      <c r="AG62" s="119" t="s">
        <v>235</v>
      </c>
      <c r="AK62" s="9"/>
      <c r="AL62" s="117" t="s">
        <v>192</v>
      </c>
      <c r="AM62" s="118">
        <v>2.4066000000000001E-2</v>
      </c>
      <c r="AN62" s="119" t="s">
        <v>235</v>
      </c>
      <c r="AR62" s="9"/>
      <c r="AS62" s="117" t="s">
        <v>192</v>
      </c>
      <c r="AT62" s="118">
        <v>2.4066000000000001E-2</v>
      </c>
      <c r="AU62" s="119" t="s">
        <v>235</v>
      </c>
      <c r="AY62" s="9"/>
      <c r="AZ62" s="117" t="s">
        <v>192</v>
      </c>
      <c r="BA62" s="118">
        <v>2.4066000000000001E-2</v>
      </c>
      <c r="BB62" s="119" t="s">
        <v>235</v>
      </c>
      <c r="BF62" s="9"/>
      <c r="BG62" s="117" t="s">
        <v>192</v>
      </c>
      <c r="BH62" s="118">
        <v>2.4066000000000001E-2</v>
      </c>
      <c r="BI62" s="119" t="s">
        <v>235</v>
      </c>
      <c r="BM62" s="9"/>
      <c r="BN62" s="117" t="s">
        <v>192</v>
      </c>
      <c r="BO62" s="118">
        <v>2.4066000000000001E-2</v>
      </c>
      <c r="BP62" s="119" t="s">
        <v>235</v>
      </c>
    </row>
    <row r="63" spans="2:69" x14ac:dyDescent="0.35">
      <c r="B63" s="90" t="s">
        <v>238</v>
      </c>
      <c r="C63" s="121">
        <f>C61*$D$62</f>
        <v>1.4701932838454401</v>
      </c>
      <c r="D63" s="121">
        <f>D61*$D$62</f>
        <v>1.4701932838454401</v>
      </c>
      <c r="E63" s="120">
        <f>(C63*4)+(D63*8)</f>
        <v>17.642319406145283</v>
      </c>
      <c r="I63" s="90" t="s">
        <v>238</v>
      </c>
      <c r="J63" s="121">
        <f>J61*$D$62</f>
        <v>1.8377416048068005</v>
      </c>
      <c r="K63" s="121">
        <f>K61*$D$62</f>
        <v>1.8377416048068005</v>
      </c>
      <c r="L63" s="120">
        <f>(J63*4)+(K63*8)</f>
        <v>22.052899257681606</v>
      </c>
      <c r="P63" s="90" t="s">
        <v>238</v>
      </c>
      <c r="Q63" s="121">
        <f>Q61*$D$62</f>
        <v>2.20528992576816</v>
      </c>
      <c r="R63" s="121">
        <f>R61*$D$62</f>
        <v>2.20528992576816</v>
      </c>
      <c r="S63" s="120">
        <f>(Q63*4)+(R63*8)</f>
        <v>26.463479109217921</v>
      </c>
      <c r="W63" s="90" t="s">
        <v>238</v>
      </c>
      <c r="X63" s="121">
        <f>X61*$D$62</f>
        <v>2.5728382467295203</v>
      </c>
      <c r="Y63" s="121">
        <f>Y61*$D$62</f>
        <v>2.5728382467295203</v>
      </c>
      <c r="Z63" s="120">
        <f>(X63*4)+(Y63*8)</f>
        <v>30.874058960754244</v>
      </c>
      <c r="AD63" s="90" t="s">
        <v>238</v>
      </c>
      <c r="AE63" s="121">
        <f>AE61*$D$62</f>
        <v>0</v>
      </c>
      <c r="AF63" s="121">
        <f>AF61*$D$62</f>
        <v>0</v>
      </c>
      <c r="AG63" s="120">
        <f>(AE63*4)+(AF63*8)</f>
        <v>0</v>
      </c>
      <c r="AK63" s="90" t="s">
        <v>238</v>
      </c>
      <c r="AL63" s="121">
        <f>AL61*$D$62</f>
        <v>0</v>
      </c>
      <c r="AM63" s="121">
        <f>AM61*$D$62</f>
        <v>0</v>
      </c>
      <c r="AN63" s="120">
        <f>(AL63*4)+(AM63*8)</f>
        <v>0</v>
      </c>
      <c r="AR63" s="90" t="s">
        <v>238</v>
      </c>
      <c r="AS63" s="121">
        <f>AS61*$D$62</f>
        <v>0</v>
      </c>
      <c r="AT63" s="121">
        <f>AT61*$D$62</f>
        <v>0</v>
      </c>
      <c r="AU63" s="120">
        <f>(AS63*4)+(AT63*8)</f>
        <v>0</v>
      </c>
      <c r="AY63" s="90" t="s">
        <v>238</v>
      </c>
      <c r="AZ63" s="121">
        <f>AZ61*$D$62</f>
        <v>0</v>
      </c>
      <c r="BA63" s="121">
        <f>BA61*$D$62</f>
        <v>0</v>
      </c>
      <c r="BB63" s="120">
        <f>(AZ63*4)+(BA63*8)</f>
        <v>0</v>
      </c>
      <c r="BF63" s="90" t="s">
        <v>238</v>
      </c>
      <c r="BG63" s="121">
        <f>BG61*$D$62</f>
        <v>0</v>
      </c>
      <c r="BH63" s="121">
        <f>BH61*$D$62</f>
        <v>0</v>
      </c>
      <c r="BI63" s="120">
        <f>(BG63*4)+(BH63*8)</f>
        <v>0</v>
      </c>
      <c r="BM63" s="90" t="s">
        <v>238</v>
      </c>
      <c r="BN63" s="121">
        <f>BN61*$D$62</f>
        <v>0</v>
      </c>
      <c r="BO63" s="121">
        <f>BO61*$D$62</f>
        <v>0</v>
      </c>
      <c r="BP63" s="120">
        <f>(BN63*4)+(BO63*8)</f>
        <v>0</v>
      </c>
    </row>
    <row r="64" spans="2:69" x14ac:dyDescent="0.35">
      <c r="B64" s="9" t="s">
        <v>239</v>
      </c>
      <c r="C64" s="89">
        <f>+C61+C63</f>
        <v>62.560249123845445</v>
      </c>
      <c r="D64" s="89">
        <f>+D61+D63</f>
        <v>62.560249123845445</v>
      </c>
      <c r="E64" s="89">
        <f>+E61+E63</f>
        <v>750.72298948614537</v>
      </c>
      <c r="I64" s="9" t="s">
        <v>239</v>
      </c>
      <c r="J64" s="89">
        <f>+J61+J63</f>
        <v>78.200311404806811</v>
      </c>
      <c r="K64" s="89">
        <f>+K61+K63</f>
        <v>78.200311404806811</v>
      </c>
      <c r="L64" s="89">
        <f>+L61+L63</f>
        <v>938.40373685768168</v>
      </c>
      <c r="P64" s="9" t="s">
        <v>239</v>
      </c>
      <c r="Q64" s="89">
        <f>+Q61+Q63</f>
        <v>93.840373685768157</v>
      </c>
      <c r="R64" s="89">
        <f>+R61+R63</f>
        <v>93.840373685768157</v>
      </c>
      <c r="S64" s="89">
        <f>+S61+S63</f>
        <v>1126.0844842292179</v>
      </c>
      <c r="W64" s="9" t="s">
        <v>239</v>
      </c>
      <c r="X64" s="89">
        <f>+X61+X63</f>
        <v>109.48043596672953</v>
      </c>
      <c r="Y64" s="89">
        <f>+Y61+Y63</f>
        <v>109.48043596672953</v>
      </c>
      <c r="Z64" s="89">
        <f>+Z61+Z63</f>
        <v>1313.7652316007543</v>
      </c>
      <c r="AD64" s="9" t="s">
        <v>239</v>
      </c>
      <c r="AE64" s="89">
        <f>+AE61+AE63</f>
        <v>0</v>
      </c>
      <c r="AF64" s="89">
        <f>+AF61+AF63</f>
        <v>0</v>
      </c>
      <c r="AG64" s="89">
        <f>+AG61+AG63</f>
        <v>0</v>
      </c>
      <c r="AK64" s="9" t="s">
        <v>239</v>
      </c>
      <c r="AL64" s="89">
        <f>+AL61+AL63</f>
        <v>0</v>
      </c>
      <c r="AM64" s="89">
        <f>+AM61+AM63</f>
        <v>0</v>
      </c>
      <c r="AN64" s="89">
        <f>+AN61+AN63</f>
        <v>0</v>
      </c>
      <c r="AR64" s="9" t="s">
        <v>239</v>
      </c>
      <c r="AS64" s="89">
        <f>+AS61+AS63</f>
        <v>0</v>
      </c>
      <c r="AT64" s="89">
        <f>+AT61+AT63</f>
        <v>0</v>
      </c>
      <c r="AU64" s="89">
        <f>+AU61+AU63</f>
        <v>0</v>
      </c>
      <c r="AY64" s="9" t="s">
        <v>239</v>
      </c>
      <c r="AZ64" s="89">
        <f>+AZ61+AZ63</f>
        <v>0</v>
      </c>
      <c r="BA64" s="89">
        <f>+BA61+BA63</f>
        <v>0</v>
      </c>
      <c r="BB64" s="89">
        <f>+BB61+BB63</f>
        <v>0</v>
      </c>
      <c r="BF64" s="9" t="s">
        <v>239</v>
      </c>
      <c r="BG64" s="89">
        <f>+BG61+BG63</f>
        <v>0</v>
      </c>
      <c r="BH64" s="89">
        <f>+BH61+BH63</f>
        <v>0</v>
      </c>
      <c r="BI64" s="89">
        <f>+BI61+BI63</f>
        <v>0</v>
      </c>
      <c r="BM64" s="9" t="s">
        <v>239</v>
      </c>
      <c r="BN64" s="89">
        <f>+BN61+BN63</f>
        <v>0</v>
      </c>
      <c r="BO64" s="89">
        <f>+BO61+BO63</f>
        <v>0</v>
      </c>
      <c r="BP64" s="89">
        <f>+BP61+BP63</f>
        <v>0</v>
      </c>
    </row>
    <row r="65" spans="2:69" x14ac:dyDescent="0.35">
      <c r="C65" s="117" t="s">
        <v>193</v>
      </c>
      <c r="D65" s="118">
        <v>8.8749999999999996E-2</v>
      </c>
      <c r="E65" s="119" t="s">
        <v>194</v>
      </c>
      <c r="J65" s="117" t="s">
        <v>193</v>
      </c>
      <c r="K65" s="118">
        <v>8.8749999999999996E-2</v>
      </c>
      <c r="L65" s="119" t="s">
        <v>194</v>
      </c>
      <c r="Q65" s="117" t="s">
        <v>193</v>
      </c>
      <c r="R65" s="118">
        <v>8.8749999999999996E-2</v>
      </c>
      <c r="S65" s="119" t="s">
        <v>194</v>
      </c>
      <c r="X65" s="117" t="s">
        <v>193</v>
      </c>
      <c r="Y65" s="118">
        <v>8.8749999999999996E-2</v>
      </c>
      <c r="Z65" s="119" t="s">
        <v>194</v>
      </c>
      <c r="AE65" s="117" t="s">
        <v>193</v>
      </c>
      <c r="AF65" s="118">
        <v>8.8749999999999996E-2</v>
      </c>
      <c r="AG65" s="119" t="s">
        <v>194</v>
      </c>
      <c r="AL65" s="117" t="s">
        <v>193</v>
      </c>
      <c r="AM65" s="118">
        <v>8.8749999999999996E-2</v>
      </c>
      <c r="AN65" s="119" t="s">
        <v>194</v>
      </c>
      <c r="AS65" s="117" t="s">
        <v>193</v>
      </c>
      <c r="AT65" s="118">
        <v>8.8749999999999996E-2</v>
      </c>
      <c r="AU65" s="119" t="s">
        <v>194</v>
      </c>
      <c r="AZ65" s="117" t="s">
        <v>193</v>
      </c>
      <c r="BA65" s="118">
        <v>8.8749999999999996E-2</v>
      </c>
      <c r="BB65" s="119" t="s">
        <v>194</v>
      </c>
      <c r="BG65" s="117" t="s">
        <v>193</v>
      </c>
      <c r="BH65" s="118">
        <v>8.8749999999999996E-2</v>
      </c>
      <c r="BI65" s="119" t="s">
        <v>194</v>
      </c>
      <c r="BN65" s="117" t="s">
        <v>193</v>
      </c>
      <c r="BO65" s="118">
        <v>8.8749999999999996E-2</v>
      </c>
      <c r="BP65" s="119" t="s">
        <v>194</v>
      </c>
    </row>
    <row r="66" spans="2:69" x14ac:dyDescent="0.35">
      <c r="B66" s="9" t="s">
        <v>240</v>
      </c>
      <c r="C66" s="89">
        <f>+C51+C64</f>
        <v>232.11009348926527</v>
      </c>
      <c r="D66" s="89">
        <f>+D51+D64</f>
        <v>198.76213319544129</v>
      </c>
      <c r="E66" s="89">
        <f>+E51+E64</f>
        <v>2518.5374395205918</v>
      </c>
      <c r="I66" s="9" t="s">
        <v>240</v>
      </c>
      <c r="J66" s="89">
        <f>+J51+J64</f>
        <v>282.60819125658162</v>
      </c>
      <c r="K66" s="89">
        <f>+K51+K64</f>
        <v>240.92324088930161</v>
      </c>
      <c r="L66" s="89">
        <f>+L51+L64</f>
        <v>3057.8186921407396</v>
      </c>
      <c r="P66" s="9" t="s">
        <v>240</v>
      </c>
      <c r="Q66" s="89">
        <f>+Q51+Q64</f>
        <v>333.10628902389794</v>
      </c>
      <c r="R66" s="89">
        <f>+R51+R64</f>
        <v>283.08434858316195</v>
      </c>
      <c r="S66" s="89">
        <f>+S51+S64</f>
        <v>3597.0999447608874</v>
      </c>
      <c r="W66" s="9" t="s">
        <v>240</v>
      </c>
      <c r="X66" s="89">
        <f>+X51+X64</f>
        <v>383.60438679121427</v>
      </c>
      <c r="Y66" s="89">
        <f>+Y51+Y64</f>
        <v>325.24545627702224</v>
      </c>
      <c r="Z66" s="89">
        <f>+Z51+Z64</f>
        <v>4136.3811973810352</v>
      </c>
      <c r="AD66" s="9" t="s">
        <v>240</v>
      </c>
      <c r="AE66" s="89">
        <f>+AE51+AE64</f>
        <v>30.117702420000004</v>
      </c>
      <c r="AF66" s="89">
        <f>+AF51+AF64</f>
        <v>30.117702420000004</v>
      </c>
      <c r="AG66" s="89">
        <f>+AG51+AG64</f>
        <v>361.41242904000006</v>
      </c>
      <c r="AK66" s="9" t="s">
        <v>240</v>
      </c>
      <c r="AL66" s="89">
        <f>+AL51+AL64</f>
        <v>30.117702420000004</v>
      </c>
      <c r="AM66" s="89">
        <f>+AM51+AM64</f>
        <v>30.117702420000004</v>
      </c>
      <c r="AN66" s="89">
        <f>+AN51+AN64</f>
        <v>361.41242904000006</v>
      </c>
      <c r="AR66" s="9" t="s">
        <v>240</v>
      </c>
      <c r="AS66" s="89">
        <f>+AS51+AS64</f>
        <v>30.117702420000004</v>
      </c>
      <c r="AT66" s="89">
        <f>+AT51+AT64</f>
        <v>30.117702420000004</v>
      </c>
      <c r="AU66" s="89">
        <f>+AU51+AU64</f>
        <v>361.41242904000006</v>
      </c>
      <c r="AY66" s="9" t="s">
        <v>240</v>
      </c>
      <c r="AZ66" s="89">
        <f>+AZ51+AZ64</f>
        <v>30.117702420000004</v>
      </c>
      <c r="BA66" s="89">
        <f>+BA51+BA64</f>
        <v>30.117702420000004</v>
      </c>
      <c r="BB66" s="89">
        <f>+BB51+BB64</f>
        <v>361.41242904000006</v>
      </c>
      <c r="BF66" s="9" t="s">
        <v>240</v>
      </c>
      <c r="BG66" s="89">
        <f>+BG51+BG64</f>
        <v>30.117702420000004</v>
      </c>
      <c r="BH66" s="89">
        <f>+BH51+BH64</f>
        <v>30.117702420000004</v>
      </c>
      <c r="BI66" s="89">
        <f>+BI51+BI64</f>
        <v>361.41242904000006</v>
      </c>
      <c r="BM66" s="9" t="s">
        <v>240</v>
      </c>
      <c r="BN66" s="89">
        <f>+BN51+BN64</f>
        <v>30.117702420000004</v>
      </c>
      <c r="BO66" s="89">
        <f>+BO51+BO64</f>
        <v>30.117702420000004</v>
      </c>
      <c r="BP66" s="89">
        <f>+BP51+BP64</f>
        <v>361.41242904000006</v>
      </c>
    </row>
    <row r="67" spans="2:69" x14ac:dyDescent="0.35">
      <c r="B67" s="9" t="s">
        <v>241</v>
      </c>
      <c r="C67" s="121">
        <f>C66*$D$65</f>
        <v>20.59977079717229</v>
      </c>
      <c r="D67" s="121">
        <f>D66*$D$65</f>
        <v>17.640139321095415</v>
      </c>
      <c r="E67" s="120">
        <f>(C67*4)+(D67*8)</f>
        <v>223.52019775745248</v>
      </c>
      <c r="I67" s="9" t="s">
        <v>241</v>
      </c>
      <c r="J67" s="121">
        <f>J66*$D$65</f>
        <v>25.081476974021619</v>
      </c>
      <c r="K67" s="121">
        <f>K66*$D$65</f>
        <v>21.381937628925517</v>
      </c>
      <c r="L67" s="120">
        <f>(J67*4)+(K67*8)</f>
        <v>271.38140892749061</v>
      </c>
      <c r="P67" s="9" t="s">
        <v>241</v>
      </c>
      <c r="Q67" s="121">
        <f>Q66*$D$65</f>
        <v>29.563183150870941</v>
      </c>
      <c r="R67" s="121">
        <f>R66*$D$65</f>
        <v>25.123735936755622</v>
      </c>
      <c r="S67" s="120">
        <f>(Q67*4)+(R67*8)</f>
        <v>319.24262009752874</v>
      </c>
      <c r="W67" s="9" t="s">
        <v>241</v>
      </c>
      <c r="X67" s="121">
        <f>X66*$D$65</f>
        <v>34.044889327720263</v>
      </c>
      <c r="Y67" s="121">
        <f>Y66*$D$65</f>
        <v>28.865534244585721</v>
      </c>
      <c r="Z67" s="120">
        <f>(X67*4)+(Y67*8)</f>
        <v>367.10383126756682</v>
      </c>
      <c r="AD67" s="9" t="s">
        <v>241</v>
      </c>
      <c r="AE67" s="121">
        <f>AE66*$D$65</f>
        <v>2.6729460897750004</v>
      </c>
      <c r="AF67" s="121">
        <f>AF66*$D$65</f>
        <v>2.6729460897750004</v>
      </c>
      <c r="AG67" s="120">
        <f>(AE67*4)+(AF67*8)</f>
        <v>32.075353077300008</v>
      </c>
      <c r="AK67" s="9" t="s">
        <v>241</v>
      </c>
      <c r="AL67" s="121">
        <f>AL66*$D$65</f>
        <v>2.6729460897750004</v>
      </c>
      <c r="AM67" s="121">
        <f>AM66*$D$65</f>
        <v>2.6729460897750004</v>
      </c>
      <c r="AN67" s="120">
        <f>(AL67*4)+(AM67*8)</f>
        <v>32.075353077300008</v>
      </c>
      <c r="AR67" s="9" t="s">
        <v>241</v>
      </c>
      <c r="AS67" s="121">
        <f>AS66*$D$65</f>
        <v>2.6729460897750004</v>
      </c>
      <c r="AT67" s="121">
        <f>AT66*$D$65</f>
        <v>2.6729460897750004</v>
      </c>
      <c r="AU67" s="120">
        <f>(AS67*4)+(AT67*8)</f>
        <v>32.075353077300008</v>
      </c>
      <c r="AY67" s="9" t="s">
        <v>241</v>
      </c>
      <c r="AZ67" s="121">
        <f>AZ66*$D$65</f>
        <v>2.6729460897750004</v>
      </c>
      <c r="BA67" s="121">
        <f>BA66*$D$65</f>
        <v>2.6729460897750004</v>
      </c>
      <c r="BB67" s="120">
        <f>(AZ67*4)+(BA67*8)</f>
        <v>32.075353077300008</v>
      </c>
      <c r="BF67" s="9" t="s">
        <v>241</v>
      </c>
      <c r="BG67" s="121">
        <f>BG66*$D$65</f>
        <v>2.6729460897750004</v>
      </c>
      <c r="BH67" s="121">
        <f>BH66*$D$65</f>
        <v>2.6729460897750004</v>
      </c>
      <c r="BI67" s="120">
        <f>(BG67*4)+(BH67*8)</f>
        <v>32.075353077300008</v>
      </c>
      <c r="BM67" s="9" t="s">
        <v>241</v>
      </c>
      <c r="BN67" s="121">
        <f>BN66*$D$65</f>
        <v>2.6729460897750004</v>
      </c>
      <c r="BO67" s="121">
        <f>BO66*$D$65</f>
        <v>2.6729460897750004</v>
      </c>
      <c r="BP67" s="120">
        <f>(BN67*4)+(BO67*8)</f>
        <v>32.075353077300008</v>
      </c>
    </row>
    <row r="68" spans="2:69" x14ac:dyDescent="0.35">
      <c r="B68" s="9" t="s">
        <v>242</v>
      </c>
      <c r="C68" s="122">
        <f>SUM(C66:C67)</f>
        <v>252.70986428643755</v>
      </c>
      <c r="D68" s="122">
        <f>SUM(D66:D67)</f>
        <v>216.4022725165367</v>
      </c>
      <c r="E68" s="122">
        <f>SUM(E66:E67)</f>
        <v>2742.0576372780442</v>
      </c>
      <c r="I68" s="9" t="s">
        <v>242</v>
      </c>
      <c r="J68" s="122">
        <f>SUM(J66:J67)</f>
        <v>307.68966823060322</v>
      </c>
      <c r="K68" s="122">
        <f>SUM(K66:K67)</f>
        <v>262.30517851822714</v>
      </c>
      <c r="L68" s="122">
        <f>SUM(L66:L67)</f>
        <v>3329.2001010682302</v>
      </c>
      <c r="P68" s="9" t="s">
        <v>242</v>
      </c>
      <c r="Q68" s="122">
        <f>SUM(Q66:Q67)</f>
        <v>362.66947217476888</v>
      </c>
      <c r="R68" s="122">
        <f>SUM(R66:R67)</f>
        <v>308.20808451991758</v>
      </c>
      <c r="S68" s="122">
        <f>SUM(S66:S67)</f>
        <v>3916.3425648584162</v>
      </c>
      <c r="W68" s="9" t="s">
        <v>242</v>
      </c>
      <c r="X68" s="122">
        <f>SUM(X66:X67)</f>
        <v>417.64927611893455</v>
      </c>
      <c r="Y68" s="122">
        <f>SUM(Y66:Y67)</f>
        <v>354.11099052160796</v>
      </c>
      <c r="Z68" s="122">
        <f>SUM(Z66:Z67)</f>
        <v>4503.4850286486017</v>
      </c>
      <c r="AD68" s="9" t="s">
        <v>242</v>
      </c>
      <c r="AE68" s="122">
        <f>SUM(AE66:AE67)</f>
        <v>32.790648509775004</v>
      </c>
      <c r="AF68" s="122">
        <f>SUM(AF66:AF67)</f>
        <v>32.790648509775004</v>
      </c>
      <c r="AG68" s="122">
        <f>SUM(AG66:AG67)</f>
        <v>393.48778211730007</v>
      </c>
      <c r="AK68" s="9" t="s">
        <v>242</v>
      </c>
      <c r="AL68" s="122">
        <f>SUM(AL66:AL67)</f>
        <v>32.790648509775004</v>
      </c>
      <c r="AM68" s="122">
        <f>SUM(AM66:AM67)</f>
        <v>32.790648509775004</v>
      </c>
      <c r="AN68" s="122">
        <f>SUM(AN66:AN67)</f>
        <v>393.48778211730007</v>
      </c>
      <c r="AR68" s="9" t="s">
        <v>242</v>
      </c>
      <c r="AS68" s="122">
        <f>SUM(AS66:AS67)</f>
        <v>32.790648509775004</v>
      </c>
      <c r="AT68" s="122">
        <f>SUM(AT66:AT67)</f>
        <v>32.790648509775004</v>
      </c>
      <c r="AU68" s="122">
        <f>SUM(AU66:AU67)</f>
        <v>393.48778211730007</v>
      </c>
      <c r="AY68" s="9" t="s">
        <v>242</v>
      </c>
      <c r="AZ68" s="122">
        <f>SUM(AZ66:AZ67)</f>
        <v>32.790648509775004</v>
      </c>
      <c r="BA68" s="122">
        <f>SUM(BA66:BA67)</f>
        <v>32.790648509775004</v>
      </c>
      <c r="BB68" s="122">
        <f>SUM(BB66:BB67)</f>
        <v>393.48778211730007</v>
      </c>
      <c r="BF68" s="9" t="s">
        <v>242</v>
      </c>
      <c r="BG68" s="122">
        <f>SUM(BG66:BG67)</f>
        <v>32.790648509775004</v>
      </c>
      <c r="BH68" s="122">
        <f>SUM(BH66:BH67)</f>
        <v>32.790648509775004</v>
      </c>
      <c r="BI68" s="122">
        <f>SUM(BI66:BI67)</f>
        <v>393.48778211730007</v>
      </c>
      <c r="BM68" s="9" t="s">
        <v>242</v>
      </c>
      <c r="BN68" s="122">
        <f>SUM(BN66:BN67)</f>
        <v>32.790648509775004</v>
      </c>
      <c r="BO68" s="122">
        <f>SUM(BO66:BO67)</f>
        <v>32.790648509775004</v>
      </c>
      <c r="BP68" s="122">
        <f>SUM(BP66:BP67)</f>
        <v>393.48778211730007</v>
      </c>
    </row>
    <row r="69" spans="2:69" x14ac:dyDescent="0.35">
      <c r="C69" s="91"/>
      <c r="D69" s="91"/>
      <c r="E69" s="91"/>
      <c r="F69" s="89"/>
      <c r="J69" s="91"/>
      <c r="K69" s="91"/>
      <c r="L69" s="91"/>
      <c r="M69" s="89"/>
      <c r="Q69" s="91"/>
      <c r="R69" s="91"/>
      <c r="S69" s="91"/>
      <c r="T69" s="89"/>
      <c r="X69" s="91"/>
      <c r="Y69" s="91"/>
      <c r="Z69" s="91"/>
      <c r="AA69" s="89"/>
      <c r="AE69" s="91"/>
      <c r="AF69" s="91"/>
      <c r="AG69" s="91"/>
      <c r="AH69" s="89"/>
      <c r="AL69" s="91"/>
      <c r="AM69" s="91"/>
      <c r="AN69" s="91"/>
      <c r="AO69" s="89"/>
      <c r="AS69" s="91"/>
      <c r="AT69" s="91"/>
      <c r="AU69" s="91"/>
      <c r="AV69" s="89"/>
      <c r="AZ69" s="91"/>
      <c r="BA69" s="91"/>
      <c r="BB69" s="91"/>
      <c r="BC69" s="89"/>
      <c r="BG69" s="91"/>
      <c r="BH69" s="91"/>
      <c r="BI69" s="91"/>
      <c r="BJ69" s="89"/>
      <c r="BN69" s="91"/>
      <c r="BO69" s="91"/>
      <c r="BP69" s="91"/>
      <c r="BQ69" s="89"/>
    </row>
    <row r="70" spans="2:69" x14ac:dyDescent="0.35">
      <c r="B70" t="s">
        <v>243</v>
      </c>
      <c r="C70" s="89">
        <f>+E68/12</f>
        <v>228.50480310650369</v>
      </c>
      <c r="D70" s="85"/>
      <c r="F70" s="92"/>
      <c r="I70" t="s">
        <v>243</v>
      </c>
      <c r="J70" s="89">
        <f>+L68/12</f>
        <v>277.43334175568583</v>
      </c>
      <c r="K70" s="85"/>
      <c r="M70" s="92"/>
      <c r="P70" t="s">
        <v>243</v>
      </c>
      <c r="Q70" s="89">
        <f>+S68/12</f>
        <v>326.36188040486803</v>
      </c>
      <c r="R70" s="85"/>
      <c r="T70" s="92"/>
      <c r="W70" t="s">
        <v>243</v>
      </c>
      <c r="X70" s="89">
        <f>+Z68/12</f>
        <v>375.29041905405012</v>
      </c>
      <c r="Y70" s="85"/>
      <c r="AA70" s="92"/>
      <c r="AD70" t="s">
        <v>243</v>
      </c>
      <c r="AE70" s="89">
        <f>+AG68/12</f>
        <v>32.790648509775004</v>
      </c>
      <c r="AF70" s="85"/>
      <c r="AH70" s="92"/>
      <c r="AK70" t="s">
        <v>243</v>
      </c>
      <c r="AL70" s="89">
        <f>+AN68/12</f>
        <v>32.790648509775004</v>
      </c>
      <c r="AM70" s="85"/>
      <c r="AO70" s="92"/>
      <c r="AR70" t="s">
        <v>243</v>
      </c>
      <c r="AS70" s="89">
        <f>+AU68/12</f>
        <v>32.790648509775004</v>
      </c>
      <c r="AT70" s="85"/>
      <c r="AV70" s="92"/>
      <c r="AY70" t="s">
        <v>243</v>
      </c>
      <c r="AZ70" s="89">
        <f>+BB68/12</f>
        <v>32.790648509775004</v>
      </c>
      <c r="BA70" s="85"/>
      <c r="BC70" s="92"/>
      <c r="BF70" t="s">
        <v>243</v>
      </c>
      <c r="BG70" s="89">
        <f>+BI68/12</f>
        <v>32.790648509775004</v>
      </c>
      <c r="BH70" s="85"/>
      <c r="BJ70" s="92"/>
      <c r="BM70" t="s">
        <v>243</v>
      </c>
      <c r="BN70" s="89">
        <f>+BP68/12</f>
        <v>32.790648509775004</v>
      </c>
      <c r="BO70" s="85"/>
      <c r="BQ70" s="92"/>
    </row>
    <row r="71" spans="2:69" x14ac:dyDescent="0.35">
      <c r="B71" s="9" t="s">
        <v>244</v>
      </c>
      <c r="C71" s="93">
        <f>F17</f>
        <v>770.88</v>
      </c>
      <c r="F71" s="87"/>
      <c r="I71" s="9" t="s">
        <v>244</v>
      </c>
      <c r="J71" s="93">
        <f>M17</f>
        <v>963.6</v>
      </c>
      <c r="M71" s="87"/>
      <c r="P71" s="9" t="s">
        <v>244</v>
      </c>
      <c r="Q71" s="93">
        <f>T17</f>
        <v>1156.32</v>
      </c>
      <c r="T71" s="87"/>
      <c r="W71" s="9" t="s">
        <v>244</v>
      </c>
      <c r="X71" s="93">
        <f>AA17</f>
        <v>1349.0400000000002</v>
      </c>
      <c r="AA71" s="87"/>
      <c r="AD71" s="9" t="s">
        <v>244</v>
      </c>
      <c r="AE71" s="93">
        <f>AH17</f>
        <v>0</v>
      </c>
      <c r="AH71" s="87"/>
      <c r="AK71" s="9" t="s">
        <v>244</v>
      </c>
      <c r="AL71" s="93">
        <f>AO17</f>
        <v>0</v>
      </c>
      <c r="AO71" s="87"/>
      <c r="AR71" s="9" t="s">
        <v>244</v>
      </c>
      <c r="AS71" s="93">
        <f>AV17</f>
        <v>0</v>
      </c>
      <c r="AV71" s="87"/>
      <c r="AY71" s="9" t="s">
        <v>244</v>
      </c>
      <c r="AZ71" s="93">
        <f>BC17</f>
        <v>0</v>
      </c>
      <c r="BC71" s="87"/>
      <c r="BF71" s="9" t="s">
        <v>244</v>
      </c>
      <c r="BG71" s="93">
        <f>BJ17</f>
        <v>0</v>
      </c>
      <c r="BJ71" s="87"/>
      <c r="BM71" s="9" t="s">
        <v>244</v>
      </c>
      <c r="BN71" s="93">
        <f>BQ17</f>
        <v>0</v>
      </c>
      <c r="BQ71" s="87"/>
    </row>
    <row r="72" spans="2:69" x14ac:dyDescent="0.35">
      <c r="B72" s="9" t="s">
        <v>245</v>
      </c>
      <c r="C72" s="94">
        <f>(C70/C71)*100</f>
        <v>29.642071801902205</v>
      </c>
      <c r="F72" s="94"/>
      <c r="I72" s="9" t="s">
        <v>245</v>
      </c>
      <c r="J72" s="94">
        <f>(J70/J71)*100</f>
        <v>28.791338911964075</v>
      </c>
      <c r="M72" s="94"/>
      <c r="P72" s="9" t="s">
        <v>245</v>
      </c>
      <c r="Q72" s="94">
        <f>(Q70/Q71)*100</f>
        <v>28.22418365200533</v>
      </c>
      <c r="T72" s="94"/>
      <c r="W72" s="9" t="s">
        <v>245</v>
      </c>
      <c r="X72" s="94">
        <f>(X70/X71)*100</f>
        <v>27.819072752034785</v>
      </c>
      <c r="AA72" s="94"/>
      <c r="AD72" s="9" t="s">
        <v>245</v>
      </c>
      <c r="AE72" s="94" t="e">
        <f>(AE70/AE71)*100</f>
        <v>#DIV/0!</v>
      </c>
      <c r="AH72" s="94"/>
      <c r="AK72" s="9" t="s">
        <v>245</v>
      </c>
      <c r="AL72" s="94" t="e">
        <f>(AL70/AL71)*100</f>
        <v>#DIV/0!</v>
      </c>
      <c r="AO72" s="94"/>
      <c r="AR72" s="9" t="s">
        <v>245</v>
      </c>
      <c r="AS72" s="94" t="e">
        <f>(AS70/AS71)*100</f>
        <v>#DIV/0!</v>
      </c>
      <c r="AV72" s="94"/>
      <c r="AY72" s="9" t="s">
        <v>245</v>
      </c>
      <c r="AZ72" s="94" t="e">
        <f>(AZ70/AZ71)*100</f>
        <v>#DIV/0!</v>
      </c>
      <c r="BC72" s="94"/>
      <c r="BF72" s="9" t="s">
        <v>245</v>
      </c>
      <c r="BG72" s="94" t="e">
        <f>(BG70/BG71)*100</f>
        <v>#DIV/0!</v>
      </c>
      <c r="BJ72" s="94"/>
      <c r="BM72" s="9" t="s">
        <v>245</v>
      </c>
      <c r="BN72" s="94" t="e">
        <f>(BN70/BN71)*100</f>
        <v>#DIV/0!</v>
      </c>
      <c r="BQ72" s="94"/>
    </row>
    <row r="73" spans="2:69" x14ac:dyDescent="0.35">
      <c r="B73" s="9" t="s">
        <v>246</v>
      </c>
      <c r="C73" s="104">
        <f>E64/F17</f>
        <v>0.97385194775600015</v>
      </c>
      <c r="D73" s="89"/>
      <c r="I73" s="9" t="s">
        <v>246</v>
      </c>
      <c r="J73" s="104">
        <f>L64/M17</f>
        <v>0.97385194775600004</v>
      </c>
      <c r="K73" s="89"/>
      <c r="P73" s="9" t="s">
        <v>246</v>
      </c>
      <c r="Q73" s="104">
        <f>S64/T17</f>
        <v>0.97385194775600004</v>
      </c>
      <c r="R73" s="89"/>
      <c r="W73" s="9" t="s">
        <v>246</v>
      </c>
      <c r="X73" s="104">
        <f>Z64/AA17</f>
        <v>0.97385194775599992</v>
      </c>
      <c r="Y73" s="89"/>
      <c r="AD73" s="9" t="s">
        <v>246</v>
      </c>
      <c r="AE73" s="104" t="e">
        <f>AG64/AH17</f>
        <v>#DIV/0!</v>
      </c>
      <c r="AF73" s="89"/>
      <c r="AK73" s="9" t="s">
        <v>246</v>
      </c>
      <c r="AL73" s="104" t="e">
        <f>AN64/AO17</f>
        <v>#DIV/0!</v>
      </c>
      <c r="AM73" s="89"/>
      <c r="AR73" s="9" t="s">
        <v>246</v>
      </c>
      <c r="AS73" s="104" t="e">
        <f>AU64/AV17</f>
        <v>#DIV/0!</v>
      </c>
      <c r="AT73" s="89"/>
      <c r="AY73" s="9" t="s">
        <v>246</v>
      </c>
      <c r="AZ73" s="104" t="e">
        <f>BB64/BC17</f>
        <v>#DIV/0!</v>
      </c>
      <c r="BA73" s="89"/>
      <c r="BF73" s="9" t="s">
        <v>246</v>
      </c>
      <c r="BG73" s="104" t="e">
        <f>BI64/BJ17</f>
        <v>#DIV/0!</v>
      </c>
      <c r="BH73" s="89"/>
      <c r="BM73" s="9" t="s">
        <v>246</v>
      </c>
      <c r="BN73" s="104" t="e">
        <f>BP64/BQ17</f>
        <v>#DIV/0!</v>
      </c>
      <c r="BO73" s="89"/>
    </row>
    <row r="74" spans="2:69" x14ac:dyDescent="0.35">
      <c r="B74" s="9" t="s">
        <v>247</v>
      </c>
      <c r="C74" s="104">
        <f>E51/F17</f>
        <v>2.2932420740380426</v>
      </c>
      <c r="D74" s="85"/>
      <c r="I74" s="9" t="s">
        <v>247</v>
      </c>
      <c r="J74" s="104">
        <f>L51/M17</f>
        <v>2.1994758772136338</v>
      </c>
      <c r="K74" s="85"/>
      <c r="P74" s="9" t="s">
        <v>247</v>
      </c>
      <c r="Q74" s="104">
        <f>S51/T17</f>
        <v>2.1369650793306953</v>
      </c>
      <c r="R74" s="85"/>
      <c r="W74" s="9" t="s">
        <v>247</v>
      </c>
      <c r="X74" s="104">
        <f>Z51/AA17</f>
        <v>2.0923145094143094</v>
      </c>
      <c r="Y74" s="85"/>
      <c r="AD74" s="9" t="s">
        <v>247</v>
      </c>
      <c r="AE74" s="104" t="e">
        <f>AG51/AH17</f>
        <v>#DIV/0!</v>
      </c>
      <c r="AF74" s="85"/>
      <c r="AK74" s="9" t="s">
        <v>247</v>
      </c>
      <c r="AL74" s="104" t="e">
        <f>AN51/AO17</f>
        <v>#DIV/0!</v>
      </c>
      <c r="AM74" s="85"/>
      <c r="AR74" s="9" t="s">
        <v>247</v>
      </c>
      <c r="AS74" s="104" t="e">
        <f>AU51/AV17</f>
        <v>#DIV/0!</v>
      </c>
      <c r="AT74" s="85"/>
      <c r="AY74" s="9" t="s">
        <v>247</v>
      </c>
      <c r="AZ74" s="104" t="e">
        <f>BB51/BC17</f>
        <v>#DIV/0!</v>
      </c>
      <c r="BA74" s="85"/>
      <c r="BF74" s="9" t="s">
        <v>247</v>
      </c>
      <c r="BG74" s="104" t="e">
        <f>BI51/BJ17</f>
        <v>#DIV/0!</v>
      </c>
      <c r="BH74" s="85"/>
      <c r="BM74" s="9" t="s">
        <v>247</v>
      </c>
      <c r="BN74" s="104" t="e">
        <f>BP51/BQ17</f>
        <v>#DIV/0!</v>
      </c>
      <c r="BO74" s="85"/>
    </row>
    <row r="75" spans="2:69" x14ac:dyDescent="0.35">
      <c r="C75" s="85"/>
      <c r="J75" s="85"/>
      <c r="Q75" s="85"/>
      <c r="X75" s="85"/>
      <c r="AE75" s="85"/>
      <c r="AL75" s="85"/>
      <c r="AS75" s="85"/>
      <c r="AZ75" s="85"/>
      <c r="BG75" s="85"/>
      <c r="BN75" s="85"/>
    </row>
    <row r="76" spans="2:69" x14ac:dyDescent="0.35">
      <c r="B76" s="9"/>
      <c r="D76" s="89"/>
      <c r="I76" s="9"/>
      <c r="K76" s="89"/>
      <c r="P76" s="9"/>
      <c r="R76" s="89"/>
      <c r="W76" s="9"/>
      <c r="Y76" s="89"/>
      <c r="AD76" s="9"/>
      <c r="AF76" s="89"/>
      <c r="AK76" s="9"/>
      <c r="AM76" s="89"/>
      <c r="AR76" s="9"/>
      <c r="AT76" s="89"/>
      <c r="AY76" s="9"/>
      <c r="BA76" s="89"/>
      <c r="BF76" s="9"/>
      <c r="BH76" s="89"/>
      <c r="BM76" s="9"/>
      <c r="BO76" s="89"/>
    </row>
  </sheetData>
  <mergeCells count="20">
    <mergeCell ref="AL34:AM34"/>
    <mergeCell ref="C27:D27"/>
    <mergeCell ref="J27:K27"/>
    <mergeCell ref="Q27:R27"/>
    <mergeCell ref="X27:Y27"/>
    <mergeCell ref="AE27:AF27"/>
    <mergeCell ref="AL27:AM27"/>
    <mergeCell ref="C34:D34"/>
    <mergeCell ref="J34:K34"/>
    <mergeCell ref="Q34:R34"/>
    <mergeCell ref="X34:Y34"/>
    <mergeCell ref="AE34:AF34"/>
    <mergeCell ref="AS34:AT34"/>
    <mergeCell ref="AZ34:BA34"/>
    <mergeCell ref="BG34:BH34"/>
    <mergeCell ref="BN34:BO34"/>
    <mergeCell ref="AS27:AT27"/>
    <mergeCell ref="AZ27:BA27"/>
    <mergeCell ref="BG27:BH27"/>
    <mergeCell ref="BN27:BO27"/>
  </mergeCells>
  <pageMargins left="0.7" right="0.7" top="0.75" bottom="0.75" header="0.3" footer="0.3"/>
  <pageSetup scale="48" orientation="landscape" r:id="rId1"/>
  <headerFooter>
    <oddFooter>&amp;L&amp;Z&amp;F&amp;A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BR76"/>
  <sheetViews>
    <sheetView topLeftCell="A43" zoomScaleNormal="100" workbookViewId="0">
      <selection activeCell="E29" sqref="E29"/>
    </sheetView>
  </sheetViews>
  <sheetFormatPr defaultColWidth="9.1796875" defaultRowHeight="14.5" x14ac:dyDescent="0.35"/>
  <cols>
    <col min="1" max="1" width="1.453125" customWidth="1"/>
    <col min="2" max="2" width="27.1796875" customWidth="1"/>
    <col min="3" max="3" width="17.81640625" bestFit="1" customWidth="1"/>
    <col min="4" max="4" width="14.26953125" customWidth="1"/>
    <col min="5" max="5" width="18.7265625" bestFit="1" customWidth="1"/>
    <col min="6" max="6" width="13.81640625" bestFit="1" customWidth="1"/>
    <col min="7" max="7" width="15" bestFit="1" customWidth="1"/>
    <col min="8" max="8" width="2.453125" customWidth="1"/>
    <col min="9" max="9" width="27.1796875" customWidth="1"/>
    <col min="10" max="10" width="17.81640625" bestFit="1" customWidth="1"/>
    <col min="11" max="11" width="14.26953125" customWidth="1"/>
    <col min="12" max="12" width="22.7265625" bestFit="1" customWidth="1"/>
    <col min="13" max="13" width="13.81640625" bestFit="1" customWidth="1"/>
    <col min="14" max="14" width="15" bestFit="1" customWidth="1"/>
    <col min="15" max="15" width="3.1796875" customWidth="1"/>
    <col min="16" max="16" width="27.1796875" customWidth="1"/>
    <col min="17" max="17" width="17.81640625" bestFit="1" customWidth="1"/>
    <col min="18" max="18" width="14.26953125" customWidth="1"/>
    <col min="19" max="19" width="22.7265625" bestFit="1" customWidth="1"/>
    <col min="20" max="20" width="13.81640625" bestFit="1" customWidth="1"/>
    <col min="21" max="21" width="15" bestFit="1" customWidth="1"/>
    <col min="22" max="22" width="3.1796875" customWidth="1"/>
    <col min="23" max="23" width="27.1796875" customWidth="1"/>
    <col min="24" max="24" width="17.81640625" bestFit="1" customWidth="1"/>
    <col min="25" max="25" width="14.26953125" customWidth="1"/>
    <col min="26" max="26" width="22.7265625" bestFit="1" customWidth="1"/>
    <col min="27" max="27" width="13.81640625" bestFit="1" customWidth="1"/>
    <col min="28" max="28" width="15" bestFit="1" customWidth="1"/>
    <col min="29" max="29" width="3.1796875" customWidth="1"/>
    <col min="30" max="30" width="27.1796875" customWidth="1"/>
    <col min="31" max="31" width="17.81640625" bestFit="1" customWidth="1"/>
    <col min="32" max="32" width="14.26953125" customWidth="1"/>
    <col min="33" max="33" width="22.7265625" bestFit="1" customWidth="1"/>
    <col min="34" max="34" width="13.81640625" bestFit="1" customWidth="1"/>
    <col min="35" max="35" width="15" bestFit="1" customWidth="1"/>
    <col min="36" max="36" width="3.1796875" customWidth="1"/>
    <col min="37" max="37" width="27.1796875" customWidth="1"/>
    <col min="38" max="38" width="17.81640625" bestFit="1" customWidth="1"/>
    <col min="39" max="39" width="14.26953125" customWidth="1"/>
    <col min="40" max="40" width="22.7265625" bestFit="1" customWidth="1"/>
    <col min="41" max="41" width="13.81640625" bestFit="1" customWidth="1"/>
    <col min="42" max="42" width="15" bestFit="1" customWidth="1"/>
    <col min="43" max="43" width="3.1796875" customWidth="1"/>
    <col min="44" max="44" width="27.1796875" customWidth="1"/>
    <col min="45" max="45" width="17.81640625" bestFit="1" customWidth="1"/>
    <col min="46" max="46" width="14.26953125" customWidth="1"/>
    <col min="47" max="47" width="22.7265625" bestFit="1" customWidth="1"/>
    <col min="48" max="48" width="13.81640625" bestFit="1" customWidth="1"/>
    <col min="49" max="49" width="15" bestFit="1" customWidth="1"/>
    <col min="50" max="50" width="3.1796875" customWidth="1"/>
    <col min="51" max="51" width="27.1796875" customWidth="1"/>
    <col min="52" max="52" width="17.81640625" bestFit="1" customWidth="1"/>
    <col min="53" max="53" width="14.26953125" customWidth="1"/>
    <col min="54" max="54" width="22.7265625" bestFit="1" customWidth="1"/>
    <col min="55" max="55" width="13.81640625" bestFit="1" customWidth="1"/>
    <col min="56" max="56" width="15" bestFit="1" customWidth="1"/>
    <col min="57" max="57" width="3.1796875" customWidth="1"/>
    <col min="58" max="58" width="27.1796875" customWidth="1"/>
    <col min="59" max="59" width="17.81640625" bestFit="1" customWidth="1"/>
    <col min="60" max="60" width="14.26953125" customWidth="1"/>
    <col min="61" max="61" width="22.7265625" bestFit="1" customWidth="1"/>
    <col min="62" max="62" width="13.81640625" bestFit="1" customWidth="1"/>
    <col min="63" max="63" width="15" bestFit="1" customWidth="1"/>
    <col min="64" max="64" width="3.1796875" customWidth="1"/>
    <col min="65" max="65" width="27.1796875" customWidth="1"/>
    <col min="66" max="66" width="17.81640625" bestFit="1" customWidth="1"/>
    <col min="67" max="67" width="14.26953125" customWidth="1"/>
    <col min="68" max="68" width="22.7265625" bestFit="1" customWidth="1"/>
    <col min="69" max="69" width="13.81640625" bestFit="1" customWidth="1"/>
    <col min="70" max="70" width="15" bestFit="1" customWidth="1"/>
  </cols>
  <sheetData>
    <row r="1" spans="2:70" ht="15" thickBot="1" x14ac:dyDescent="0.4">
      <c r="B1" s="107" t="s">
        <v>73</v>
      </c>
      <c r="C1" s="108">
        <v>1</v>
      </c>
      <c r="I1" s="107" t="s">
        <v>73</v>
      </c>
      <c r="J1" s="108">
        <v>2</v>
      </c>
      <c r="P1" s="107" t="s">
        <v>73</v>
      </c>
      <c r="Q1" s="108">
        <v>3</v>
      </c>
      <c r="W1" s="107" t="s">
        <v>73</v>
      </c>
      <c r="X1" s="108">
        <v>4</v>
      </c>
      <c r="AD1" s="107" t="s">
        <v>73</v>
      </c>
      <c r="AE1" s="108">
        <v>5</v>
      </c>
      <c r="AK1" s="107" t="s">
        <v>73</v>
      </c>
      <c r="AL1" s="108">
        <v>6</v>
      </c>
      <c r="AR1" s="107" t="s">
        <v>73</v>
      </c>
      <c r="AS1" s="108">
        <v>7</v>
      </c>
      <c r="AY1" s="107" t="s">
        <v>73</v>
      </c>
      <c r="AZ1" s="125">
        <v>8</v>
      </c>
      <c r="BF1" s="107" t="s">
        <v>73</v>
      </c>
      <c r="BG1" s="125">
        <v>9</v>
      </c>
      <c r="BM1" s="107" t="s">
        <v>73</v>
      </c>
      <c r="BN1" s="125">
        <v>10</v>
      </c>
    </row>
    <row r="2" spans="2:70" x14ac:dyDescent="0.35">
      <c r="B2" t="s">
        <v>74</v>
      </c>
      <c r="C2" s="106">
        <f>+Assumptions!$K$28</f>
        <v>0.05</v>
      </c>
      <c r="I2" t="s">
        <v>74</v>
      </c>
      <c r="J2" s="106">
        <f>+Assumptions!$L$28</f>
        <v>0.08</v>
      </c>
      <c r="P2" t="s">
        <v>74</v>
      </c>
      <c r="Q2" s="106">
        <f>+Assumptions!$M$28</f>
        <v>0.12</v>
      </c>
      <c r="W2" t="s">
        <v>74</v>
      </c>
      <c r="X2" s="106">
        <f>+Assumptions!$N$28</f>
        <v>0.2</v>
      </c>
      <c r="AD2" t="s">
        <v>74</v>
      </c>
      <c r="AE2" s="106">
        <f>+Assumptions!$O$28</f>
        <v>0</v>
      </c>
      <c r="AK2" t="s">
        <v>74</v>
      </c>
      <c r="AL2" s="106">
        <f>+Assumptions!$P$28</f>
        <v>0</v>
      </c>
      <c r="AR2" t="s">
        <v>74</v>
      </c>
      <c r="AS2" s="106">
        <f>+Assumptions!$Q$28</f>
        <v>0</v>
      </c>
      <c r="AY2" t="s">
        <v>74</v>
      </c>
      <c r="AZ2" s="106">
        <f>+Assumptions!$R$28</f>
        <v>0</v>
      </c>
      <c r="BF2" t="s">
        <v>74</v>
      </c>
      <c r="BG2" s="106">
        <f>+Assumptions!$S$28</f>
        <v>0</v>
      </c>
      <c r="BM2" t="s">
        <v>74</v>
      </c>
      <c r="BN2" s="106">
        <f>+Assumptions!$T$28</f>
        <v>0</v>
      </c>
    </row>
    <row r="3" spans="2:70" x14ac:dyDescent="0.35">
      <c r="B3" t="s">
        <v>206</v>
      </c>
      <c r="C3" s="98">
        <f>F17*12</f>
        <v>17344.800000000003</v>
      </c>
      <c r="I3" t="s">
        <v>206</v>
      </c>
      <c r="J3" s="98">
        <f>M17*12</f>
        <v>27751.679999999993</v>
      </c>
      <c r="P3" t="s">
        <v>206</v>
      </c>
      <c r="Q3" s="98">
        <f>T17*12</f>
        <v>41627.51999999999</v>
      </c>
      <c r="W3" t="s">
        <v>206</v>
      </c>
      <c r="X3" s="98">
        <f>AA17*12</f>
        <v>69379.200000000012</v>
      </c>
      <c r="AD3" t="s">
        <v>206</v>
      </c>
      <c r="AE3" s="98">
        <f>AH17*12</f>
        <v>0</v>
      </c>
      <c r="AK3" t="s">
        <v>206</v>
      </c>
      <c r="AL3" s="98">
        <f>AO17*12</f>
        <v>0</v>
      </c>
      <c r="AR3" t="s">
        <v>206</v>
      </c>
      <c r="AS3" s="98">
        <f>AV17*12</f>
        <v>0</v>
      </c>
      <c r="AY3" t="s">
        <v>206</v>
      </c>
      <c r="AZ3" s="98">
        <f>BC17*12</f>
        <v>0</v>
      </c>
      <c r="BF3" t="s">
        <v>206</v>
      </c>
      <c r="BG3" s="98">
        <f>BJ17*12</f>
        <v>0</v>
      </c>
      <c r="BM3" t="s">
        <v>206</v>
      </c>
      <c r="BN3" s="98">
        <f>BQ17*12</f>
        <v>0</v>
      </c>
    </row>
    <row r="4" spans="2:70" x14ac:dyDescent="0.35">
      <c r="B4" t="s">
        <v>207</v>
      </c>
      <c r="C4" s="99">
        <f>+F14</f>
        <v>27.719999999999995</v>
      </c>
      <c r="I4" t="s">
        <v>207</v>
      </c>
      <c r="J4" s="99">
        <f>+M14</f>
        <v>27.719999999999995</v>
      </c>
      <c r="P4" t="s">
        <v>207</v>
      </c>
      <c r="Q4" s="99">
        <f>+T14</f>
        <v>27.719999999999995</v>
      </c>
      <c r="W4" t="s">
        <v>207</v>
      </c>
      <c r="X4" s="99">
        <f>+AA14</f>
        <v>27.719999999999995</v>
      </c>
      <c r="AD4" t="s">
        <v>207</v>
      </c>
      <c r="AE4" s="99">
        <f>+AH14</f>
        <v>27.719999999999995</v>
      </c>
      <c r="AK4" t="s">
        <v>207</v>
      </c>
      <c r="AL4" s="99">
        <f>+AO14</f>
        <v>27.719999999999995</v>
      </c>
      <c r="AR4" t="s">
        <v>207</v>
      </c>
      <c r="AS4" s="99">
        <f>+AV14</f>
        <v>27.719999999999995</v>
      </c>
      <c r="AY4" t="s">
        <v>207</v>
      </c>
      <c r="AZ4" s="99">
        <f>+BC14</f>
        <v>27.719999999999995</v>
      </c>
      <c r="BF4" t="s">
        <v>207</v>
      </c>
      <c r="BG4" s="99">
        <f>+BJ14</f>
        <v>27.719999999999995</v>
      </c>
      <c r="BM4" t="s">
        <v>207</v>
      </c>
      <c r="BN4" s="99">
        <f>+BQ14</f>
        <v>27.719999999999995</v>
      </c>
    </row>
    <row r="5" spans="2:70" x14ac:dyDescent="0.35">
      <c r="C5" s="99"/>
      <c r="J5" s="99"/>
      <c r="Q5" s="99"/>
      <c r="X5" s="99"/>
      <c r="AE5" s="99"/>
      <c r="AL5" s="99"/>
      <c r="AS5" s="99"/>
      <c r="AZ5" s="99"/>
      <c r="BG5" s="99"/>
      <c r="BN5" s="99"/>
    </row>
    <row r="6" spans="2:70" x14ac:dyDescent="0.35">
      <c r="B6" s="26" t="s">
        <v>208</v>
      </c>
      <c r="C6" s="92">
        <f>+E29</f>
        <v>17526.164799999999</v>
      </c>
      <c r="D6" s="143"/>
      <c r="I6" s="26" t="s">
        <v>208</v>
      </c>
      <c r="J6" s="92">
        <f>+L29</f>
        <v>17526.164799999999</v>
      </c>
      <c r="K6" s="143"/>
      <c r="P6" s="26" t="s">
        <v>208</v>
      </c>
      <c r="Q6" s="92">
        <f>+S29</f>
        <v>17526.164799999999</v>
      </c>
      <c r="R6" s="143"/>
      <c r="W6" s="26" t="s">
        <v>208</v>
      </c>
      <c r="X6" s="92">
        <f>+Z29</f>
        <v>17526.164799999999</v>
      </c>
      <c r="Y6" s="143"/>
      <c r="AD6" s="26" t="s">
        <v>208</v>
      </c>
      <c r="AE6" s="92">
        <f>+AG29</f>
        <v>17526.164799999999</v>
      </c>
      <c r="AF6" s="143"/>
      <c r="AK6" s="26" t="s">
        <v>208</v>
      </c>
      <c r="AL6" s="92">
        <f>+AN29</f>
        <v>17526.164799999999</v>
      </c>
      <c r="AM6" s="143"/>
      <c r="AR6" s="26" t="s">
        <v>208</v>
      </c>
      <c r="AS6" s="92">
        <f>+AU29</f>
        <v>17526.164799999999</v>
      </c>
      <c r="AT6" s="143"/>
      <c r="AY6" s="26" t="s">
        <v>208</v>
      </c>
      <c r="AZ6" s="92">
        <f>+BB29</f>
        <v>17526.164799999999</v>
      </c>
      <c r="BA6" s="143"/>
      <c r="BF6" s="26" t="s">
        <v>208</v>
      </c>
      <c r="BG6" s="92">
        <f>+BI29</f>
        <v>17526.164799999999</v>
      </c>
      <c r="BH6" s="143"/>
      <c r="BM6" s="26" t="s">
        <v>208</v>
      </c>
      <c r="BN6" s="92">
        <f>+BP29</f>
        <v>17526.164799999999</v>
      </c>
      <c r="BO6" s="143"/>
    </row>
    <row r="7" spans="2:70" x14ac:dyDescent="0.35">
      <c r="B7" s="26" t="s">
        <v>209</v>
      </c>
      <c r="C7" s="92">
        <f>+E30</f>
        <v>364.24080000000009</v>
      </c>
      <c r="D7" s="143"/>
      <c r="I7" s="26" t="s">
        <v>209</v>
      </c>
      <c r="J7" s="92">
        <f>+L30</f>
        <v>582.78527999999983</v>
      </c>
      <c r="K7" s="143"/>
      <c r="P7" s="26" t="s">
        <v>209</v>
      </c>
      <c r="Q7" s="92">
        <f>+S30</f>
        <v>874.17791999999986</v>
      </c>
      <c r="R7" s="143"/>
      <c r="W7" s="26" t="s">
        <v>209</v>
      </c>
      <c r="X7" s="92">
        <f>+Z30</f>
        <v>1456.9632000000004</v>
      </c>
      <c r="Y7" s="143"/>
      <c r="AD7" s="26" t="s">
        <v>209</v>
      </c>
      <c r="AE7" s="92">
        <f>+AG30</f>
        <v>0</v>
      </c>
      <c r="AF7" s="143"/>
      <c r="AK7" s="26" t="s">
        <v>209</v>
      </c>
      <c r="AL7" s="92">
        <f>+AN30</f>
        <v>0</v>
      </c>
      <c r="AM7" s="143"/>
      <c r="AR7" s="26" t="s">
        <v>209</v>
      </c>
      <c r="AS7" s="92">
        <f>+AU30</f>
        <v>0</v>
      </c>
      <c r="AT7" s="143"/>
      <c r="AY7" s="26" t="s">
        <v>209</v>
      </c>
      <c r="AZ7" s="92">
        <f>+BB30</f>
        <v>0</v>
      </c>
      <c r="BA7" s="143"/>
      <c r="BF7" s="26" t="s">
        <v>209</v>
      </c>
      <c r="BG7" s="92">
        <f>+BI30</f>
        <v>0</v>
      </c>
      <c r="BH7" s="143"/>
      <c r="BM7" s="26" t="s">
        <v>209</v>
      </c>
      <c r="BN7" s="92">
        <f>+BP30</f>
        <v>0</v>
      </c>
      <c r="BO7" s="143"/>
    </row>
    <row r="8" spans="2:70" x14ac:dyDescent="0.35">
      <c r="B8" s="1" t="s">
        <v>210</v>
      </c>
      <c r="C8" s="124">
        <f>+E64</f>
        <v>4229.5333884605579</v>
      </c>
      <c r="D8" s="143"/>
      <c r="I8" s="1" t="s">
        <v>210</v>
      </c>
      <c r="J8" s="124">
        <f>+L64</f>
        <v>4691.3608765583358</v>
      </c>
      <c r="K8" s="143"/>
      <c r="P8" s="1" t="s">
        <v>210</v>
      </c>
      <c r="Q8" s="124">
        <f>+S64</f>
        <v>5307.1308606887033</v>
      </c>
      <c r="R8" s="143"/>
      <c r="W8" s="1" t="s">
        <v>210</v>
      </c>
      <c r="X8" s="124">
        <f>+Z64</f>
        <v>6538.67082894944</v>
      </c>
      <c r="Y8" s="143"/>
      <c r="AD8" s="1" t="s">
        <v>210</v>
      </c>
      <c r="AE8" s="124">
        <f>+AG64</f>
        <v>3459.8209082975982</v>
      </c>
      <c r="AF8" s="143"/>
      <c r="AK8" s="1" t="s">
        <v>210</v>
      </c>
      <c r="AL8" s="124">
        <f>+AN64</f>
        <v>3459.8209082975982</v>
      </c>
      <c r="AM8" s="143"/>
      <c r="AR8" s="1" t="s">
        <v>210</v>
      </c>
      <c r="AS8" s="124">
        <f>+AU64</f>
        <v>3459.8209082975982</v>
      </c>
      <c r="AT8" s="143"/>
      <c r="AY8" s="1" t="s">
        <v>210</v>
      </c>
      <c r="AZ8" s="124">
        <f>+BB64</f>
        <v>3459.8209082975982</v>
      </c>
      <c r="BA8" s="143"/>
      <c r="BF8" s="1" t="s">
        <v>210</v>
      </c>
      <c r="BG8" s="124">
        <f>+BI64</f>
        <v>3459.8209082975982</v>
      </c>
      <c r="BH8" s="143"/>
      <c r="BM8" s="1" t="s">
        <v>210</v>
      </c>
      <c r="BN8" s="124">
        <f>+BP64</f>
        <v>3459.8209082975982</v>
      </c>
      <c r="BO8" s="143"/>
    </row>
    <row r="9" spans="2:70" x14ac:dyDescent="0.35">
      <c r="B9" s="1" t="s">
        <v>211</v>
      </c>
      <c r="C9" s="114">
        <f>+E67+E46+E50+E31</f>
        <v>3060.3597720022731</v>
      </c>
      <c r="D9" s="143"/>
      <c r="I9" s="1" t="s">
        <v>211</v>
      </c>
      <c r="J9" s="114">
        <f>+L67+L46+L50+L31</f>
        <v>3471.0280565322691</v>
      </c>
      <c r="K9" s="143"/>
      <c r="P9" s="1" t="s">
        <v>211</v>
      </c>
      <c r="Q9" s="114">
        <f>+S67+S46+S50+S31</f>
        <v>4018.5857692389304</v>
      </c>
      <c r="R9" s="143"/>
      <c r="W9" s="1" t="s">
        <v>211</v>
      </c>
      <c r="X9" s="114">
        <f>+Z67+Z46+Z50+Z31</f>
        <v>5113.7011946522543</v>
      </c>
      <c r="Y9" s="143"/>
      <c r="AD9" s="1" t="s">
        <v>211</v>
      </c>
      <c r="AE9" s="114">
        <f>+AG67+AG46+AG50+AG31</f>
        <v>2375.9126311189457</v>
      </c>
      <c r="AF9" s="143"/>
      <c r="AK9" s="1" t="s">
        <v>211</v>
      </c>
      <c r="AL9" s="114">
        <f>+AN67+AN46+AN50+AN31</f>
        <v>2375.9126311189457</v>
      </c>
      <c r="AM9" s="143"/>
      <c r="AR9" s="1" t="s">
        <v>211</v>
      </c>
      <c r="AS9" s="114">
        <f>+AU67+AU46+AU50+AU31</f>
        <v>2375.9126311189457</v>
      </c>
      <c r="AT9" s="143"/>
      <c r="AY9" s="1" t="s">
        <v>211</v>
      </c>
      <c r="AZ9" s="114">
        <f>+BB67+BB46+BB50+BB31</f>
        <v>2375.9126311189457</v>
      </c>
      <c r="BA9" s="143"/>
      <c r="BF9" s="1" t="s">
        <v>211</v>
      </c>
      <c r="BG9" s="114">
        <f>+BI67+BI46+BI50+BI31</f>
        <v>2375.9126311189457</v>
      </c>
      <c r="BH9" s="143"/>
      <c r="BM9" s="1" t="s">
        <v>211</v>
      </c>
      <c r="BN9" s="114">
        <f>+BP67+BP46+BP50+BP31</f>
        <v>2375.9126311189457</v>
      </c>
      <c r="BO9" s="143"/>
    </row>
    <row r="10" spans="2:70" x14ac:dyDescent="0.35">
      <c r="B10" s="1"/>
      <c r="C10" s="92">
        <f>+SUM(C6:C9)</f>
        <v>25180.298760462829</v>
      </c>
      <c r="D10" s="143"/>
      <c r="I10" s="1"/>
      <c r="J10" s="92">
        <f>+SUM(J6:J9)</f>
        <v>26271.339013090605</v>
      </c>
      <c r="K10" s="143"/>
      <c r="P10" s="1"/>
      <c r="Q10" s="92">
        <f>+SUM(Q6:Q9)</f>
        <v>27726.059349927629</v>
      </c>
      <c r="R10" s="143"/>
      <c r="W10" s="1"/>
      <c r="X10" s="92">
        <f>+SUM(X6:X9)</f>
        <v>30635.500023601693</v>
      </c>
      <c r="Y10" s="143"/>
      <c r="AD10" s="1"/>
      <c r="AE10" s="92">
        <f>+SUM(AE6:AE9)</f>
        <v>23361.898339416544</v>
      </c>
      <c r="AF10" s="143"/>
      <c r="AK10" s="1"/>
      <c r="AL10" s="92">
        <f>+SUM(AL6:AL9)</f>
        <v>23361.898339416544</v>
      </c>
      <c r="AM10" s="143"/>
      <c r="AR10" s="1"/>
      <c r="AS10" s="92">
        <f>+SUM(AS6:AS9)</f>
        <v>23361.898339416544</v>
      </c>
      <c r="AT10" s="143"/>
      <c r="AY10" s="1"/>
      <c r="AZ10" s="92">
        <f>+SUM(AZ6:AZ9)</f>
        <v>23361.898339416544</v>
      </c>
      <c r="BA10" s="143"/>
      <c r="BF10" s="1"/>
      <c r="BG10" s="92">
        <f>+SUM(BG6:BG9)</f>
        <v>23361.898339416544</v>
      </c>
      <c r="BH10" s="143"/>
      <c r="BM10" s="1"/>
      <c r="BN10" s="92">
        <f>+SUM(BN6:BN9)</f>
        <v>23361.898339416544</v>
      </c>
      <c r="BO10" s="143"/>
    </row>
    <row r="12" spans="2:70" x14ac:dyDescent="0.35">
      <c r="B12" s="191" t="s">
        <v>212</v>
      </c>
      <c r="C12" s="192"/>
      <c r="D12" s="193"/>
      <c r="E12" s="193"/>
      <c r="F12" s="194"/>
      <c r="G12" s="202"/>
      <c r="I12" s="191" t="s">
        <v>212</v>
      </c>
      <c r="J12" s="192"/>
      <c r="K12" s="193"/>
      <c r="L12" s="193"/>
      <c r="M12" s="194"/>
      <c r="N12" s="202"/>
      <c r="P12" s="191" t="s">
        <v>212</v>
      </c>
      <c r="Q12" s="192"/>
      <c r="R12" s="193"/>
      <c r="S12" s="193"/>
      <c r="T12" s="194"/>
      <c r="U12" s="202"/>
      <c r="W12" s="191" t="s">
        <v>212</v>
      </c>
      <c r="X12" s="192"/>
      <c r="Y12" s="193"/>
      <c r="Z12" s="193"/>
      <c r="AA12" s="194"/>
      <c r="AB12" s="202"/>
      <c r="AD12" s="191" t="s">
        <v>212</v>
      </c>
      <c r="AE12" s="192"/>
      <c r="AF12" s="193"/>
      <c r="AG12" s="193"/>
      <c r="AH12" s="194"/>
      <c r="AI12" s="202"/>
      <c r="AK12" s="191" t="s">
        <v>212</v>
      </c>
      <c r="AL12" s="192"/>
      <c r="AM12" s="193"/>
      <c r="AN12" s="193"/>
      <c r="AO12" s="194"/>
      <c r="AP12" s="202"/>
      <c r="AR12" s="191" t="s">
        <v>212</v>
      </c>
      <c r="AS12" s="192"/>
      <c r="AT12" s="193"/>
      <c r="AU12" s="193"/>
      <c r="AV12" s="194"/>
      <c r="AW12" s="202"/>
      <c r="AY12" s="191" t="s">
        <v>212</v>
      </c>
      <c r="AZ12" s="192"/>
      <c r="BA12" s="193"/>
      <c r="BB12" s="193"/>
      <c r="BC12" s="194"/>
      <c r="BD12" s="202"/>
      <c r="BF12" s="191" t="s">
        <v>212</v>
      </c>
      <c r="BG12" s="192"/>
      <c r="BH12" s="193"/>
      <c r="BI12" s="193"/>
      <c r="BJ12" s="194"/>
      <c r="BK12" s="202"/>
      <c r="BM12" s="191" t="s">
        <v>212</v>
      </c>
      <c r="BN12" s="192"/>
      <c r="BO12" s="193"/>
      <c r="BP12" s="193"/>
      <c r="BQ12" s="194"/>
      <c r="BR12" s="202"/>
    </row>
    <row r="13" spans="2:70" x14ac:dyDescent="0.35">
      <c r="B13" s="312" t="s">
        <v>213</v>
      </c>
      <c r="C13" s="312" t="s">
        <v>214</v>
      </c>
      <c r="D13" s="312" t="s">
        <v>76</v>
      </c>
      <c r="E13" s="312" t="s">
        <v>215</v>
      </c>
      <c r="F13" s="312" t="s">
        <v>207</v>
      </c>
      <c r="I13" s="312" t="s">
        <v>213</v>
      </c>
      <c r="J13" s="312" t="s">
        <v>214</v>
      </c>
      <c r="K13" s="312" t="s">
        <v>76</v>
      </c>
      <c r="L13" s="312" t="s">
        <v>215</v>
      </c>
      <c r="M13" s="312" t="s">
        <v>207</v>
      </c>
      <c r="P13" s="312" t="s">
        <v>213</v>
      </c>
      <c r="Q13" s="312" t="s">
        <v>214</v>
      </c>
      <c r="R13" s="312" t="s">
        <v>76</v>
      </c>
      <c r="S13" s="312" t="s">
        <v>215</v>
      </c>
      <c r="T13" s="312" t="s">
        <v>207</v>
      </c>
      <c r="W13" s="312" t="s">
        <v>213</v>
      </c>
      <c r="X13" s="312" t="s">
        <v>214</v>
      </c>
      <c r="Y13" s="312" t="s">
        <v>76</v>
      </c>
      <c r="Z13" s="312" t="s">
        <v>215</v>
      </c>
      <c r="AA13" s="312" t="s">
        <v>207</v>
      </c>
      <c r="AD13" s="312" t="s">
        <v>213</v>
      </c>
      <c r="AE13" s="312" t="s">
        <v>214</v>
      </c>
      <c r="AF13" s="312" t="s">
        <v>76</v>
      </c>
      <c r="AG13" s="312" t="s">
        <v>215</v>
      </c>
      <c r="AH13" s="312" t="s">
        <v>207</v>
      </c>
      <c r="AK13" s="312" t="s">
        <v>213</v>
      </c>
      <c r="AL13" s="312" t="s">
        <v>214</v>
      </c>
      <c r="AM13" s="312" t="s">
        <v>76</v>
      </c>
      <c r="AN13" s="312" t="s">
        <v>215</v>
      </c>
      <c r="AO13" s="312" t="s">
        <v>207</v>
      </c>
      <c r="AR13" s="312" t="s">
        <v>213</v>
      </c>
      <c r="AS13" s="312" t="s">
        <v>214</v>
      </c>
      <c r="AT13" s="312" t="s">
        <v>76</v>
      </c>
      <c r="AU13" s="312" t="s">
        <v>215</v>
      </c>
      <c r="AV13" s="312" t="s">
        <v>207</v>
      </c>
      <c r="AY13" s="312" t="s">
        <v>213</v>
      </c>
      <c r="AZ13" s="312" t="s">
        <v>214</v>
      </c>
      <c r="BA13" s="312" t="s">
        <v>76</v>
      </c>
      <c r="BB13" s="312" t="s">
        <v>215</v>
      </c>
      <c r="BC13" s="312" t="s">
        <v>207</v>
      </c>
      <c r="BF13" s="312" t="s">
        <v>213</v>
      </c>
      <c r="BG13" s="312" t="s">
        <v>214</v>
      </c>
      <c r="BH13" s="312" t="s">
        <v>76</v>
      </c>
      <c r="BI13" s="312" t="s">
        <v>215</v>
      </c>
      <c r="BJ13" s="312" t="s">
        <v>207</v>
      </c>
      <c r="BM13" s="312" t="s">
        <v>213</v>
      </c>
      <c r="BN13" s="312" t="s">
        <v>214</v>
      </c>
      <c r="BO13" s="312" t="s">
        <v>76</v>
      </c>
      <c r="BP13" s="312" t="s">
        <v>215</v>
      </c>
      <c r="BQ13" s="312" t="s">
        <v>207</v>
      </c>
    </row>
    <row r="14" spans="2:70" x14ac:dyDescent="0.35">
      <c r="B14" s="195">
        <f>+'Utility Bills summary'!$B$14</f>
        <v>6</v>
      </c>
      <c r="C14" s="196">
        <f>+Assumptions!$C$10</f>
        <v>6.6</v>
      </c>
      <c r="D14" s="200">
        <f>+HLOOKUP(C1,Assumptions!$K$27:$T$29,3,TRUE)</f>
        <v>0.7</v>
      </c>
      <c r="E14" s="197">
        <f>+C14*D14</f>
        <v>4.6199999999999992</v>
      </c>
      <c r="F14" s="197">
        <f>+B14*E14</f>
        <v>27.719999999999995</v>
      </c>
      <c r="I14" s="195">
        <f>+B14</f>
        <v>6</v>
      </c>
      <c r="J14" s="196">
        <f>+Assumptions!$C$10</f>
        <v>6.6</v>
      </c>
      <c r="K14" s="200">
        <f>+HLOOKUP(J1,Assumptions!$K$27:$T$29,3,TRUE)</f>
        <v>0.7</v>
      </c>
      <c r="L14" s="197">
        <f>+J14*K14</f>
        <v>4.6199999999999992</v>
      </c>
      <c r="M14" s="197">
        <f>+I14*L14</f>
        <v>27.719999999999995</v>
      </c>
      <c r="P14" s="195">
        <f>+I14</f>
        <v>6</v>
      </c>
      <c r="Q14" s="196">
        <f>+Assumptions!$C$10</f>
        <v>6.6</v>
      </c>
      <c r="R14" s="200">
        <f>+HLOOKUP(Q1,Assumptions!$K$27:$T$29,3,TRUE)</f>
        <v>0.7</v>
      </c>
      <c r="S14" s="197">
        <f>+Q14*R14</f>
        <v>4.6199999999999992</v>
      </c>
      <c r="T14" s="197">
        <f>+P14*S14</f>
        <v>27.719999999999995</v>
      </c>
      <c r="W14" s="195">
        <f>+P14</f>
        <v>6</v>
      </c>
      <c r="X14" s="196">
        <f>+Assumptions!$C$10</f>
        <v>6.6</v>
      </c>
      <c r="Y14" s="200">
        <f>+HLOOKUP(X1,Assumptions!$K$27:$T$29,3,TRUE)</f>
        <v>0.7</v>
      </c>
      <c r="Z14" s="197">
        <f>+X14*Y14</f>
        <v>4.6199999999999992</v>
      </c>
      <c r="AA14" s="197">
        <f>+W14*Z14</f>
        <v>27.719999999999995</v>
      </c>
      <c r="AD14" s="195">
        <f>+W14</f>
        <v>6</v>
      </c>
      <c r="AE14" s="196">
        <f>+Assumptions!$C$10</f>
        <v>6.6</v>
      </c>
      <c r="AF14" s="200">
        <f>+HLOOKUP(AE1,Assumptions!$K$27:$T$29,3,TRUE)</f>
        <v>0.7</v>
      </c>
      <c r="AG14" s="197">
        <f>+AE14*AF14</f>
        <v>4.6199999999999992</v>
      </c>
      <c r="AH14" s="197">
        <f>+AD14*AG14</f>
        <v>27.719999999999995</v>
      </c>
      <c r="AK14" s="195">
        <f>+AD14</f>
        <v>6</v>
      </c>
      <c r="AL14" s="196">
        <f>+Assumptions!$C$10</f>
        <v>6.6</v>
      </c>
      <c r="AM14" s="200">
        <f>+HLOOKUP(AL1,Assumptions!$K$27:$T$29,3,TRUE)</f>
        <v>0.7</v>
      </c>
      <c r="AN14" s="197">
        <f>+AL14*AM14</f>
        <v>4.6199999999999992</v>
      </c>
      <c r="AO14" s="197">
        <f>+AK14*AN14</f>
        <v>27.719999999999995</v>
      </c>
      <c r="AR14" s="195">
        <f>+AK14</f>
        <v>6</v>
      </c>
      <c r="AS14" s="196">
        <f>+Assumptions!$C$10</f>
        <v>6.6</v>
      </c>
      <c r="AT14" s="200">
        <f>+HLOOKUP(AS1,Assumptions!$K$27:$T$29,3,TRUE)</f>
        <v>0.7</v>
      </c>
      <c r="AU14" s="197">
        <f>+AS14*AT14</f>
        <v>4.6199999999999992</v>
      </c>
      <c r="AV14" s="197">
        <f>+AR14*AU14</f>
        <v>27.719999999999995</v>
      </c>
      <c r="AY14" s="195">
        <f>+AR14</f>
        <v>6</v>
      </c>
      <c r="AZ14" s="196">
        <f>+Assumptions!$C$10</f>
        <v>6.6</v>
      </c>
      <c r="BA14" s="200">
        <f>+HLOOKUP(AZ1,Assumptions!$K$27:$T$29,3,TRUE)</f>
        <v>0.7</v>
      </c>
      <c r="BB14" s="197">
        <f>+AZ14*BA14</f>
        <v>4.6199999999999992</v>
      </c>
      <c r="BC14" s="197">
        <f>+AY14*BB14</f>
        <v>27.719999999999995</v>
      </c>
      <c r="BF14" s="195">
        <f>+AY14</f>
        <v>6</v>
      </c>
      <c r="BG14" s="196">
        <f>+Assumptions!$C$10</f>
        <v>6.6</v>
      </c>
      <c r="BH14" s="200">
        <f>+HLOOKUP(BG1,Assumptions!$K$27:$T$29,3,TRUE)</f>
        <v>0.7</v>
      </c>
      <c r="BI14" s="197">
        <f>+BG14*BH14</f>
        <v>4.6199999999999992</v>
      </c>
      <c r="BJ14" s="197">
        <f>+BF14*BI14</f>
        <v>27.719999999999995</v>
      </c>
      <c r="BM14" s="195">
        <f>+BF14</f>
        <v>6</v>
      </c>
      <c r="BN14" s="196">
        <f>+Assumptions!$C$10</f>
        <v>6.6</v>
      </c>
      <c r="BO14" s="200">
        <f>+HLOOKUP(BN1,Assumptions!$K$27:$T$29,3,TRUE)</f>
        <v>0.7</v>
      </c>
      <c r="BP14" s="197">
        <f>+BN14*BO14</f>
        <v>4.6199999999999992</v>
      </c>
      <c r="BQ14" s="197">
        <f>+BM14*BP14</f>
        <v>27.719999999999995</v>
      </c>
    </row>
    <row r="15" spans="2:70" x14ac:dyDescent="0.35">
      <c r="B15" s="23"/>
      <c r="E15" s="79"/>
      <c r="F15" s="79"/>
      <c r="G15" s="79"/>
      <c r="I15" s="23"/>
      <c r="L15" s="79"/>
      <c r="M15" s="79"/>
      <c r="N15" s="79"/>
      <c r="P15" s="23"/>
      <c r="S15" s="79"/>
      <c r="T15" s="79"/>
      <c r="U15" s="79"/>
      <c r="W15" s="23"/>
      <c r="Z15" s="79"/>
      <c r="AA15" s="79"/>
      <c r="AB15" s="79"/>
      <c r="AD15" s="23"/>
      <c r="AG15" s="79"/>
      <c r="AH15" s="79"/>
      <c r="AI15" s="79"/>
      <c r="AK15" s="23"/>
      <c r="AN15" s="79"/>
      <c r="AO15" s="79"/>
      <c r="AP15" s="79"/>
      <c r="AR15" s="23"/>
      <c r="AU15" s="79"/>
      <c r="AV15" s="79"/>
      <c r="AW15" s="79"/>
      <c r="AY15" s="23"/>
      <c r="BB15" s="79"/>
      <c r="BC15" s="79"/>
      <c r="BD15" s="79"/>
      <c r="BF15" s="23"/>
      <c r="BI15" s="79"/>
      <c r="BJ15" s="79"/>
      <c r="BK15" s="79"/>
      <c r="BM15" s="23"/>
      <c r="BP15" s="79"/>
      <c r="BQ15" s="79"/>
      <c r="BR15" s="79"/>
    </row>
    <row r="16" spans="2:70" x14ac:dyDescent="0.35">
      <c r="B16" s="80" t="s">
        <v>216</v>
      </c>
      <c r="C16" s="312" t="s">
        <v>214</v>
      </c>
      <c r="D16" s="81" t="s">
        <v>217</v>
      </c>
      <c r="E16" s="82" t="s">
        <v>218</v>
      </c>
      <c r="F16" s="82" t="s">
        <v>219</v>
      </c>
      <c r="I16" s="80" t="s">
        <v>216</v>
      </c>
      <c r="J16" s="312" t="s">
        <v>214</v>
      </c>
      <c r="K16" s="81" t="s">
        <v>217</v>
      </c>
      <c r="L16" s="82" t="s">
        <v>218</v>
      </c>
      <c r="M16" s="82" t="s">
        <v>219</v>
      </c>
      <c r="P16" s="80" t="s">
        <v>216</v>
      </c>
      <c r="Q16" s="312" t="s">
        <v>214</v>
      </c>
      <c r="R16" s="81" t="s">
        <v>217</v>
      </c>
      <c r="S16" s="82" t="s">
        <v>218</v>
      </c>
      <c r="T16" s="82" t="s">
        <v>219</v>
      </c>
      <c r="W16" s="80" t="s">
        <v>216</v>
      </c>
      <c r="X16" s="312" t="s">
        <v>214</v>
      </c>
      <c r="Y16" s="81" t="s">
        <v>217</v>
      </c>
      <c r="Z16" s="82" t="s">
        <v>218</v>
      </c>
      <c r="AA16" s="82" t="s">
        <v>219</v>
      </c>
      <c r="AD16" s="80" t="s">
        <v>216</v>
      </c>
      <c r="AE16" s="312" t="s">
        <v>214</v>
      </c>
      <c r="AF16" s="81" t="s">
        <v>217</v>
      </c>
      <c r="AG16" s="82" t="s">
        <v>218</v>
      </c>
      <c r="AH16" s="82" t="s">
        <v>219</v>
      </c>
      <c r="AK16" s="80" t="s">
        <v>216</v>
      </c>
      <c r="AL16" s="312" t="s">
        <v>214</v>
      </c>
      <c r="AM16" s="81" t="s">
        <v>217</v>
      </c>
      <c r="AN16" s="82" t="s">
        <v>218</v>
      </c>
      <c r="AO16" s="82" t="s">
        <v>219</v>
      </c>
      <c r="AR16" s="80" t="s">
        <v>216</v>
      </c>
      <c r="AS16" s="312" t="s">
        <v>214</v>
      </c>
      <c r="AT16" s="81" t="s">
        <v>217</v>
      </c>
      <c r="AU16" s="82" t="s">
        <v>218</v>
      </c>
      <c r="AV16" s="82" t="s">
        <v>219</v>
      </c>
      <c r="AY16" s="80" t="s">
        <v>216</v>
      </c>
      <c r="AZ16" s="312" t="s">
        <v>214</v>
      </c>
      <c r="BA16" s="81" t="s">
        <v>217</v>
      </c>
      <c r="BB16" s="82" t="s">
        <v>218</v>
      </c>
      <c r="BC16" s="82" t="s">
        <v>219</v>
      </c>
      <c r="BF16" s="80" t="s">
        <v>216</v>
      </c>
      <c r="BG16" s="312" t="s">
        <v>214</v>
      </c>
      <c r="BH16" s="81" t="s">
        <v>217</v>
      </c>
      <c r="BI16" s="82" t="s">
        <v>218</v>
      </c>
      <c r="BJ16" s="82" t="s">
        <v>219</v>
      </c>
      <c r="BM16" s="80" t="s">
        <v>216</v>
      </c>
      <c r="BN16" s="312" t="s">
        <v>214</v>
      </c>
      <c r="BO16" s="81" t="s">
        <v>217</v>
      </c>
      <c r="BP16" s="82" t="s">
        <v>218</v>
      </c>
      <c r="BQ16" s="82" t="s">
        <v>219</v>
      </c>
    </row>
    <row r="17" spans="2:70" x14ac:dyDescent="0.35">
      <c r="B17" s="198">
        <f>+C2</f>
        <v>0.05</v>
      </c>
      <c r="C17" s="197">
        <f>+C14</f>
        <v>6.6</v>
      </c>
      <c r="D17" s="199">
        <f>+B17*24</f>
        <v>1.2000000000000002</v>
      </c>
      <c r="E17" s="149">
        <f>+Assumptions!$C$12</f>
        <v>365</v>
      </c>
      <c r="F17" s="149">
        <f>(B14*C17*D17*E17)/12</f>
        <v>1445.4000000000003</v>
      </c>
      <c r="I17" s="198">
        <f>+J2</f>
        <v>0.08</v>
      </c>
      <c r="J17" s="197">
        <f>+J14</f>
        <v>6.6</v>
      </c>
      <c r="K17" s="199">
        <f>+I17*24</f>
        <v>1.92</v>
      </c>
      <c r="L17" s="149">
        <f>+Assumptions!$C$12</f>
        <v>365</v>
      </c>
      <c r="M17" s="149">
        <f>(I14*J17*K17*L17)/12</f>
        <v>2312.6399999999994</v>
      </c>
      <c r="P17" s="198">
        <f>+Q2</f>
        <v>0.12</v>
      </c>
      <c r="Q17" s="197">
        <f>+Q14</f>
        <v>6.6</v>
      </c>
      <c r="R17" s="199">
        <f>+P17*24</f>
        <v>2.88</v>
      </c>
      <c r="S17" s="149">
        <f>+Assumptions!$C$12</f>
        <v>365</v>
      </c>
      <c r="T17" s="149">
        <f>(P14*Q17*R17*S17)/12</f>
        <v>3468.9599999999991</v>
      </c>
      <c r="W17" s="198">
        <f>+X2</f>
        <v>0.2</v>
      </c>
      <c r="X17" s="197">
        <f>+X14</f>
        <v>6.6</v>
      </c>
      <c r="Y17" s="199">
        <f>+W17*24</f>
        <v>4.8000000000000007</v>
      </c>
      <c r="Z17" s="149">
        <f>+Assumptions!$C$12</f>
        <v>365</v>
      </c>
      <c r="AA17" s="149">
        <f>(W14*X17*Y17*Z17)/12</f>
        <v>5781.6000000000013</v>
      </c>
      <c r="AD17" s="198">
        <f>+AE2</f>
        <v>0</v>
      </c>
      <c r="AE17" s="197">
        <f>+AE14</f>
        <v>6.6</v>
      </c>
      <c r="AF17" s="199">
        <f>+AD17*24</f>
        <v>0</v>
      </c>
      <c r="AG17" s="149">
        <f>+Assumptions!$C$12</f>
        <v>365</v>
      </c>
      <c r="AH17" s="149">
        <f>(AD14*AE17*AF17*AG17)/12</f>
        <v>0</v>
      </c>
      <c r="AK17" s="198">
        <f>+AL2</f>
        <v>0</v>
      </c>
      <c r="AL17" s="197">
        <f>+AL14</f>
        <v>6.6</v>
      </c>
      <c r="AM17" s="199">
        <f>+AK17*24</f>
        <v>0</v>
      </c>
      <c r="AN17" s="149">
        <f>+Assumptions!$C$12</f>
        <v>365</v>
      </c>
      <c r="AO17" s="149">
        <f>(AK14*AL17*AM17*AN17)/12</f>
        <v>0</v>
      </c>
      <c r="AR17" s="198">
        <f>+AS2</f>
        <v>0</v>
      </c>
      <c r="AS17" s="197">
        <f>+AS14</f>
        <v>6.6</v>
      </c>
      <c r="AT17" s="199">
        <f>+AR17*24</f>
        <v>0</v>
      </c>
      <c r="AU17" s="149">
        <f>+Assumptions!$C$12</f>
        <v>365</v>
      </c>
      <c r="AV17" s="149">
        <f>(AR14*AS17*AT17*AU17)/12</f>
        <v>0</v>
      </c>
      <c r="AY17" s="198">
        <f>+AZ2</f>
        <v>0</v>
      </c>
      <c r="AZ17" s="197">
        <f>+AZ14</f>
        <v>6.6</v>
      </c>
      <c r="BA17" s="199">
        <f>+AY17*24</f>
        <v>0</v>
      </c>
      <c r="BB17" s="149">
        <f>+Assumptions!$C$12</f>
        <v>365</v>
      </c>
      <c r="BC17" s="149">
        <f>(AY14*AZ17*BA17*BB17)/12</f>
        <v>0</v>
      </c>
      <c r="BF17" s="198">
        <f>+BG2</f>
        <v>0</v>
      </c>
      <c r="BG17" s="197">
        <f>+BG14</f>
        <v>6.6</v>
      </c>
      <c r="BH17" s="199">
        <f>+BF17*24</f>
        <v>0</v>
      </c>
      <c r="BI17" s="149">
        <f>+Assumptions!$C$12</f>
        <v>365</v>
      </c>
      <c r="BJ17" s="149">
        <f>(BF14*BG17*BH17*BI17)/12</f>
        <v>0</v>
      </c>
      <c r="BM17" s="198">
        <f>+BN2</f>
        <v>0</v>
      </c>
      <c r="BN17" s="197">
        <f>+BN14</f>
        <v>6.6</v>
      </c>
      <c r="BO17" s="199">
        <f>+BM17*24</f>
        <v>0</v>
      </c>
      <c r="BP17" s="149">
        <f>+Assumptions!$C$12</f>
        <v>365</v>
      </c>
      <c r="BQ17" s="149">
        <f>(BM14*BN17*BO17*BP17)/12</f>
        <v>0</v>
      </c>
    </row>
    <row r="18" spans="2:70" x14ac:dyDescent="0.35">
      <c r="C18" s="63"/>
      <c r="D18" s="10"/>
      <c r="E18" s="10"/>
      <c r="J18" s="63"/>
      <c r="K18" s="10"/>
      <c r="L18" s="10"/>
      <c r="Q18" s="63"/>
      <c r="R18" s="10"/>
      <c r="S18" s="10"/>
      <c r="X18" s="63"/>
      <c r="Y18" s="10"/>
      <c r="Z18" s="10"/>
      <c r="AE18" s="63"/>
      <c r="AF18" s="10"/>
      <c r="AG18" s="10"/>
      <c r="AL18" s="63"/>
      <c r="AM18" s="10"/>
      <c r="AN18" s="10"/>
      <c r="AS18" s="63"/>
      <c r="AT18" s="10"/>
      <c r="AU18" s="10"/>
      <c r="AZ18" s="63"/>
      <c r="BA18" s="10"/>
      <c r="BB18" s="10"/>
      <c r="BG18" s="63"/>
      <c r="BH18" s="10"/>
      <c r="BI18" s="10"/>
      <c r="BN18" s="63"/>
      <c r="BO18" s="10"/>
      <c r="BP18" s="10"/>
    </row>
    <row r="19" spans="2:70" x14ac:dyDescent="0.35">
      <c r="B19" s="75" t="s">
        <v>220</v>
      </c>
      <c r="C19" s="76"/>
      <c r="D19" s="76"/>
      <c r="E19" s="76"/>
      <c r="F19" s="76"/>
      <c r="G19" s="76"/>
      <c r="I19" s="75" t="s">
        <v>220</v>
      </c>
      <c r="J19" s="76"/>
      <c r="K19" s="76"/>
      <c r="L19" s="76"/>
      <c r="M19" s="76"/>
      <c r="N19" s="76"/>
      <c r="P19" s="75" t="s">
        <v>220</v>
      </c>
      <c r="Q19" s="76"/>
      <c r="R19" s="76"/>
      <c r="S19" s="76"/>
      <c r="T19" s="76"/>
      <c r="U19" s="76"/>
      <c r="W19" s="75" t="s">
        <v>220</v>
      </c>
      <c r="X19" s="76"/>
      <c r="Y19" s="76"/>
      <c r="Z19" s="76"/>
      <c r="AA19" s="76"/>
      <c r="AB19" s="76"/>
      <c r="AD19" s="75" t="s">
        <v>220</v>
      </c>
      <c r="AE19" s="76"/>
      <c r="AF19" s="76"/>
      <c r="AG19" s="76"/>
      <c r="AH19" s="76"/>
      <c r="AI19" s="76"/>
      <c r="AK19" s="75" t="s">
        <v>220</v>
      </c>
      <c r="AL19" s="76"/>
      <c r="AM19" s="76"/>
      <c r="AN19" s="76"/>
      <c r="AO19" s="76"/>
      <c r="AP19" s="76"/>
      <c r="AR19" s="75" t="s">
        <v>220</v>
      </c>
      <c r="AS19" s="76"/>
      <c r="AT19" s="76"/>
      <c r="AU19" s="76"/>
      <c r="AV19" s="76"/>
      <c r="AW19" s="76"/>
      <c r="AY19" s="75" t="s">
        <v>220</v>
      </c>
      <c r="AZ19" s="76"/>
      <c r="BA19" s="76"/>
      <c r="BB19" s="76"/>
      <c r="BC19" s="76"/>
      <c r="BD19" s="76"/>
      <c r="BF19" s="75" t="s">
        <v>220</v>
      </c>
      <c r="BG19" s="76"/>
      <c r="BH19" s="76"/>
      <c r="BI19" s="76"/>
      <c r="BJ19" s="76"/>
      <c r="BK19" s="76"/>
      <c r="BM19" s="75" t="s">
        <v>220</v>
      </c>
      <c r="BN19" s="76"/>
      <c r="BO19" s="76"/>
      <c r="BP19" s="76"/>
      <c r="BQ19" s="76"/>
      <c r="BR19" s="76"/>
    </row>
    <row r="20" spans="2:70" s="77" customFormat="1" x14ac:dyDescent="0.35">
      <c r="B20" s="2" t="s">
        <v>221</v>
      </c>
      <c r="C20" s="312" t="s">
        <v>163</v>
      </c>
      <c r="D20" s="123" t="s">
        <v>164</v>
      </c>
      <c r="F20" s="2" t="s">
        <v>222</v>
      </c>
      <c r="G20"/>
      <c r="I20" s="2" t="s">
        <v>221</v>
      </c>
      <c r="J20" s="312" t="s">
        <v>163</v>
      </c>
      <c r="K20" s="123" t="s">
        <v>164</v>
      </c>
      <c r="M20" s="2" t="s">
        <v>222</v>
      </c>
      <c r="N20"/>
      <c r="O20"/>
      <c r="P20" s="2" t="s">
        <v>221</v>
      </c>
      <c r="Q20" s="312" t="s">
        <v>163</v>
      </c>
      <c r="R20" s="123" t="s">
        <v>164</v>
      </c>
      <c r="T20" s="2" t="s">
        <v>222</v>
      </c>
      <c r="U20"/>
      <c r="V20"/>
      <c r="W20" s="2" t="s">
        <v>221</v>
      </c>
      <c r="X20" s="312" t="s">
        <v>163</v>
      </c>
      <c r="Y20" s="123" t="s">
        <v>164</v>
      </c>
      <c r="AA20" s="2" t="s">
        <v>222</v>
      </c>
      <c r="AB20"/>
      <c r="AC20"/>
      <c r="AD20" s="2" t="s">
        <v>221</v>
      </c>
      <c r="AE20" s="312" t="s">
        <v>163</v>
      </c>
      <c r="AF20" s="123" t="s">
        <v>164</v>
      </c>
      <c r="AH20" s="2" t="s">
        <v>222</v>
      </c>
      <c r="AI20"/>
      <c r="AJ20"/>
      <c r="AK20" s="2" t="s">
        <v>221</v>
      </c>
      <c r="AL20" s="312" t="s">
        <v>163</v>
      </c>
      <c r="AM20" s="123" t="s">
        <v>164</v>
      </c>
      <c r="AO20" s="2" t="s">
        <v>222</v>
      </c>
      <c r="AP20"/>
      <c r="AQ20"/>
      <c r="AR20" s="2" t="s">
        <v>221</v>
      </c>
      <c r="AS20" s="312" t="s">
        <v>163</v>
      </c>
      <c r="AT20" s="123" t="s">
        <v>164</v>
      </c>
      <c r="AV20" s="2" t="s">
        <v>222</v>
      </c>
      <c r="AW20"/>
      <c r="AX20"/>
      <c r="AY20" s="2" t="s">
        <v>221</v>
      </c>
      <c r="AZ20" s="312" t="s">
        <v>163</v>
      </c>
      <c r="BA20" s="123" t="s">
        <v>164</v>
      </c>
      <c r="BC20" s="2" t="s">
        <v>222</v>
      </c>
      <c r="BD20"/>
      <c r="BE20"/>
      <c r="BF20" s="2" t="s">
        <v>221</v>
      </c>
      <c r="BG20" s="312" t="s">
        <v>163</v>
      </c>
      <c r="BH20" s="123" t="s">
        <v>164</v>
      </c>
      <c r="BJ20" s="2" t="s">
        <v>222</v>
      </c>
      <c r="BK20"/>
      <c r="BL20"/>
      <c r="BM20" s="2" t="s">
        <v>221</v>
      </c>
      <c r="BN20" s="312" t="s">
        <v>163</v>
      </c>
      <c r="BO20" s="123" t="s">
        <v>164</v>
      </c>
      <c r="BQ20" s="2" t="s">
        <v>222</v>
      </c>
      <c r="BR20"/>
    </row>
    <row r="21" spans="2:70" x14ac:dyDescent="0.35">
      <c r="B21" s="11" t="s">
        <v>165</v>
      </c>
      <c r="C21">
        <f>+Assumptions!$C$93</f>
        <v>205.19</v>
      </c>
      <c r="D21">
        <f>+Assumptions!$D$93</f>
        <v>165.25</v>
      </c>
      <c r="F21" t="s">
        <v>157</v>
      </c>
      <c r="G21" s="91">
        <f>+Assumptions!$C$89</f>
        <v>1.28</v>
      </c>
      <c r="I21" s="11" t="s">
        <v>165</v>
      </c>
      <c r="J21">
        <f>+Assumptions!$C$93</f>
        <v>205.19</v>
      </c>
      <c r="K21">
        <f>+Assumptions!$D$93</f>
        <v>165.25</v>
      </c>
      <c r="M21" t="s">
        <v>157</v>
      </c>
      <c r="N21" s="91">
        <f>+Assumptions!$C$89</f>
        <v>1.28</v>
      </c>
      <c r="P21" s="11" t="s">
        <v>165</v>
      </c>
      <c r="Q21">
        <f>+Assumptions!$C$93</f>
        <v>205.19</v>
      </c>
      <c r="R21">
        <f>+Assumptions!$D$93</f>
        <v>165.25</v>
      </c>
      <c r="T21" t="s">
        <v>157</v>
      </c>
      <c r="U21" s="91">
        <f>+Assumptions!$C$89</f>
        <v>1.28</v>
      </c>
      <c r="W21" s="11" t="s">
        <v>165</v>
      </c>
      <c r="X21">
        <f>+Assumptions!$C$93</f>
        <v>205.19</v>
      </c>
      <c r="Y21">
        <f>+Assumptions!$D$93</f>
        <v>165.25</v>
      </c>
      <c r="AA21" t="s">
        <v>157</v>
      </c>
      <c r="AB21" s="91">
        <f>+Assumptions!$C$89</f>
        <v>1.28</v>
      </c>
      <c r="AD21" s="11" t="s">
        <v>165</v>
      </c>
      <c r="AE21">
        <f>+Assumptions!$C$93</f>
        <v>205.19</v>
      </c>
      <c r="AF21">
        <f>+Assumptions!$D$93</f>
        <v>165.25</v>
      </c>
      <c r="AH21" t="s">
        <v>157</v>
      </c>
      <c r="AI21" s="91">
        <f>+Assumptions!$C$89</f>
        <v>1.28</v>
      </c>
      <c r="AK21" s="11" t="s">
        <v>165</v>
      </c>
      <c r="AL21">
        <f>+Assumptions!$C$93</f>
        <v>205.19</v>
      </c>
      <c r="AM21">
        <f>+Assumptions!$D$93</f>
        <v>165.25</v>
      </c>
      <c r="AO21" t="s">
        <v>157</v>
      </c>
      <c r="AP21" s="91">
        <f>+Assumptions!$C$89</f>
        <v>1.28</v>
      </c>
      <c r="AR21" s="11" t="s">
        <v>165</v>
      </c>
      <c r="AS21">
        <f>+Assumptions!$C$93</f>
        <v>205.19</v>
      </c>
      <c r="AT21">
        <f>+Assumptions!$D$93</f>
        <v>165.25</v>
      </c>
      <c r="AV21" t="s">
        <v>157</v>
      </c>
      <c r="AW21" s="91">
        <f>+Assumptions!$C$89</f>
        <v>1.28</v>
      </c>
      <c r="AY21" s="11" t="s">
        <v>165</v>
      </c>
      <c r="AZ21">
        <f>+Assumptions!$C$93</f>
        <v>205.19</v>
      </c>
      <c r="BA21">
        <f>+Assumptions!$D$93</f>
        <v>165.25</v>
      </c>
      <c r="BC21" t="s">
        <v>157</v>
      </c>
      <c r="BD21" s="91">
        <f>+Assumptions!$C$89</f>
        <v>1.28</v>
      </c>
      <c r="BF21" s="11" t="s">
        <v>165</v>
      </c>
      <c r="BG21">
        <f>+Assumptions!$C$93</f>
        <v>205.19</v>
      </c>
      <c r="BH21">
        <f>+Assumptions!$D$93</f>
        <v>165.25</v>
      </c>
      <c r="BJ21" t="s">
        <v>157</v>
      </c>
      <c r="BK21" s="91">
        <f>+Assumptions!$C$89</f>
        <v>1.28</v>
      </c>
      <c r="BM21" s="11" t="s">
        <v>165</v>
      </c>
      <c r="BN21">
        <f>+Assumptions!$C$93</f>
        <v>205.19</v>
      </c>
      <c r="BO21">
        <f>+Assumptions!$D$93</f>
        <v>165.25</v>
      </c>
      <c r="BQ21" t="s">
        <v>157</v>
      </c>
      <c r="BR21" s="91">
        <f>+Assumptions!$C$89</f>
        <v>1.28</v>
      </c>
    </row>
    <row r="22" spans="2:70" x14ac:dyDescent="0.35">
      <c r="B22" t="s">
        <v>166</v>
      </c>
      <c r="C22">
        <f>+Assumptions!$C$94</f>
        <v>29.06</v>
      </c>
      <c r="D22">
        <f>+Assumptions!$D$94</f>
        <v>22.95</v>
      </c>
      <c r="E22" s="11"/>
      <c r="F22" t="s">
        <v>160</v>
      </c>
      <c r="G22" s="91">
        <f>+Assumptions!$C$90</f>
        <v>0</v>
      </c>
      <c r="I22" t="s">
        <v>166</v>
      </c>
      <c r="J22">
        <f>+Assumptions!$C$94</f>
        <v>29.06</v>
      </c>
      <c r="K22">
        <f>+Assumptions!$D$94</f>
        <v>22.95</v>
      </c>
      <c r="L22" s="11"/>
      <c r="M22" t="s">
        <v>160</v>
      </c>
      <c r="N22" s="91">
        <f>+Assumptions!$C$90</f>
        <v>0</v>
      </c>
      <c r="P22" t="s">
        <v>166</v>
      </c>
      <c r="Q22">
        <f>+Assumptions!$C$94</f>
        <v>29.06</v>
      </c>
      <c r="R22">
        <f>+Assumptions!$D$94</f>
        <v>22.95</v>
      </c>
      <c r="S22" s="11"/>
      <c r="T22" t="s">
        <v>160</v>
      </c>
      <c r="U22" s="91">
        <f>+Assumptions!$C$90</f>
        <v>0</v>
      </c>
      <c r="W22" t="s">
        <v>166</v>
      </c>
      <c r="X22">
        <f>+Assumptions!$C$94</f>
        <v>29.06</v>
      </c>
      <c r="Y22">
        <f>+Assumptions!$D$94</f>
        <v>22.95</v>
      </c>
      <c r="Z22" s="11"/>
      <c r="AA22" t="s">
        <v>160</v>
      </c>
      <c r="AB22" s="91">
        <f>+Assumptions!$C$90</f>
        <v>0</v>
      </c>
      <c r="AD22" t="s">
        <v>166</v>
      </c>
      <c r="AE22">
        <f>+Assumptions!$C$94</f>
        <v>29.06</v>
      </c>
      <c r="AF22">
        <f>+Assumptions!$D$94</f>
        <v>22.95</v>
      </c>
      <c r="AG22" s="11"/>
      <c r="AH22" t="s">
        <v>160</v>
      </c>
      <c r="AI22" s="91">
        <f>+Assumptions!$C$90</f>
        <v>0</v>
      </c>
      <c r="AK22" t="s">
        <v>166</v>
      </c>
      <c r="AL22">
        <f>+Assumptions!$C$94</f>
        <v>29.06</v>
      </c>
      <c r="AM22">
        <f>+Assumptions!$D$94</f>
        <v>22.95</v>
      </c>
      <c r="AN22" s="11"/>
      <c r="AO22" t="s">
        <v>160</v>
      </c>
      <c r="AP22" s="91">
        <f>+Assumptions!$C$90</f>
        <v>0</v>
      </c>
      <c r="AR22" t="s">
        <v>166</v>
      </c>
      <c r="AS22">
        <f>+Assumptions!$C$94</f>
        <v>29.06</v>
      </c>
      <c r="AT22">
        <f>+Assumptions!$D$94</f>
        <v>22.95</v>
      </c>
      <c r="AU22" s="11"/>
      <c r="AV22" t="s">
        <v>160</v>
      </c>
      <c r="AW22" s="91">
        <f>+Assumptions!$C$90</f>
        <v>0</v>
      </c>
      <c r="AY22" t="s">
        <v>166</v>
      </c>
      <c r="AZ22">
        <f>+Assumptions!$C$94</f>
        <v>29.06</v>
      </c>
      <c r="BA22">
        <f>+Assumptions!$D$94</f>
        <v>22.95</v>
      </c>
      <c r="BB22" s="11"/>
      <c r="BC22" t="s">
        <v>160</v>
      </c>
      <c r="BD22" s="91">
        <f>+Assumptions!$C$90</f>
        <v>0</v>
      </c>
      <c r="BF22" t="s">
        <v>166</v>
      </c>
      <c r="BG22">
        <f>+Assumptions!$C$94</f>
        <v>29.06</v>
      </c>
      <c r="BH22">
        <f>+Assumptions!$D$94</f>
        <v>22.95</v>
      </c>
      <c r="BI22" s="11"/>
      <c r="BJ22" t="s">
        <v>160</v>
      </c>
      <c r="BK22" s="91">
        <f>+Assumptions!$C$90</f>
        <v>0</v>
      </c>
      <c r="BM22" t="s">
        <v>166</v>
      </c>
      <c r="BN22">
        <f>+Assumptions!$C$94</f>
        <v>29.06</v>
      </c>
      <c r="BO22">
        <f>+Assumptions!$D$94</f>
        <v>22.95</v>
      </c>
      <c r="BP22" s="11"/>
      <c r="BQ22" t="s">
        <v>160</v>
      </c>
      <c r="BR22" s="91">
        <f>+Assumptions!$C$90</f>
        <v>0</v>
      </c>
    </row>
    <row r="23" spans="2:70" x14ac:dyDescent="0.35">
      <c r="E23" s="11"/>
      <c r="F23" s="11"/>
      <c r="L23" s="11"/>
      <c r="M23" s="11"/>
      <c r="S23" s="11"/>
      <c r="T23" s="11"/>
      <c r="Z23" s="11"/>
      <c r="AA23" s="11"/>
      <c r="AG23" s="11"/>
      <c r="AH23" s="11"/>
      <c r="AN23" s="11"/>
      <c r="AO23" s="11"/>
      <c r="AU23" s="11"/>
      <c r="AV23" s="11"/>
      <c r="BB23" s="11"/>
      <c r="BC23" s="11"/>
      <c r="BI23" s="11"/>
      <c r="BJ23" s="11"/>
      <c r="BP23" s="11"/>
      <c r="BQ23" s="11"/>
    </row>
    <row r="24" spans="2:70" x14ac:dyDescent="0.35">
      <c r="B24" s="2" t="s">
        <v>167</v>
      </c>
      <c r="C24" s="190">
        <f>+Assumptions!$C$96</f>
        <v>2.1000000000000001E-2</v>
      </c>
      <c r="D24" s="190">
        <f>+Assumptions!$C$96</f>
        <v>2.1000000000000001E-2</v>
      </c>
      <c r="E24" s="123"/>
      <c r="I24" s="2" t="s">
        <v>167</v>
      </c>
      <c r="J24" s="190">
        <f>+Assumptions!$C$96</f>
        <v>2.1000000000000001E-2</v>
      </c>
      <c r="K24" s="190">
        <f>+Assumptions!$C$96</f>
        <v>2.1000000000000001E-2</v>
      </c>
      <c r="L24" s="123"/>
      <c r="P24" s="2" t="s">
        <v>167</v>
      </c>
      <c r="Q24" s="190">
        <f>+Assumptions!$C$96</f>
        <v>2.1000000000000001E-2</v>
      </c>
      <c r="R24" s="190">
        <f>+Assumptions!$C$96</f>
        <v>2.1000000000000001E-2</v>
      </c>
      <c r="S24" s="123"/>
      <c r="W24" s="2" t="s">
        <v>167</v>
      </c>
      <c r="X24" s="190">
        <f>+Assumptions!$C$96</f>
        <v>2.1000000000000001E-2</v>
      </c>
      <c r="Y24" s="190">
        <f>+Assumptions!$C$96</f>
        <v>2.1000000000000001E-2</v>
      </c>
      <c r="Z24" s="123"/>
      <c r="AD24" s="2" t="s">
        <v>167</v>
      </c>
      <c r="AE24" s="190">
        <f>+Assumptions!$C$96</f>
        <v>2.1000000000000001E-2</v>
      </c>
      <c r="AF24" s="190">
        <f>+Assumptions!$C$96</f>
        <v>2.1000000000000001E-2</v>
      </c>
      <c r="AG24" s="123"/>
      <c r="AK24" s="2" t="s">
        <v>167</v>
      </c>
      <c r="AL24" s="190">
        <f>+Assumptions!$C$96</f>
        <v>2.1000000000000001E-2</v>
      </c>
      <c r="AM24" s="190">
        <f>+Assumptions!$C$96</f>
        <v>2.1000000000000001E-2</v>
      </c>
      <c r="AN24" s="123"/>
      <c r="AR24" s="2" t="s">
        <v>167</v>
      </c>
      <c r="AS24" s="190">
        <f>+Assumptions!$C$96</f>
        <v>2.1000000000000001E-2</v>
      </c>
      <c r="AT24" s="190">
        <f>+Assumptions!$C$96</f>
        <v>2.1000000000000001E-2</v>
      </c>
      <c r="AU24" s="123"/>
      <c r="AY24" s="2" t="s">
        <v>167</v>
      </c>
      <c r="AZ24" s="190">
        <f>+Assumptions!$C$96</f>
        <v>2.1000000000000001E-2</v>
      </c>
      <c r="BA24" s="190">
        <f>+Assumptions!$C$96</f>
        <v>2.1000000000000001E-2</v>
      </c>
      <c r="BB24" s="123"/>
      <c r="BF24" s="2" t="s">
        <v>167</v>
      </c>
      <c r="BG24" s="190">
        <f>+Assumptions!$C$96</f>
        <v>2.1000000000000001E-2</v>
      </c>
      <c r="BH24" s="190">
        <f>+Assumptions!$C$96</f>
        <v>2.1000000000000001E-2</v>
      </c>
      <c r="BI24" s="123"/>
      <c r="BM24" s="2" t="s">
        <v>167</v>
      </c>
      <c r="BN24" s="190">
        <f>+Assumptions!$C$96</f>
        <v>2.1000000000000001E-2</v>
      </c>
      <c r="BO24" s="190">
        <f>+Assumptions!$C$96</f>
        <v>2.1000000000000001E-2</v>
      </c>
      <c r="BP24" s="123"/>
    </row>
    <row r="26" spans="2:70" x14ac:dyDescent="0.35">
      <c r="B26" s="84" t="s">
        <v>223</v>
      </c>
      <c r="C26" s="78"/>
      <c r="D26" s="78"/>
      <c r="E26" s="78"/>
      <c r="F26" s="78"/>
      <c r="G26" s="78"/>
      <c r="I26" s="84" t="s">
        <v>223</v>
      </c>
      <c r="J26" s="78"/>
      <c r="K26" s="78"/>
      <c r="L26" s="78"/>
      <c r="M26" s="78"/>
      <c r="N26" s="78"/>
      <c r="P26" s="84" t="s">
        <v>223</v>
      </c>
      <c r="Q26" s="78"/>
      <c r="R26" s="78"/>
      <c r="S26" s="78"/>
      <c r="T26" s="78"/>
      <c r="U26" s="78"/>
      <c r="W26" s="84" t="s">
        <v>223</v>
      </c>
      <c r="X26" s="78"/>
      <c r="Y26" s="78"/>
      <c r="Z26" s="78"/>
      <c r="AA26" s="78"/>
      <c r="AB26" s="78"/>
      <c r="AD26" s="84" t="s">
        <v>223</v>
      </c>
      <c r="AE26" s="78"/>
      <c r="AF26" s="78"/>
      <c r="AG26" s="78"/>
      <c r="AH26" s="78"/>
      <c r="AI26" s="78"/>
      <c r="AK26" s="84" t="s">
        <v>223</v>
      </c>
      <c r="AL26" s="78"/>
      <c r="AM26" s="78"/>
      <c r="AN26" s="78"/>
      <c r="AO26" s="78"/>
      <c r="AP26" s="78"/>
      <c r="AR26" s="84" t="s">
        <v>223</v>
      </c>
      <c r="AS26" s="78"/>
      <c r="AT26" s="78"/>
      <c r="AU26" s="78"/>
      <c r="AV26" s="78"/>
      <c r="AW26" s="78"/>
      <c r="AY26" s="84" t="s">
        <v>223</v>
      </c>
      <c r="AZ26" s="78"/>
      <c r="BA26" s="78"/>
      <c r="BB26" s="78"/>
      <c r="BC26" s="78"/>
      <c r="BD26" s="78"/>
      <c r="BF26" s="84" t="s">
        <v>223</v>
      </c>
      <c r="BG26" s="78"/>
      <c r="BH26" s="78"/>
      <c r="BI26" s="78"/>
      <c r="BJ26" s="78"/>
      <c r="BK26" s="78"/>
      <c r="BM26" s="84" t="s">
        <v>223</v>
      </c>
      <c r="BN26" s="78"/>
      <c r="BO26" s="78"/>
      <c r="BP26" s="78"/>
      <c r="BQ26" s="78"/>
      <c r="BR26" s="78"/>
    </row>
    <row r="27" spans="2:70" x14ac:dyDescent="0.35">
      <c r="B27" s="64"/>
      <c r="C27" s="362" t="s">
        <v>224</v>
      </c>
      <c r="D27" s="362"/>
      <c r="I27" s="64"/>
      <c r="J27" s="362" t="s">
        <v>224</v>
      </c>
      <c r="K27" s="362"/>
      <c r="P27" s="64"/>
      <c r="Q27" s="362" t="s">
        <v>224</v>
      </c>
      <c r="R27" s="362"/>
      <c r="W27" s="64"/>
      <c r="X27" s="362" t="s">
        <v>224</v>
      </c>
      <c r="Y27" s="362"/>
      <c r="AD27" s="64"/>
      <c r="AE27" s="362" t="s">
        <v>224</v>
      </c>
      <c r="AF27" s="362"/>
      <c r="AK27" s="64"/>
      <c r="AL27" s="362" t="s">
        <v>224</v>
      </c>
      <c r="AM27" s="362"/>
      <c r="AR27" s="64"/>
      <c r="AS27" s="362" t="s">
        <v>224</v>
      </c>
      <c r="AT27" s="362"/>
      <c r="AY27" s="64"/>
      <c r="AZ27" s="362" t="s">
        <v>224</v>
      </c>
      <c r="BA27" s="362"/>
      <c r="BF27" s="64"/>
      <c r="BG27" s="362" t="s">
        <v>224</v>
      </c>
      <c r="BH27" s="362"/>
      <c r="BM27" s="64"/>
      <c r="BN27" s="362" t="s">
        <v>224</v>
      </c>
      <c r="BO27" s="362"/>
    </row>
    <row r="28" spans="2:70" x14ac:dyDescent="0.35">
      <c r="C28" s="312" t="s">
        <v>225</v>
      </c>
      <c r="D28" s="312" t="s">
        <v>226</v>
      </c>
      <c r="E28" s="312" t="s">
        <v>227</v>
      </c>
      <c r="J28" s="312" t="s">
        <v>225</v>
      </c>
      <c r="K28" s="312" t="s">
        <v>226</v>
      </c>
      <c r="L28" s="312" t="s">
        <v>227</v>
      </c>
      <c r="Q28" s="312" t="s">
        <v>225</v>
      </c>
      <c r="R28" s="312" t="s">
        <v>226</v>
      </c>
      <c r="S28" s="312" t="s">
        <v>227</v>
      </c>
      <c r="X28" s="312" t="s">
        <v>225</v>
      </c>
      <c r="Y28" s="312" t="s">
        <v>226</v>
      </c>
      <c r="Z28" s="312" t="s">
        <v>227</v>
      </c>
      <c r="AE28" s="312" t="s">
        <v>225</v>
      </c>
      <c r="AF28" s="312" t="s">
        <v>226</v>
      </c>
      <c r="AG28" s="312" t="s">
        <v>227</v>
      </c>
      <c r="AL28" s="312" t="s">
        <v>225</v>
      </c>
      <c r="AM28" s="312" t="s">
        <v>226</v>
      </c>
      <c r="AN28" s="312" t="s">
        <v>227</v>
      </c>
      <c r="AS28" s="312" t="s">
        <v>225</v>
      </c>
      <c r="AT28" s="312" t="s">
        <v>226</v>
      </c>
      <c r="AU28" s="312" t="s">
        <v>227</v>
      </c>
      <c r="AZ28" s="312" t="s">
        <v>225</v>
      </c>
      <c r="BA28" s="312" t="s">
        <v>226</v>
      </c>
      <c r="BB28" s="312" t="s">
        <v>227</v>
      </c>
      <c r="BG28" s="312" t="s">
        <v>225</v>
      </c>
      <c r="BH28" s="312" t="s">
        <v>226</v>
      </c>
      <c r="BI28" s="312" t="s">
        <v>227</v>
      </c>
      <c r="BN28" s="312" t="s">
        <v>225</v>
      </c>
      <c r="BO28" s="312" t="s">
        <v>226</v>
      </c>
      <c r="BP28" s="312" t="s">
        <v>227</v>
      </c>
    </row>
    <row r="29" spans="2:70" s="347" customFormat="1" x14ac:dyDescent="0.35">
      <c r="B29" s="345" t="s">
        <v>228</v>
      </c>
      <c r="C29" s="343">
        <f>(C21*5)+(C22*(F14-5))</f>
        <v>1686.1931999999999</v>
      </c>
      <c r="D29" s="343">
        <f>(D21*5)+(D22*(F14-5))</f>
        <v>1347.674</v>
      </c>
      <c r="E29" s="346">
        <f>+C29*4+D29*8</f>
        <v>17526.164799999999</v>
      </c>
      <c r="I29" s="345" t="s">
        <v>228</v>
      </c>
      <c r="J29" s="343">
        <f>(J21*5)+(J22*(M14-5))</f>
        <v>1686.1931999999999</v>
      </c>
      <c r="K29" s="343">
        <f>(K21*5)+(K22*(M14-5))</f>
        <v>1347.674</v>
      </c>
      <c r="L29" s="346">
        <f>+J29*4+K29*8</f>
        <v>17526.164799999999</v>
      </c>
      <c r="P29" s="345" t="s">
        <v>228</v>
      </c>
      <c r="Q29" s="343">
        <f>(Q21*5)+(Q22*(T14-5))</f>
        <v>1686.1931999999999</v>
      </c>
      <c r="R29" s="343">
        <f>(R21*5)+(R22*(T14-5))</f>
        <v>1347.674</v>
      </c>
      <c r="S29" s="346">
        <f>+Q29*4+R29*8</f>
        <v>17526.164799999999</v>
      </c>
      <c r="W29" s="345" t="s">
        <v>228</v>
      </c>
      <c r="X29" s="343">
        <f>(X21*5)+(X22*(AA14-5))</f>
        <v>1686.1931999999999</v>
      </c>
      <c r="Y29" s="343">
        <f>(Y21*5)+(Y22*(AA14-5))</f>
        <v>1347.674</v>
      </c>
      <c r="Z29" s="346">
        <f>+X29*4+Y29*8</f>
        <v>17526.164799999999</v>
      </c>
      <c r="AD29" s="345" t="s">
        <v>228</v>
      </c>
      <c r="AE29" s="343">
        <f>(AE21*5)+(AE22*(AH14-5))</f>
        <v>1686.1931999999999</v>
      </c>
      <c r="AF29" s="343">
        <f>(AF21*5)+(AF22*(AH14-5))</f>
        <v>1347.674</v>
      </c>
      <c r="AG29" s="346">
        <f>+AE29*4+AF29*8</f>
        <v>17526.164799999999</v>
      </c>
      <c r="AK29" s="345" t="s">
        <v>228</v>
      </c>
      <c r="AL29" s="343">
        <f>(AL21*5)+(AL22*(AO14-5))</f>
        <v>1686.1931999999999</v>
      </c>
      <c r="AM29" s="343">
        <f>(AM21*5)+(AM22*(AO14-5))</f>
        <v>1347.674</v>
      </c>
      <c r="AN29" s="346">
        <f>+AL29*4+AM29*8</f>
        <v>17526.164799999999</v>
      </c>
      <c r="AR29" s="345" t="s">
        <v>228</v>
      </c>
      <c r="AS29" s="343">
        <f>(AS21*5)+(AS22*(AV14-5))</f>
        <v>1686.1931999999999</v>
      </c>
      <c r="AT29" s="343">
        <f>(AT21*5)+(AT22*(AV14-5))</f>
        <v>1347.674</v>
      </c>
      <c r="AU29" s="346">
        <f>+AS29*4+AT29*8</f>
        <v>17526.164799999999</v>
      </c>
      <c r="AY29" s="345" t="s">
        <v>228</v>
      </c>
      <c r="AZ29" s="343">
        <f>(AZ21*5)+(AZ22*(BC14-5))</f>
        <v>1686.1931999999999</v>
      </c>
      <c r="BA29" s="343">
        <f>(BA21*5)+(BA22*(BC14-5))</f>
        <v>1347.674</v>
      </c>
      <c r="BB29" s="346">
        <f>+AZ29*4+BA29*8</f>
        <v>17526.164799999999</v>
      </c>
      <c r="BF29" s="345" t="s">
        <v>228</v>
      </c>
      <c r="BG29" s="343">
        <f>(BG21*5)+(BG22*(BJ14-5))</f>
        <v>1686.1931999999999</v>
      </c>
      <c r="BH29" s="343">
        <f>(BH21*5)+(BH22*(BJ14-5))</f>
        <v>1347.674</v>
      </c>
      <c r="BI29" s="346">
        <f>+BG29*4+BH29*8</f>
        <v>17526.164799999999</v>
      </c>
      <c r="BM29" s="345" t="s">
        <v>228</v>
      </c>
      <c r="BN29" s="343">
        <f>(BN21*5)+(BN22*(BQ14-5))</f>
        <v>1686.1931999999999</v>
      </c>
      <c r="BO29" s="343">
        <f>(BO21*5)+(BO22*(BQ14-5))</f>
        <v>1347.674</v>
      </c>
      <c r="BP29" s="346">
        <f>+BN29*4+BO29*8</f>
        <v>17526.164799999999</v>
      </c>
    </row>
    <row r="30" spans="2:70" x14ac:dyDescent="0.35">
      <c r="B30" s="9" t="s">
        <v>229</v>
      </c>
      <c r="C30" s="111">
        <f>+C24*F17</f>
        <v>30.353400000000008</v>
      </c>
      <c r="D30" s="111">
        <f>+D24*F17</f>
        <v>30.353400000000008</v>
      </c>
      <c r="E30" s="201">
        <f>+C30*4+D30*8</f>
        <v>364.24080000000009</v>
      </c>
      <c r="I30" s="9" t="s">
        <v>229</v>
      </c>
      <c r="J30" s="111">
        <f>+J24*M17</f>
        <v>48.565439999999988</v>
      </c>
      <c r="K30" s="111">
        <f>+K24*M17</f>
        <v>48.565439999999988</v>
      </c>
      <c r="L30" s="201">
        <f>+J30*4+K30*8</f>
        <v>582.78527999999983</v>
      </c>
      <c r="P30" s="9" t="s">
        <v>229</v>
      </c>
      <c r="Q30" s="111">
        <f>+Q24*T17</f>
        <v>72.848159999999993</v>
      </c>
      <c r="R30" s="111">
        <f>+R24*T17</f>
        <v>72.848159999999993</v>
      </c>
      <c r="S30" s="201">
        <f>+Q30*4+R30*8</f>
        <v>874.17791999999986</v>
      </c>
      <c r="W30" s="9" t="s">
        <v>229</v>
      </c>
      <c r="X30" s="111">
        <f>+X24*AA17</f>
        <v>121.41360000000003</v>
      </c>
      <c r="Y30" s="111">
        <f>+Y24*AA17</f>
        <v>121.41360000000003</v>
      </c>
      <c r="Z30" s="201">
        <f>+X30*4+Y30*8</f>
        <v>1456.9632000000004</v>
      </c>
      <c r="AD30" s="9" t="s">
        <v>229</v>
      </c>
      <c r="AE30" s="111">
        <f>+AE24*AH17</f>
        <v>0</v>
      </c>
      <c r="AF30" s="111">
        <f>+AF24*AH17</f>
        <v>0</v>
      </c>
      <c r="AG30" s="201">
        <f>+AE30*4+AF30*8</f>
        <v>0</v>
      </c>
      <c r="AK30" s="9" t="s">
        <v>229</v>
      </c>
      <c r="AL30" s="111">
        <f>+AL24*AO17</f>
        <v>0</v>
      </c>
      <c r="AM30" s="111">
        <f>+AM24*AO17</f>
        <v>0</v>
      </c>
      <c r="AN30" s="201">
        <f>+AL30*4+AM30*8</f>
        <v>0</v>
      </c>
      <c r="AR30" s="9" t="s">
        <v>229</v>
      </c>
      <c r="AS30" s="111">
        <f>+AS24*AV17</f>
        <v>0</v>
      </c>
      <c r="AT30" s="111">
        <f>+AT24*AV17</f>
        <v>0</v>
      </c>
      <c r="AU30" s="201">
        <f>+AS30*4+AT30*8</f>
        <v>0</v>
      </c>
      <c r="AY30" s="9" t="s">
        <v>229</v>
      </c>
      <c r="AZ30" s="111">
        <f>+AZ24*BC17</f>
        <v>0</v>
      </c>
      <c r="BA30" s="111">
        <f>+BA24*BC17</f>
        <v>0</v>
      </c>
      <c r="BB30" s="201">
        <f>+AZ30*4+BA30*8</f>
        <v>0</v>
      </c>
      <c r="BF30" s="9" t="s">
        <v>229</v>
      </c>
      <c r="BG30" s="111">
        <f>+BG24*BJ17</f>
        <v>0</v>
      </c>
      <c r="BH30" s="111">
        <f>+BH24*BJ17</f>
        <v>0</v>
      </c>
      <c r="BI30" s="201">
        <f>+BG30*4+BH30*8</f>
        <v>0</v>
      </c>
      <c r="BM30" s="9" t="s">
        <v>229</v>
      </c>
      <c r="BN30" s="111">
        <f>+BN24*BQ17</f>
        <v>0</v>
      </c>
      <c r="BO30" s="111">
        <f>+BO24*BQ17</f>
        <v>0</v>
      </c>
      <c r="BP30" s="201">
        <f>+BN30*4+BO30*8</f>
        <v>0</v>
      </c>
    </row>
    <row r="31" spans="2:70" x14ac:dyDescent="0.35">
      <c r="B31" s="9" t="s">
        <v>230</v>
      </c>
      <c r="C31" s="113">
        <f>+G21+G22</f>
        <v>1.28</v>
      </c>
      <c r="D31" s="113">
        <f>+G21+G22</f>
        <v>1.28</v>
      </c>
      <c r="E31" s="112">
        <f>+C31*4+D31*8</f>
        <v>15.36</v>
      </c>
      <c r="F31" s="85"/>
      <c r="I31" s="9" t="s">
        <v>230</v>
      </c>
      <c r="J31" s="113">
        <f>+N21+N22</f>
        <v>1.28</v>
      </c>
      <c r="K31" s="113">
        <f>+N21+N22</f>
        <v>1.28</v>
      </c>
      <c r="L31" s="112">
        <f>+J31*4+K31*8</f>
        <v>15.36</v>
      </c>
      <c r="M31" s="85"/>
      <c r="P31" s="9" t="s">
        <v>230</v>
      </c>
      <c r="Q31" s="113">
        <f>+U21+U22</f>
        <v>1.28</v>
      </c>
      <c r="R31" s="113">
        <f>+U21+U22</f>
        <v>1.28</v>
      </c>
      <c r="S31" s="112">
        <f>+Q31*4+R31*8</f>
        <v>15.36</v>
      </c>
      <c r="T31" s="85"/>
      <c r="W31" s="9" t="s">
        <v>230</v>
      </c>
      <c r="X31" s="113">
        <f>+AB21+AB22</f>
        <v>1.28</v>
      </c>
      <c r="Y31" s="113">
        <f>+AB21+AB22</f>
        <v>1.28</v>
      </c>
      <c r="Z31" s="112">
        <f>+X31*4+Y31*8</f>
        <v>15.36</v>
      </c>
      <c r="AA31" s="85"/>
      <c r="AD31" s="9" t="s">
        <v>230</v>
      </c>
      <c r="AE31" s="113">
        <f>+AI21+AI22</f>
        <v>1.28</v>
      </c>
      <c r="AF31" s="113">
        <f>+AI21+AI22</f>
        <v>1.28</v>
      </c>
      <c r="AG31" s="112">
        <f>+AE31*4+AF31*8</f>
        <v>15.36</v>
      </c>
      <c r="AH31" s="85"/>
      <c r="AK31" s="9" t="s">
        <v>230</v>
      </c>
      <c r="AL31" s="113">
        <f>+AP21+AP22</f>
        <v>1.28</v>
      </c>
      <c r="AM31" s="113">
        <f>+AP21+AP22</f>
        <v>1.28</v>
      </c>
      <c r="AN31" s="112">
        <f>+AL31*4+AM31*8</f>
        <v>15.36</v>
      </c>
      <c r="AO31" s="85"/>
      <c r="AR31" s="9" t="s">
        <v>230</v>
      </c>
      <c r="AS31" s="113">
        <f>+AW21+AW22</f>
        <v>1.28</v>
      </c>
      <c r="AT31" s="113">
        <f>+AW21+AW22</f>
        <v>1.28</v>
      </c>
      <c r="AU31" s="112">
        <f>+AS31*4+AT31*8</f>
        <v>15.36</v>
      </c>
      <c r="AV31" s="85"/>
      <c r="AY31" s="9" t="s">
        <v>230</v>
      </c>
      <c r="AZ31" s="113">
        <f>+BD21+BD22</f>
        <v>1.28</v>
      </c>
      <c r="BA31" s="113">
        <f>+BD21+BD22</f>
        <v>1.28</v>
      </c>
      <c r="BB31" s="112">
        <f>+AZ31*4+BA31*8</f>
        <v>15.36</v>
      </c>
      <c r="BC31" s="85"/>
      <c r="BF31" s="9" t="s">
        <v>230</v>
      </c>
      <c r="BG31" s="113">
        <f>+BK21+BK22</f>
        <v>1.28</v>
      </c>
      <c r="BH31" s="113">
        <f>+BK21+BK22</f>
        <v>1.28</v>
      </c>
      <c r="BI31" s="112">
        <f>+BG31*4+BH31*8</f>
        <v>15.36</v>
      </c>
      <c r="BJ31" s="85"/>
      <c r="BM31" s="9" t="s">
        <v>230</v>
      </c>
      <c r="BN31" s="113">
        <f>+BR21+BR22</f>
        <v>1.28</v>
      </c>
      <c r="BO31" s="113">
        <f>+BR21+BR22</f>
        <v>1.28</v>
      </c>
      <c r="BP31" s="112">
        <f>+BN31*4+BO31*8</f>
        <v>15.36</v>
      </c>
      <c r="BQ31" s="85"/>
    </row>
    <row r="32" spans="2:70" x14ac:dyDescent="0.35">
      <c r="B32" s="86" t="s">
        <v>231</v>
      </c>
      <c r="C32" s="111">
        <f>SUM(C29:C31)</f>
        <v>1717.8265999999999</v>
      </c>
      <c r="D32" s="111">
        <f>SUM(D29:D31)</f>
        <v>1379.3073999999999</v>
      </c>
      <c r="E32" s="111">
        <f>SUM(E29:E31)</f>
        <v>17905.765599999999</v>
      </c>
      <c r="I32" s="86" t="s">
        <v>231</v>
      </c>
      <c r="J32" s="111">
        <f>SUM(J29:J31)</f>
        <v>1736.03864</v>
      </c>
      <c r="K32" s="111">
        <f>SUM(K29:K31)</f>
        <v>1397.51944</v>
      </c>
      <c r="L32" s="111">
        <f>SUM(L29:L31)</f>
        <v>18124.310079999999</v>
      </c>
      <c r="P32" s="86" t="s">
        <v>231</v>
      </c>
      <c r="Q32" s="111">
        <f>SUM(Q29:Q31)</f>
        <v>1760.3213599999999</v>
      </c>
      <c r="R32" s="111">
        <f>SUM(R29:R31)</f>
        <v>1421.80216</v>
      </c>
      <c r="S32" s="111">
        <f>SUM(S29:S31)</f>
        <v>18415.702719999997</v>
      </c>
      <c r="W32" s="86" t="s">
        <v>231</v>
      </c>
      <c r="X32" s="111">
        <f>SUM(X29:X31)</f>
        <v>1808.8868</v>
      </c>
      <c r="Y32" s="111">
        <f>SUM(Y29:Y31)</f>
        <v>1470.3676</v>
      </c>
      <c r="Z32" s="111">
        <f>SUM(Z29:Z31)</f>
        <v>18998.488000000001</v>
      </c>
      <c r="AD32" s="86" t="s">
        <v>231</v>
      </c>
      <c r="AE32" s="111">
        <f>SUM(AE29:AE31)</f>
        <v>1687.4731999999999</v>
      </c>
      <c r="AF32" s="111">
        <f>SUM(AF29:AF31)</f>
        <v>1348.954</v>
      </c>
      <c r="AG32" s="111">
        <f>SUM(AG29:AG31)</f>
        <v>17541.524799999999</v>
      </c>
      <c r="AK32" s="86" t="s">
        <v>231</v>
      </c>
      <c r="AL32" s="111">
        <f>SUM(AL29:AL31)</f>
        <v>1687.4731999999999</v>
      </c>
      <c r="AM32" s="111">
        <f>SUM(AM29:AM31)</f>
        <v>1348.954</v>
      </c>
      <c r="AN32" s="111">
        <f>SUM(AN29:AN31)</f>
        <v>17541.524799999999</v>
      </c>
      <c r="AR32" s="86" t="s">
        <v>231</v>
      </c>
      <c r="AS32" s="111">
        <f>SUM(AS29:AS31)</f>
        <v>1687.4731999999999</v>
      </c>
      <c r="AT32" s="111">
        <f>SUM(AT29:AT31)</f>
        <v>1348.954</v>
      </c>
      <c r="AU32" s="111">
        <f>SUM(AU29:AU31)</f>
        <v>17541.524799999999</v>
      </c>
      <c r="AY32" s="86" t="s">
        <v>231</v>
      </c>
      <c r="AZ32" s="111">
        <f>SUM(AZ29:AZ31)</f>
        <v>1687.4731999999999</v>
      </c>
      <c r="BA32" s="111">
        <f>SUM(BA29:BA31)</f>
        <v>1348.954</v>
      </c>
      <c r="BB32" s="111">
        <f>SUM(BB29:BB31)</f>
        <v>17541.524799999999</v>
      </c>
      <c r="BF32" s="86" t="s">
        <v>231</v>
      </c>
      <c r="BG32" s="111">
        <f>SUM(BG29:BG31)</f>
        <v>1687.4731999999999</v>
      </c>
      <c r="BH32" s="111">
        <f>SUM(BH29:BH31)</f>
        <v>1348.954</v>
      </c>
      <c r="BI32" s="111">
        <f>SUM(BI29:BI31)</f>
        <v>17541.524799999999</v>
      </c>
      <c r="BM32" s="86" t="s">
        <v>231</v>
      </c>
      <c r="BN32" s="111">
        <f>SUM(BN29:BN31)</f>
        <v>1687.4731999999999</v>
      </c>
      <c r="BO32" s="111">
        <f>SUM(BO29:BO31)</f>
        <v>1348.954</v>
      </c>
      <c r="BP32" s="111">
        <f>SUM(BP29:BP31)</f>
        <v>17541.524799999999</v>
      </c>
    </row>
    <row r="33" spans="2:70" x14ac:dyDescent="0.35">
      <c r="C33" s="111"/>
      <c r="D33" s="111"/>
      <c r="E33" s="111"/>
      <c r="J33" s="111"/>
      <c r="K33" s="111"/>
      <c r="L33" s="111"/>
      <c r="Q33" s="111"/>
      <c r="R33" s="111"/>
      <c r="S33" s="111"/>
      <c r="X33" s="111"/>
      <c r="Y33" s="111"/>
      <c r="Z33" s="111"/>
      <c r="AE33" s="111"/>
      <c r="AF33" s="111"/>
      <c r="AG33" s="111"/>
      <c r="AL33" s="111"/>
      <c r="AM33" s="111"/>
      <c r="AN33" s="111"/>
      <c r="AS33" s="111"/>
      <c r="AT33" s="111"/>
      <c r="AU33" s="111"/>
      <c r="AZ33" s="111"/>
      <c r="BA33" s="111"/>
      <c r="BB33" s="111"/>
      <c r="BG33" s="111"/>
      <c r="BH33" s="111"/>
      <c r="BI33" s="111"/>
      <c r="BN33" s="111"/>
      <c r="BO33" s="111"/>
      <c r="BP33" s="111"/>
    </row>
    <row r="34" spans="2:70" x14ac:dyDescent="0.35">
      <c r="C34" s="362" t="s">
        <v>224</v>
      </c>
      <c r="D34" s="362"/>
      <c r="E34" s="98"/>
      <c r="G34" s="98"/>
      <c r="J34" s="362" t="s">
        <v>224</v>
      </c>
      <c r="K34" s="362"/>
      <c r="L34" s="98"/>
      <c r="N34" s="98"/>
      <c r="Q34" s="362" t="s">
        <v>224</v>
      </c>
      <c r="R34" s="362"/>
      <c r="S34" s="98"/>
      <c r="U34" s="98"/>
      <c r="X34" s="362" t="s">
        <v>224</v>
      </c>
      <c r="Y34" s="362"/>
      <c r="Z34" s="98"/>
      <c r="AB34" s="98"/>
      <c r="AE34" s="362" t="s">
        <v>224</v>
      </c>
      <c r="AF34" s="362"/>
      <c r="AG34" s="98"/>
      <c r="AI34" s="98"/>
      <c r="AL34" s="362" t="s">
        <v>224</v>
      </c>
      <c r="AM34" s="362"/>
      <c r="AN34" s="98"/>
      <c r="AP34" s="98"/>
      <c r="AS34" s="362" t="s">
        <v>224</v>
      </c>
      <c r="AT34" s="362"/>
      <c r="AU34" s="98"/>
      <c r="AW34" s="98"/>
      <c r="AZ34" s="362" t="s">
        <v>224</v>
      </c>
      <c r="BA34" s="362"/>
      <c r="BB34" s="98"/>
      <c r="BD34" s="98"/>
      <c r="BG34" s="362" t="s">
        <v>224</v>
      </c>
      <c r="BH34" s="362"/>
      <c r="BI34" s="98"/>
      <c r="BK34" s="98"/>
      <c r="BN34" s="362" t="s">
        <v>224</v>
      </c>
      <c r="BO34" s="362"/>
      <c r="BP34" s="98"/>
      <c r="BR34" s="98"/>
    </row>
    <row r="35" spans="2:70" x14ac:dyDescent="0.35">
      <c r="B35" s="88" t="s">
        <v>232</v>
      </c>
      <c r="C35" s="312" t="s">
        <v>225</v>
      </c>
      <c r="D35" s="312" t="s">
        <v>226</v>
      </c>
      <c r="E35" s="312" t="s">
        <v>227</v>
      </c>
      <c r="I35" s="88" t="s">
        <v>232</v>
      </c>
      <c r="J35" s="312" t="s">
        <v>225</v>
      </c>
      <c r="K35" s="312" t="s">
        <v>226</v>
      </c>
      <c r="L35" s="312" t="s">
        <v>227</v>
      </c>
      <c r="P35" s="88" t="s">
        <v>232</v>
      </c>
      <c r="Q35" s="312" t="s">
        <v>225</v>
      </c>
      <c r="R35" s="312" t="s">
        <v>226</v>
      </c>
      <c r="S35" s="312" t="s">
        <v>227</v>
      </c>
      <c r="W35" s="88" t="s">
        <v>232</v>
      </c>
      <c r="X35" s="312" t="s">
        <v>225</v>
      </c>
      <c r="Y35" s="312" t="s">
        <v>226</v>
      </c>
      <c r="Z35" s="312" t="s">
        <v>227</v>
      </c>
      <c r="AD35" s="88" t="s">
        <v>232</v>
      </c>
      <c r="AE35" s="312" t="s">
        <v>225</v>
      </c>
      <c r="AF35" s="312" t="s">
        <v>226</v>
      </c>
      <c r="AG35" s="312" t="s">
        <v>227</v>
      </c>
      <c r="AK35" s="88" t="s">
        <v>232</v>
      </c>
      <c r="AL35" s="312" t="s">
        <v>225</v>
      </c>
      <c r="AM35" s="312" t="s">
        <v>226</v>
      </c>
      <c r="AN35" s="312" t="s">
        <v>227</v>
      </c>
      <c r="AR35" s="88" t="s">
        <v>232</v>
      </c>
      <c r="AS35" s="312" t="s">
        <v>225</v>
      </c>
      <c r="AT35" s="312" t="s">
        <v>226</v>
      </c>
      <c r="AU35" s="312" t="s">
        <v>227</v>
      </c>
      <c r="AY35" s="88" t="s">
        <v>232</v>
      </c>
      <c r="AZ35" s="312" t="s">
        <v>225</v>
      </c>
      <c r="BA35" s="312" t="s">
        <v>226</v>
      </c>
      <c r="BB35" s="312" t="s">
        <v>227</v>
      </c>
      <c r="BF35" s="88" t="s">
        <v>232</v>
      </c>
      <c r="BG35" s="312" t="s">
        <v>225</v>
      </c>
      <c r="BH35" s="312" t="s">
        <v>226</v>
      </c>
      <c r="BI35" s="312" t="s">
        <v>227</v>
      </c>
      <c r="BM35" s="88" t="s">
        <v>232</v>
      </c>
      <c r="BN35" s="312" t="s">
        <v>225</v>
      </c>
      <c r="BO35" s="312" t="s">
        <v>226</v>
      </c>
      <c r="BP35" s="312" t="s">
        <v>227</v>
      </c>
    </row>
    <row r="36" spans="2:70" x14ac:dyDescent="0.35">
      <c r="B36" t="s">
        <v>157</v>
      </c>
      <c r="C36" s="114">
        <f>Assumptions!$C$89</f>
        <v>1.28</v>
      </c>
      <c r="D36" s="114">
        <f>Assumptions!$C$89</f>
        <v>1.28</v>
      </c>
      <c r="E36" s="115">
        <f t="shared" ref="E36:E45" si="0">(C36*4)+(D36*8)</f>
        <v>15.36</v>
      </c>
      <c r="F36" s="85"/>
      <c r="G36" s="98"/>
      <c r="I36" t="s">
        <v>157</v>
      </c>
      <c r="J36" s="114">
        <f>Assumptions!$C$89</f>
        <v>1.28</v>
      </c>
      <c r="K36" s="114">
        <f>Assumptions!$C$89</f>
        <v>1.28</v>
      </c>
      <c r="L36" s="115">
        <f t="shared" ref="L36:L45" si="1">(J36*4)+(K36*8)</f>
        <v>15.36</v>
      </c>
      <c r="M36" s="85"/>
      <c r="N36" s="98"/>
      <c r="P36" t="s">
        <v>157</v>
      </c>
      <c r="Q36" s="114">
        <f>Assumptions!$C$89</f>
        <v>1.28</v>
      </c>
      <c r="R36" s="114">
        <f>Assumptions!$C$89</f>
        <v>1.28</v>
      </c>
      <c r="S36" s="115">
        <f t="shared" ref="S36:S45" si="2">(Q36*4)+(R36*8)</f>
        <v>15.36</v>
      </c>
      <c r="T36" s="85"/>
      <c r="U36" s="98"/>
      <c r="W36" t="s">
        <v>157</v>
      </c>
      <c r="X36" s="114">
        <f>Assumptions!$C$89</f>
        <v>1.28</v>
      </c>
      <c r="Y36" s="114">
        <f>Assumptions!$C$89</f>
        <v>1.28</v>
      </c>
      <c r="Z36" s="115">
        <f t="shared" ref="Z36:Z45" si="3">(X36*4)+(Y36*8)</f>
        <v>15.36</v>
      </c>
      <c r="AA36" s="85"/>
      <c r="AB36" s="98"/>
      <c r="AD36" t="s">
        <v>157</v>
      </c>
      <c r="AE36" s="114">
        <f>Assumptions!$C$89</f>
        <v>1.28</v>
      </c>
      <c r="AF36" s="114">
        <f>Assumptions!$C$89</f>
        <v>1.28</v>
      </c>
      <c r="AG36" s="115">
        <f t="shared" ref="AG36:AG45" si="4">(AE36*4)+(AF36*8)</f>
        <v>15.36</v>
      </c>
      <c r="AH36" s="85"/>
      <c r="AI36" s="98"/>
      <c r="AK36" t="s">
        <v>157</v>
      </c>
      <c r="AL36" s="114">
        <f>Assumptions!$C$89</f>
        <v>1.28</v>
      </c>
      <c r="AM36" s="114">
        <f>Assumptions!$C$89</f>
        <v>1.28</v>
      </c>
      <c r="AN36" s="115">
        <f t="shared" ref="AN36:AN45" si="5">(AL36*4)+(AM36*8)</f>
        <v>15.36</v>
      </c>
      <c r="AO36" s="85"/>
      <c r="AP36" s="98"/>
      <c r="AR36" t="s">
        <v>157</v>
      </c>
      <c r="AS36" s="114">
        <f>Assumptions!$C$89</f>
        <v>1.28</v>
      </c>
      <c r="AT36" s="114">
        <f>Assumptions!$C$89</f>
        <v>1.28</v>
      </c>
      <c r="AU36" s="115">
        <f t="shared" ref="AU36:AU45" si="6">(AS36*4)+(AT36*8)</f>
        <v>15.36</v>
      </c>
      <c r="AV36" s="85"/>
      <c r="AW36" s="98"/>
      <c r="AY36" t="s">
        <v>157</v>
      </c>
      <c r="AZ36" s="114">
        <f>Assumptions!$C$89</f>
        <v>1.28</v>
      </c>
      <c r="BA36" s="114">
        <f>Assumptions!$C$89</f>
        <v>1.28</v>
      </c>
      <c r="BB36" s="115">
        <f t="shared" ref="BB36:BB45" si="7">(AZ36*4)+(BA36*8)</f>
        <v>15.36</v>
      </c>
      <c r="BC36" s="85"/>
      <c r="BD36" s="98"/>
      <c r="BF36" t="s">
        <v>157</v>
      </c>
      <c r="BG36" s="114">
        <f>Assumptions!$C$89</f>
        <v>1.28</v>
      </c>
      <c r="BH36" s="114">
        <f>Assumptions!$C$89</f>
        <v>1.28</v>
      </c>
      <c r="BI36" s="115">
        <f t="shared" ref="BI36:BI45" si="8">(BG36*4)+(BH36*8)</f>
        <v>15.36</v>
      </c>
      <c r="BJ36" s="85"/>
      <c r="BK36" s="98"/>
      <c r="BM36" t="s">
        <v>157</v>
      </c>
      <c r="BN36" s="114">
        <f>Assumptions!$C$89</f>
        <v>1.28</v>
      </c>
      <c r="BO36" s="114">
        <f>Assumptions!$C$89</f>
        <v>1.28</v>
      </c>
      <c r="BP36" s="115">
        <f t="shared" ref="BP36:BP45" si="9">(BN36*4)+(BO36*8)</f>
        <v>15.36</v>
      </c>
      <c r="BQ36" s="85"/>
      <c r="BR36" s="98"/>
    </row>
    <row r="37" spans="2:70" x14ac:dyDescent="0.35">
      <c r="B37" t="s">
        <v>169</v>
      </c>
      <c r="C37" s="114">
        <f>F$17*Assumptions!$C99</f>
        <v>22.013442000000005</v>
      </c>
      <c r="D37" s="114">
        <f>F$17*Assumptions!$C99</f>
        <v>22.013442000000005</v>
      </c>
      <c r="E37" s="115">
        <f t="shared" si="0"/>
        <v>264.16130400000009</v>
      </c>
      <c r="F37" s="85"/>
      <c r="I37" t="s">
        <v>169</v>
      </c>
      <c r="J37" s="114">
        <f>M$17*Assumptions!$C99</f>
        <v>35.221507199999991</v>
      </c>
      <c r="K37" s="114">
        <f>M$17*Assumptions!$C99</f>
        <v>35.221507199999991</v>
      </c>
      <c r="L37" s="115">
        <f t="shared" si="1"/>
        <v>422.65808639999989</v>
      </c>
      <c r="M37" s="85"/>
      <c r="P37" t="s">
        <v>169</v>
      </c>
      <c r="Q37" s="114">
        <f>T$17*Assumptions!$C99</f>
        <v>52.832260799999986</v>
      </c>
      <c r="R37" s="114">
        <f>T$17*Assumptions!$C99</f>
        <v>52.832260799999986</v>
      </c>
      <c r="S37" s="115">
        <f t="shared" si="2"/>
        <v>633.98712959999989</v>
      </c>
      <c r="T37" s="85"/>
      <c r="W37" t="s">
        <v>169</v>
      </c>
      <c r="X37" s="114">
        <f>AA$17*Assumptions!$C99</f>
        <v>88.053768000000019</v>
      </c>
      <c r="Y37" s="114">
        <f>AA$17*Assumptions!$C99</f>
        <v>88.053768000000019</v>
      </c>
      <c r="Z37" s="115">
        <f t="shared" si="3"/>
        <v>1056.6452160000003</v>
      </c>
      <c r="AA37" s="85"/>
      <c r="AD37" t="s">
        <v>169</v>
      </c>
      <c r="AE37" s="114">
        <f>AH$17*Assumptions!$C99</f>
        <v>0</v>
      </c>
      <c r="AF37" s="114">
        <f>AH$17*Assumptions!$C99</f>
        <v>0</v>
      </c>
      <c r="AG37" s="115">
        <f t="shared" si="4"/>
        <v>0</v>
      </c>
      <c r="AH37" s="85"/>
      <c r="AK37" t="s">
        <v>169</v>
      </c>
      <c r="AL37" s="114">
        <f>AO$17*Assumptions!$C99</f>
        <v>0</v>
      </c>
      <c r="AM37" s="114">
        <f>AO$17*Assumptions!$C99</f>
        <v>0</v>
      </c>
      <c r="AN37" s="115">
        <f t="shared" si="5"/>
        <v>0</v>
      </c>
      <c r="AO37" s="85"/>
      <c r="AR37" t="s">
        <v>169</v>
      </c>
      <c r="AS37" s="114">
        <f>AV$17*Assumptions!$C99</f>
        <v>0</v>
      </c>
      <c r="AT37" s="114">
        <f>AV$17*Assumptions!$C99</f>
        <v>0</v>
      </c>
      <c r="AU37" s="115">
        <f t="shared" si="6"/>
        <v>0</v>
      </c>
      <c r="AV37" s="85"/>
      <c r="AY37" t="s">
        <v>169</v>
      </c>
      <c r="AZ37" s="114">
        <f>BC$17*Assumptions!$C99</f>
        <v>0</v>
      </c>
      <c r="BA37" s="114">
        <f>BC$17*Assumptions!$C99</f>
        <v>0</v>
      </c>
      <c r="BB37" s="115">
        <f t="shared" si="7"/>
        <v>0</v>
      </c>
      <c r="BC37" s="85"/>
      <c r="BF37" t="s">
        <v>169</v>
      </c>
      <c r="BG37" s="114">
        <f>BJ$17*Assumptions!$C99</f>
        <v>0</v>
      </c>
      <c r="BH37" s="114">
        <f>BJ$17*Assumptions!$C99</f>
        <v>0</v>
      </c>
      <c r="BI37" s="115">
        <f t="shared" si="8"/>
        <v>0</v>
      </c>
      <c r="BJ37" s="85"/>
      <c r="BM37" t="s">
        <v>169</v>
      </c>
      <c r="BN37" s="114">
        <f>BQ$17*Assumptions!$C99</f>
        <v>0</v>
      </c>
      <c r="BO37" s="114">
        <f>BQ$17*Assumptions!$C99</f>
        <v>0</v>
      </c>
      <c r="BP37" s="115">
        <f t="shared" si="9"/>
        <v>0</v>
      </c>
      <c r="BQ37" s="85"/>
    </row>
    <row r="38" spans="2:70" x14ac:dyDescent="0.35">
      <c r="B38" t="s">
        <v>171</v>
      </c>
      <c r="C38" s="114">
        <f>F$17*Assumptions!$C100</f>
        <v>1.4295006000000003</v>
      </c>
      <c r="D38" s="114">
        <f>F$17*Assumptions!$C100</f>
        <v>1.4295006000000003</v>
      </c>
      <c r="E38" s="115">
        <f t="shared" si="0"/>
        <v>17.154007200000002</v>
      </c>
      <c r="F38" s="85"/>
      <c r="I38" t="s">
        <v>171</v>
      </c>
      <c r="J38" s="114">
        <f>M$17*Assumptions!$C100</f>
        <v>2.2872009599999994</v>
      </c>
      <c r="K38" s="114">
        <f>M$17*Assumptions!$C100</f>
        <v>2.2872009599999994</v>
      </c>
      <c r="L38" s="115">
        <f t="shared" si="1"/>
        <v>27.446411519999991</v>
      </c>
      <c r="M38" s="85"/>
      <c r="P38" t="s">
        <v>171</v>
      </c>
      <c r="Q38" s="114">
        <f>T$17*Assumptions!$C100</f>
        <v>3.4308014399999993</v>
      </c>
      <c r="R38" s="114">
        <f>T$17*Assumptions!$C100</f>
        <v>3.4308014399999993</v>
      </c>
      <c r="S38" s="115">
        <f t="shared" si="2"/>
        <v>41.16961727999999</v>
      </c>
      <c r="T38" s="85"/>
      <c r="W38" t="s">
        <v>171</v>
      </c>
      <c r="X38" s="114">
        <f>AA$17*Assumptions!$C100</f>
        <v>5.7180024000000014</v>
      </c>
      <c r="Y38" s="114">
        <f>AA$17*Assumptions!$C100</f>
        <v>5.7180024000000014</v>
      </c>
      <c r="Z38" s="115">
        <f t="shared" si="3"/>
        <v>68.616028800000009</v>
      </c>
      <c r="AA38" s="85"/>
      <c r="AD38" t="s">
        <v>171</v>
      </c>
      <c r="AE38" s="114">
        <f>AH$17*Assumptions!$C100</f>
        <v>0</v>
      </c>
      <c r="AF38" s="114">
        <f>AH$17*Assumptions!$C100</f>
        <v>0</v>
      </c>
      <c r="AG38" s="115">
        <f t="shared" si="4"/>
        <v>0</v>
      </c>
      <c r="AH38" s="85"/>
      <c r="AK38" t="s">
        <v>171</v>
      </c>
      <c r="AL38" s="114">
        <f>AO$17*Assumptions!$C100</f>
        <v>0</v>
      </c>
      <c r="AM38" s="114">
        <f>AO$17*Assumptions!$C100</f>
        <v>0</v>
      </c>
      <c r="AN38" s="115">
        <f t="shared" si="5"/>
        <v>0</v>
      </c>
      <c r="AO38" s="85"/>
      <c r="AR38" t="s">
        <v>171</v>
      </c>
      <c r="AS38" s="114">
        <f>AV$17*Assumptions!$C100</f>
        <v>0</v>
      </c>
      <c r="AT38" s="114">
        <f>AV$17*Assumptions!$C100</f>
        <v>0</v>
      </c>
      <c r="AU38" s="115">
        <f t="shared" si="6"/>
        <v>0</v>
      </c>
      <c r="AV38" s="85"/>
      <c r="AY38" t="s">
        <v>171</v>
      </c>
      <c r="AZ38" s="114">
        <f>BC$17*Assumptions!$C100</f>
        <v>0</v>
      </c>
      <c r="BA38" s="114">
        <f>BC$17*Assumptions!$C100</f>
        <v>0</v>
      </c>
      <c r="BB38" s="115">
        <f t="shared" si="7"/>
        <v>0</v>
      </c>
      <c r="BC38" s="85"/>
      <c r="BF38" t="s">
        <v>171</v>
      </c>
      <c r="BG38" s="114">
        <f>BJ$17*Assumptions!$C100</f>
        <v>0</v>
      </c>
      <c r="BH38" s="114">
        <f>BJ$17*Assumptions!$C100</f>
        <v>0</v>
      </c>
      <c r="BI38" s="115">
        <f t="shared" si="8"/>
        <v>0</v>
      </c>
      <c r="BJ38" s="85"/>
      <c r="BM38" t="s">
        <v>171</v>
      </c>
      <c r="BN38" s="114">
        <f>BQ$17*Assumptions!$C100</f>
        <v>0</v>
      </c>
      <c r="BO38" s="114">
        <f>BQ$17*Assumptions!$C100</f>
        <v>0</v>
      </c>
      <c r="BP38" s="115">
        <f t="shared" si="9"/>
        <v>0</v>
      </c>
      <c r="BQ38" s="85"/>
    </row>
    <row r="39" spans="2:70" x14ac:dyDescent="0.35">
      <c r="B39" t="s">
        <v>172</v>
      </c>
      <c r="C39" s="114">
        <f>F$17*Assumptions!$C101</f>
        <v>9.7395870000000002</v>
      </c>
      <c r="D39" s="114">
        <f>F$17*Assumptions!$C101</f>
        <v>9.7395870000000002</v>
      </c>
      <c r="E39" s="115">
        <f t="shared" si="0"/>
        <v>116.875044</v>
      </c>
      <c r="F39" s="85"/>
      <c r="I39" t="s">
        <v>172</v>
      </c>
      <c r="J39" s="114">
        <f>M$17*Assumptions!$C101</f>
        <v>15.583339199999994</v>
      </c>
      <c r="K39" s="114">
        <f>M$17*Assumptions!$C101</f>
        <v>15.583339199999994</v>
      </c>
      <c r="L39" s="115">
        <f t="shared" si="1"/>
        <v>187.00007039999991</v>
      </c>
      <c r="M39" s="85"/>
      <c r="P39" t="s">
        <v>172</v>
      </c>
      <c r="Q39" s="114">
        <f>T$17*Assumptions!$C101</f>
        <v>23.375008799999989</v>
      </c>
      <c r="R39" s="114">
        <f>T$17*Assumptions!$C101</f>
        <v>23.375008799999989</v>
      </c>
      <c r="S39" s="115">
        <f t="shared" si="2"/>
        <v>280.50010559999987</v>
      </c>
      <c r="T39" s="85"/>
      <c r="W39" t="s">
        <v>172</v>
      </c>
      <c r="X39" s="114">
        <f>AA$17*Assumptions!$C101</f>
        <v>38.958348000000001</v>
      </c>
      <c r="Y39" s="114">
        <f>AA$17*Assumptions!$C101</f>
        <v>38.958348000000001</v>
      </c>
      <c r="Z39" s="115">
        <f t="shared" si="3"/>
        <v>467.50017600000001</v>
      </c>
      <c r="AA39" s="85"/>
      <c r="AD39" t="s">
        <v>172</v>
      </c>
      <c r="AE39" s="114">
        <f>AH$17*Assumptions!$C101</f>
        <v>0</v>
      </c>
      <c r="AF39" s="114">
        <f>AH$17*Assumptions!$C101</f>
        <v>0</v>
      </c>
      <c r="AG39" s="115">
        <f t="shared" si="4"/>
        <v>0</v>
      </c>
      <c r="AH39" s="85"/>
      <c r="AK39" t="s">
        <v>172</v>
      </c>
      <c r="AL39" s="114">
        <f>AO$17*Assumptions!$C101</f>
        <v>0</v>
      </c>
      <c r="AM39" s="114">
        <f>AO$17*Assumptions!$C101</f>
        <v>0</v>
      </c>
      <c r="AN39" s="115">
        <f t="shared" si="5"/>
        <v>0</v>
      </c>
      <c r="AO39" s="85"/>
      <c r="AR39" t="s">
        <v>172</v>
      </c>
      <c r="AS39" s="114">
        <f>AV$17*Assumptions!$C101</f>
        <v>0</v>
      </c>
      <c r="AT39" s="114">
        <f>AV$17*Assumptions!$C101</f>
        <v>0</v>
      </c>
      <c r="AU39" s="115">
        <f t="shared" si="6"/>
        <v>0</v>
      </c>
      <c r="AV39" s="85"/>
      <c r="AY39" t="s">
        <v>172</v>
      </c>
      <c r="AZ39" s="114">
        <f>BC$17*Assumptions!$C101</f>
        <v>0</v>
      </c>
      <c r="BA39" s="114">
        <f>BC$17*Assumptions!$C101</f>
        <v>0</v>
      </c>
      <c r="BB39" s="115">
        <f t="shared" si="7"/>
        <v>0</v>
      </c>
      <c r="BC39" s="85"/>
      <c r="BF39" t="s">
        <v>172</v>
      </c>
      <c r="BG39" s="114">
        <f>BJ$17*Assumptions!$C101</f>
        <v>0</v>
      </c>
      <c r="BH39" s="114">
        <f>BJ$17*Assumptions!$C101</f>
        <v>0</v>
      </c>
      <c r="BI39" s="115">
        <f t="shared" si="8"/>
        <v>0</v>
      </c>
      <c r="BJ39" s="85"/>
      <c r="BM39" t="s">
        <v>172</v>
      </c>
      <c r="BN39" s="114">
        <f>BQ$17*Assumptions!$C101</f>
        <v>0</v>
      </c>
      <c r="BO39" s="114">
        <f>BQ$17*Assumptions!$C101</f>
        <v>0</v>
      </c>
      <c r="BP39" s="115">
        <f t="shared" si="9"/>
        <v>0</v>
      </c>
      <c r="BQ39" s="85"/>
    </row>
    <row r="40" spans="2:70" x14ac:dyDescent="0.35">
      <c r="B40" t="s">
        <v>175</v>
      </c>
      <c r="C40" s="114">
        <f>F$17*Assumptions!$C102</f>
        <v>2.2380814500000006</v>
      </c>
      <c r="D40" s="114">
        <f>F$17*Assumptions!$C102</f>
        <v>2.2380814500000006</v>
      </c>
      <c r="E40" s="115">
        <f t="shared" si="0"/>
        <v>26.856977400000005</v>
      </c>
      <c r="I40" t="s">
        <v>175</v>
      </c>
      <c r="J40" s="114">
        <f>M$17*Assumptions!$C102</f>
        <v>3.5809303199999993</v>
      </c>
      <c r="K40" s="114">
        <f>M$17*Assumptions!$C102</f>
        <v>3.5809303199999993</v>
      </c>
      <c r="L40" s="115">
        <f t="shared" si="1"/>
        <v>42.971163839999988</v>
      </c>
      <c r="P40" t="s">
        <v>175</v>
      </c>
      <c r="Q40" s="114">
        <f>T$17*Assumptions!$C102</f>
        <v>5.3713954799999986</v>
      </c>
      <c r="R40" s="114">
        <f>T$17*Assumptions!$C102</f>
        <v>5.3713954799999986</v>
      </c>
      <c r="S40" s="115">
        <f t="shared" si="2"/>
        <v>64.45674575999999</v>
      </c>
      <c r="W40" t="s">
        <v>175</v>
      </c>
      <c r="X40" s="114">
        <f>AA$17*Assumptions!$C102</f>
        <v>8.9523258000000023</v>
      </c>
      <c r="Y40" s="114">
        <f>AA$17*Assumptions!$C102</f>
        <v>8.9523258000000023</v>
      </c>
      <c r="Z40" s="115">
        <f t="shared" si="3"/>
        <v>107.42790960000002</v>
      </c>
      <c r="AD40" t="s">
        <v>175</v>
      </c>
      <c r="AE40" s="114">
        <f>AH$17*Assumptions!$C102</f>
        <v>0</v>
      </c>
      <c r="AF40" s="114">
        <f>AH$17*Assumptions!$C102</f>
        <v>0</v>
      </c>
      <c r="AG40" s="115">
        <f t="shared" si="4"/>
        <v>0</v>
      </c>
      <c r="AK40" t="s">
        <v>175</v>
      </c>
      <c r="AL40" s="114">
        <f>AO$17*Assumptions!$C102</f>
        <v>0</v>
      </c>
      <c r="AM40" s="114">
        <f>AO$17*Assumptions!$C102</f>
        <v>0</v>
      </c>
      <c r="AN40" s="115">
        <f t="shared" si="5"/>
        <v>0</v>
      </c>
      <c r="AR40" t="s">
        <v>175</v>
      </c>
      <c r="AS40" s="114">
        <f>AV$17*Assumptions!$C102</f>
        <v>0</v>
      </c>
      <c r="AT40" s="114">
        <f>AV$17*Assumptions!$C102</f>
        <v>0</v>
      </c>
      <c r="AU40" s="115">
        <f t="shared" si="6"/>
        <v>0</v>
      </c>
      <c r="AY40" t="s">
        <v>175</v>
      </c>
      <c r="AZ40" s="114">
        <f>BC$17*Assumptions!$C102</f>
        <v>0</v>
      </c>
      <c r="BA40" s="114">
        <f>BC$17*Assumptions!$C102</f>
        <v>0</v>
      </c>
      <c r="BB40" s="115">
        <f t="shared" si="7"/>
        <v>0</v>
      </c>
      <c r="BF40" t="s">
        <v>175</v>
      </c>
      <c r="BG40" s="114">
        <f>BJ$17*Assumptions!$C102</f>
        <v>0</v>
      </c>
      <c r="BH40" s="114">
        <f>BJ$17*Assumptions!$C102</f>
        <v>0</v>
      </c>
      <c r="BI40" s="115">
        <f t="shared" si="8"/>
        <v>0</v>
      </c>
      <c r="BM40" t="s">
        <v>175</v>
      </c>
      <c r="BN40" s="114">
        <f>BQ$17*Assumptions!$C102</f>
        <v>0</v>
      </c>
      <c r="BO40" s="114">
        <f>BQ$17*Assumptions!$C102</f>
        <v>0</v>
      </c>
      <c r="BP40" s="115">
        <f t="shared" si="9"/>
        <v>0</v>
      </c>
    </row>
    <row r="41" spans="2:70" x14ac:dyDescent="0.35">
      <c r="B41" t="s">
        <v>176</v>
      </c>
      <c r="C41" s="114">
        <f>F$17*Assumptions!$C103</f>
        <v>5.3841150000000018E-2</v>
      </c>
      <c r="D41" s="114">
        <f>F$17*Assumptions!$C103</f>
        <v>5.3841150000000018E-2</v>
      </c>
      <c r="E41" s="115">
        <f t="shared" si="0"/>
        <v>0.64609380000000027</v>
      </c>
      <c r="I41" t="s">
        <v>176</v>
      </c>
      <c r="J41" s="114">
        <f>M$17*Assumptions!$C103</f>
        <v>8.6145839999999987E-2</v>
      </c>
      <c r="K41" s="114">
        <f>M$17*Assumptions!$C103</f>
        <v>8.6145839999999987E-2</v>
      </c>
      <c r="L41" s="115">
        <f t="shared" si="1"/>
        <v>1.0337500799999999</v>
      </c>
      <c r="P41" t="s">
        <v>176</v>
      </c>
      <c r="Q41" s="114">
        <f>T$17*Assumptions!$C103</f>
        <v>0.12921875999999999</v>
      </c>
      <c r="R41" s="114">
        <f>T$17*Assumptions!$C103</f>
        <v>0.12921875999999999</v>
      </c>
      <c r="S41" s="115">
        <f t="shared" si="2"/>
        <v>1.5506251199999999</v>
      </c>
      <c r="W41" t="s">
        <v>176</v>
      </c>
      <c r="X41" s="114">
        <f>AA$17*Assumptions!$C103</f>
        <v>0.21536460000000007</v>
      </c>
      <c r="Y41" s="114">
        <f>AA$17*Assumptions!$C103</f>
        <v>0.21536460000000007</v>
      </c>
      <c r="Z41" s="115">
        <f t="shared" si="3"/>
        <v>2.5843752000000011</v>
      </c>
      <c r="AD41" t="s">
        <v>176</v>
      </c>
      <c r="AE41" s="114">
        <f>AH$17*Assumptions!$C103</f>
        <v>0</v>
      </c>
      <c r="AF41" s="114">
        <f>AH$17*Assumptions!$C103</f>
        <v>0</v>
      </c>
      <c r="AG41" s="115">
        <f t="shared" si="4"/>
        <v>0</v>
      </c>
      <c r="AK41" t="s">
        <v>176</v>
      </c>
      <c r="AL41" s="114">
        <f>AO$17*Assumptions!$C103</f>
        <v>0</v>
      </c>
      <c r="AM41" s="114">
        <f>AO$17*Assumptions!$C103</f>
        <v>0</v>
      </c>
      <c r="AN41" s="115">
        <f t="shared" si="5"/>
        <v>0</v>
      </c>
      <c r="AR41" t="s">
        <v>176</v>
      </c>
      <c r="AS41" s="114">
        <f>AV$17*Assumptions!$C103</f>
        <v>0</v>
      </c>
      <c r="AT41" s="114">
        <f>AV$17*Assumptions!$C103</f>
        <v>0</v>
      </c>
      <c r="AU41" s="115">
        <f t="shared" si="6"/>
        <v>0</v>
      </c>
      <c r="AY41" t="s">
        <v>176</v>
      </c>
      <c r="AZ41" s="114">
        <f>BC$17*Assumptions!$C103</f>
        <v>0</v>
      </c>
      <c r="BA41" s="114">
        <f>BC$17*Assumptions!$C103</f>
        <v>0</v>
      </c>
      <c r="BB41" s="115">
        <f t="shared" si="7"/>
        <v>0</v>
      </c>
      <c r="BF41" t="s">
        <v>176</v>
      </c>
      <c r="BG41" s="114">
        <f>BJ$17*Assumptions!$C103</f>
        <v>0</v>
      </c>
      <c r="BH41" s="114">
        <f>BJ$17*Assumptions!$C103</f>
        <v>0</v>
      </c>
      <c r="BI41" s="115">
        <f t="shared" si="8"/>
        <v>0</v>
      </c>
      <c r="BM41" t="s">
        <v>176</v>
      </c>
      <c r="BN41" s="114">
        <f>BQ$17*Assumptions!$C103</f>
        <v>0</v>
      </c>
      <c r="BO41" s="114">
        <f>BQ$17*Assumptions!$C103</f>
        <v>0</v>
      </c>
      <c r="BP41" s="115">
        <f t="shared" si="9"/>
        <v>0</v>
      </c>
    </row>
    <row r="42" spans="2:70" x14ac:dyDescent="0.35">
      <c r="B42" t="s">
        <v>177</v>
      </c>
      <c r="C42" s="114">
        <f>F$17*Assumptions!$C104</f>
        <v>9.6360000000000011E-4</v>
      </c>
      <c r="D42" s="114">
        <f>F$17*Assumptions!$C104</f>
        <v>9.6360000000000011E-4</v>
      </c>
      <c r="E42" s="115">
        <f t="shared" si="0"/>
        <v>1.1563200000000001E-2</v>
      </c>
      <c r="I42" t="s">
        <v>177</v>
      </c>
      <c r="J42" s="114">
        <f>M$17*Assumptions!$C104</f>
        <v>1.5417599999999994E-3</v>
      </c>
      <c r="K42" s="114">
        <f>M$17*Assumptions!$C104</f>
        <v>1.5417599999999994E-3</v>
      </c>
      <c r="L42" s="115">
        <f t="shared" si="1"/>
        <v>1.8501119999999992E-2</v>
      </c>
      <c r="P42" t="s">
        <v>177</v>
      </c>
      <c r="Q42" s="114">
        <f>T$17*Assumptions!$C104</f>
        <v>2.3126399999999991E-3</v>
      </c>
      <c r="R42" s="114">
        <f>T$17*Assumptions!$C104</f>
        <v>2.3126399999999991E-3</v>
      </c>
      <c r="S42" s="115">
        <f t="shared" si="2"/>
        <v>2.7751679999999987E-2</v>
      </c>
      <c r="W42" t="s">
        <v>177</v>
      </c>
      <c r="X42" s="114">
        <f>AA$17*Assumptions!$C104</f>
        <v>3.8544000000000004E-3</v>
      </c>
      <c r="Y42" s="114">
        <f>AA$17*Assumptions!$C104</f>
        <v>3.8544000000000004E-3</v>
      </c>
      <c r="Z42" s="115">
        <f t="shared" si="3"/>
        <v>4.6252800000000004E-2</v>
      </c>
      <c r="AD42" t="s">
        <v>177</v>
      </c>
      <c r="AE42" s="114">
        <f>AH$17*Assumptions!$C104</f>
        <v>0</v>
      </c>
      <c r="AF42" s="114">
        <f>AH$17*Assumptions!$C104</f>
        <v>0</v>
      </c>
      <c r="AG42" s="115">
        <f t="shared" si="4"/>
        <v>0</v>
      </c>
      <c r="AK42" t="s">
        <v>177</v>
      </c>
      <c r="AL42" s="114">
        <f>AO$17*Assumptions!$C104</f>
        <v>0</v>
      </c>
      <c r="AM42" s="114">
        <f>AO$17*Assumptions!$C104</f>
        <v>0</v>
      </c>
      <c r="AN42" s="115">
        <f t="shared" si="5"/>
        <v>0</v>
      </c>
      <c r="AR42" t="s">
        <v>177</v>
      </c>
      <c r="AS42" s="114">
        <f>AV$17*Assumptions!$C104</f>
        <v>0</v>
      </c>
      <c r="AT42" s="114">
        <f>AV$17*Assumptions!$C104</f>
        <v>0</v>
      </c>
      <c r="AU42" s="115">
        <f t="shared" si="6"/>
        <v>0</v>
      </c>
      <c r="AY42" t="s">
        <v>177</v>
      </c>
      <c r="AZ42" s="114">
        <f>BC$17*Assumptions!$C104</f>
        <v>0</v>
      </c>
      <c r="BA42" s="114">
        <f>BC$17*Assumptions!$C104</f>
        <v>0</v>
      </c>
      <c r="BB42" s="115">
        <f t="shared" si="7"/>
        <v>0</v>
      </c>
      <c r="BF42" t="s">
        <v>177</v>
      </c>
      <c r="BG42" s="114">
        <f>BJ$17*Assumptions!$C104</f>
        <v>0</v>
      </c>
      <c r="BH42" s="114">
        <f>BJ$17*Assumptions!$C104</f>
        <v>0</v>
      </c>
      <c r="BI42" s="115">
        <f t="shared" si="8"/>
        <v>0</v>
      </c>
      <c r="BM42" t="s">
        <v>177</v>
      </c>
      <c r="BN42" s="114">
        <f>BQ$17*Assumptions!$C104</f>
        <v>0</v>
      </c>
      <c r="BO42" s="114">
        <f>BQ$17*Assumptions!$C104</f>
        <v>0</v>
      </c>
      <c r="BP42" s="115">
        <f t="shared" si="9"/>
        <v>0</v>
      </c>
    </row>
    <row r="43" spans="2:70" x14ac:dyDescent="0.35">
      <c r="B43" t="s">
        <v>178</v>
      </c>
      <c r="C43" s="114">
        <f>F$17*Assumptions!$C105</f>
        <v>0</v>
      </c>
      <c r="D43" s="114">
        <f>F$17*Assumptions!$C105</f>
        <v>0</v>
      </c>
      <c r="E43" s="115">
        <f t="shared" si="0"/>
        <v>0</v>
      </c>
      <c r="I43" t="s">
        <v>178</v>
      </c>
      <c r="J43" s="114">
        <f>M$17*Assumptions!$C105</f>
        <v>0</v>
      </c>
      <c r="K43" s="114">
        <f>M$17*Assumptions!$C105</f>
        <v>0</v>
      </c>
      <c r="L43" s="115">
        <f t="shared" si="1"/>
        <v>0</v>
      </c>
      <c r="P43" t="s">
        <v>178</v>
      </c>
      <c r="Q43" s="114">
        <f>T$17*Assumptions!$C105</f>
        <v>0</v>
      </c>
      <c r="R43" s="114">
        <f>T$17*Assumptions!$C105</f>
        <v>0</v>
      </c>
      <c r="S43" s="115">
        <f t="shared" si="2"/>
        <v>0</v>
      </c>
      <c r="W43" t="s">
        <v>178</v>
      </c>
      <c r="X43" s="114">
        <f>AA$17*Assumptions!$C105</f>
        <v>0</v>
      </c>
      <c r="Y43" s="114">
        <f>AA$17*Assumptions!$C105</f>
        <v>0</v>
      </c>
      <c r="Z43" s="115">
        <f t="shared" si="3"/>
        <v>0</v>
      </c>
      <c r="AD43" t="s">
        <v>178</v>
      </c>
      <c r="AE43" s="114">
        <f>AH$17*Assumptions!$C105</f>
        <v>0</v>
      </c>
      <c r="AF43" s="114">
        <f>AH$17*Assumptions!$C105</f>
        <v>0</v>
      </c>
      <c r="AG43" s="115">
        <f t="shared" si="4"/>
        <v>0</v>
      </c>
      <c r="AK43" t="s">
        <v>178</v>
      </c>
      <c r="AL43" s="114">
        <f>AO$17*Assumptions!$C105</f>
        <v>0</v>
      </c>
      <c r="AM43" s="114">
        <f>AO$17*Assumptions!$C105</f>
        <v>0</v>
      </c>
      <c r="AN43" s="115">
        <f t="shared" si="5"/>
        <v>0</v>
      </c>
      <c r="AR43" t="s">
        <v>178</v>
      </c>
      <c r="AS43" s="114">
        <f>AV$17*Assumptions!$C105</f>
        <v>0</v>
      </c>
      <c r="AT43" s="114">
        <f>AV$17*Assumptions!$C105</f>
        <v>0</v>
      </c>
      <c r="AU43" s="115">
        <f t="shared" si="6"/>
        <v>0</v>
      </c>
      <c r="AY43" t="s">
        <v>178</v>
      </c>
      <c r="AZ43" s="114">
        <f>BC$17*Assumptions!$C105</f>
        <v>0</v>
      </c>
      <c r="BA43" s="114">
        <f>BC$17*Assumptions!$C105</f>
        <v>0</v>
      </c>
      <c r="BB43" s="115">
        <f t="shared" si="7"/>
        <v>0</v>
      </c>
      <c r="BF43" t="s">
        <v>178</v>
      </c>
      <c r="BG43" s="114">
        <f>BJ$17*Assumptions!$C105</f>
        <v>0</v>
      </c>
      <c r="BH43" s="114">
        <f>BJ$17*Assumptions!$C105</f>
        <v>0</v>
      </c>
      <c r="BI43" s="115">
        <f t="shared" si="8"/>
        <v>0</v>
      </c>
      <c r="BM43" t="s">
        <v>178</v>
      </c>
      <c r="BN43" s="114">
        <f>BQ$17*Assumptions!$C105</f>
        <v>0</v>
      </c>
      <c r="BO43" s="114">
        <f>BQ$17*Assumptions!$C105</f>
        <v>0</v>
      </c>
      <c r="BP43" s="115">
        <f t="shared" si="9"/>
        <v>0</v>
      </c>
    </row>
    <row r="44" spans="2:70" x14ac:dyDescent="0.35">
      <c r="B44" t="s">
        <v>180</v>
      </c>
      <c r="C44" s="114">
        <f>F$17*Assumptions!$C106</f>
        <v>7.3715400000000022</v>
      </c>
      <c r="D44" s="114">
        <f>F$17*Assumptions!$C106</f>
        <v>7.3715400000000022</v>
      </c>
      <c r="E44" s="115">
        <f t="shared" si="0"/>
        <v>88.458480000000023</v>
      </c>
      <c r="I44" t="s">
        <v>180</v>
      </c>
      <c r="J44" s="114">
        <f>M$17*Assumptions!$C106</f>
        <v>11.794463999999998</v>
      </c>
      <c r="K44" s="114">
        <f>M$17*Assumptions!$C106</f>
        <v>11.794463999999998</v>
      </c>
      <c r="L44" s="115">
        <f t="shared" si="1"/>
        <v>141.53356799999997</v>
      </c>
      <c r="P44" t="s">
        <v>180</v>
      </c>
      <c r="Q44" s="114">
        <f>T$17*Assumptions!$C106</f>
        <v>17.691695999999997</v>
      </c>
      <c r="R44" s="114">
        <f>T$17*Assumptions!$C106</f>
        <v>17.691695999999997</v>
      </c>
      <c r="S44" s="115">
        <f t="shared" si="2"/>
        <v>212.30035199999998</v>
      </c>
      <c r="W44" t="s">
        <v>180</v>
      </c>
      <c r="X44" s="114">
        <f>AA$17*Assumptions!$C106</f>
        <v>29.486160000000009</v>
      </c>
      <c r="Y44" s="114">
        <f>AA$17*Assumptions!$C106</f>
        <v>29.486160000000009</v>
      </c>
      <c r="Z44" s="115">
        <f t="shared" si="3"/>
        <v>353.83392000000009</v>
      </c>
      <c r="AD44" t="s">
        <v>180</v>
      </c>
      <c r="AE44" s="114">
        <f>AH$17*Assumptions!$C106</f>
        <v>0</v>
      </c>
      <c r="AF44" s="114">
        <f>AH$17*Assumptions!$C106</f>
        <v>0</v>
      </c>
      <c r="AG44" s="115">
        <f t="shared" si="4"/>
        <v>0</v>
      </c>
      <c r="AK44" t="s">
        <v>180</v>
      </c>
      <c r="AL44" s="114">
        <f>AO$17*Assumptions!$C106</f>
        <v>0</v>
      </c>
      <c r="AM44" s="114">
        <f>AO$17*Assumptions!$C106</f>
        <v>0</v>
      </c>
      <c r="AN44" s="115">
        <f t="shared" si="5"/>
        <v>0</v>
      </c>
      <c r="AR44" t="s">
        <v>180</v>
      </c>
      <c r="AS44" s="114">
        <f>AV$17*Assumptions!$C106</f>
        <v>0</v>
      </c>
      <c r="AT44" s="114">
        <f>AV$17*Assumptions!$C106</f>
        <v>0</v>
      </c>
      <c r="AU44" s="115">
        <f t="shared" si="6"/>
        <v>0</v>
      </c>
      <c r="AY44" t="s">
        <v>180</v>
      </c>
      <c r="AZ44" s="114">
        <f>BC$17*Assumptions!$C106</f>
        <v>0</v>
      </c>
      <c r="BA44" s="114">
        <f>BC$17*Assumptions!$C106</f>
        <v>0</v>
      </c>
      <c r="BB44" s="115">
        <f t="shared" si="7"/>
        <v>0</v>
      </c>
      <c r="BF44" t="s">
        <v>180</v>
      </c>
      <c r="BG44" s="114">
        <f>BJ$17*Assumptions!$C106</f>
        <v>0</v>
      </c>
      <c r="BH44" s="114">
        <f>BJ$17*Assumptions!$C106</f>
        <v>0</v>
      </c>
      <c r="BI44" s="115">
        <f t="shared" si="8"/>
        <v>0</v>
      </c>
      <c r="BM44" t="s">
        <v>180</v>
      </c>
      <c r="BN44" s="114">
        <f>BQ$17*Assumptions!$C106</f>
        <v>0</v>
      </c>
      <c r="BO44" s="114">
        <f>BQ$17*Assumptions!$C106</f>
        <v>0</v>
      </c>
      <c r="BP44" s="115">
        <f t="shared" si="9"/>
        <v>0</v>
      </c>
    </row>
    <row r="45" spans="2:70" x14ac:dyDescent="0.35">
      <c r="B45" t="s">
        <v>181</v>
      </c>
      <c r="C45" s="114">
        <f>F$17*Assumptions!$C107</f>
        <v>0</v>
      </c>
      <c r="D45" s="114">
        <f>F$17*Assumptions!$C107</f>
        <v>0</v>
      </c>
      <c r="E45" s="115">
        <f t="shared" si="0"/>
        <v>0</v>
      </c>
      <c r="I45" t="s">
        <v>181</v>
      </c>
      <c r="J45" s="114">
        <f>M$17*Assumptions!$C107</f>
        <v>0</v>
      </c>
      <c r="K45" s="114">
        <f>M$17*Assumptions!$C107</f>
        <v>0</v>
      </c>
      <c r="L45" s="115">
        <f t="shared" si="1"/>
        <v>0</v>
      </c>
      <c r="P45" t="s">
        <v>181</v>
      </c>
      <c r="Q45" s="114">
        <f>T$17*Assumptions!$C107</f>
        <v>0</v>
      </c>
      <c r="R45" s="114">
        <f>T$17*Assumptions!$C107</f>
        <v>0</v>
      </c>
      <c r="S45" s="115">
        <f t="shared" si="2"/>
        <v>0</v>
      </c>
      <c r="W45" t="s">
        <v>181</v>
      </c>
      <c r="X45" s="114">
        <f>AA$17*Assumptions!$C107</f>
        <v>0</v>
      </c>
      <c r="Y45" s="114">
        <f>AA$17*Assumptions!$C107</f>
        <v>0</v>
      </c>
      <c r="Z45" s="115">
        <f t="shared" si="3"/>
        <v>0</v>
      </c>
      <c r="AD45" t="s">
        <v>181</v>
      </c>
      <c r="AE45" s="114">
        <f>AH$17*Assumptions!$C107</f>
        <v>0</v>
      </c>
      <c r="AF45" s="114">
        <f>AH$17*Assumptions!$C107</f>
        <v>0</v>
      </c>
      <c r="AG45" s="115">
        <f t="shared" si="4"/>
        <v>0</v>
      </c>
      <c r="AK45" t="s">
        <v>181</v>
      </c>
      <c r="AL45" s="114">
        <f>AO$17*Assumptions!$C107</f>
        <v>0</v>
      </c>
      <c r="AM45" s="114">
        <f>AO$17*Assumptions!$C107</f>
        <v>0</v>
      </c>
      <c r="AN45" s="115">
        <f t="shared" si="5"/>
        <v>0</v>
      </c>
      <c r="AR45" t="s">
        <v>181</v>
      </c>
      <c r="AS45" s="114">
        <f>AV$17*Assumptions!$C107</f>
        <v>0</v>
      </c>
      <c r="AT45" s="114">
        <f>AV$17*Assumptions!$C107</f>
        <v>0</v>
      </c>
      <c r="AU45" s="115">
        <f t="shared" si="6"/>
        <v>0</v>
      </c>
      <c r="AY45" t="s">
        <v>181</v>
      </c>
      <c r="AZ45" s="114">
        <f>BC$17*Assumptions!$C107</f>
        <v>0</v>
      </c>
      <c r="BA45" s="114">
        <f>BC$17*Assumptions!$C107</f>
        <v>0</v>
      </c>
      <c r="BB45" s="115">
        <f t="shared" si="7"/>
        <v>0</v>
      </c>
      <c r="BF45" t="s">
        <v>181</v>
      </c>
      <c r="BG45" s="114">
        <f>BJ$17*Assumptions!$C107</f>
        <v>0</v>
      </c>
      <c r="BH45" s="114">
        <f>BJ$17*Assumptions!$C107</f>
        <v>0</v>
      </c>
      <c r="BI45" s="115">
        <f t="shared" si="8"/>
        <v>0</v>
      </c>
      <c r="BM45" t="s">
        <v>181</v>
      </c>
      <c r="BN45" s="114">
        <f>BQ$17*Assumptions!$C107</f>
        <v>0</v>
      </c>
      <c r="BO45" s="114">
        <f>BQ$17*Assumptions!$C107</f>
        <v>0</v>
      </c>
      <c r="BP45" s="115">
        <f t="shared" si="9"/>
        <v>0</v>
      </c>
    </row>
    <row r="46" spans="2:70" x14ac:dyDescent="0.35">
      <c r="B46" s="22" t="s">
        <v>233</v>
      </c>
      <c r="C46" s="114">
        <f>SUM(C36:C45)</f>
        <v>44.126955800000012</v>
      </c>
      <c r="D46" s="114">
        <f>SUM(D36:D45)</f>
        <v>44.126955800000012</v>
      </c>
      <c r="E46" s="114">
        <f>SUM(E36:E45)</f>
        <v>529.52346960000023</v>
      </c>
      <c r="I46" s="22" t="s">
        <v>233</v>
      </c>
      <c r="J46" s="114">
        <f>SUM(J36:J45)</f>
        <v>69.83512927999999</v>
      </c>
      <c r="K46" s="114">
        <f>SUM(K36:K45)</f>
        <v>69.83512927999999</v>
      </c>
      <c r="L46" s="114">
        <f>SUM(L36:L45)</f>
        <v>838.02155135999976</v>
      </c>
      <c r="P46" s="22" t="s">
        <v>233</v>
      </c>
      <c r="Q46" s="114">
        <f>SUM(Q36:Q45)</f>
        <v>104.11269391999997</v>
      </c>
      <c r="R46" s="114">
        <f>SUM(R36:R45)</f>
        <v>104.11269391999997</v>
      </c>
      <c r="S46" s="114">
        <f>SUM(S36:S45)</f>
        <v>1249.3523270399996</v>
      </c>
      <c r="W46" s="22" t="s">
        <v>233</v>
      </c>
      <c r="X46" s="114">
        <f>SUM(X36:X45)</f>
        <v>172.66782320000002</v>
      </c>
      <c r="Y46" s="114">
        <f>SUM(Y36:Y45)</f>
        <v>172.66782320000002</v>
      </c>
      <c r="Z46" s="114">
        <f>SUM(Z36:Z45)</f>
        <v>2072.0138784000005</v>
      </c>
      <c r="AD46" s="22" t="s">
        <v>233</v>
      </c>
      <c r="AE46" s="114">
        <f>SUM(AE36:AE45)</f>
        <v>1.28</v>
      </c>
      <c r="AF46" s="114">
        <f>SUM(AF36:AF45)</f>
        <v>1.28</v>
      </c>
      <c r="AG46" s="114">
        <f>SUM(AG36:AG45)</f>
        <v>15.36</v>
      </c>
      <c r="AK46" s="22" t="s">
        <v>233</v>
      </c>
      <c r="AL46" s="114">
        <f>SUM(AL36:AL45)</f>
        <v>1.28</v>
      </c>
      <c r="AM46" s="114">
        <f>SUM(AM36:AM45)</f>
        <v>1.28</v>
      </c>
      <c r="AN46" s="114">
        <f>SUM(AN36:AN45)</f>
        <v>15.36</v>
      </c>
      <c r="AR46" s="22" t="s">
        <v>233</v>
      </c>
      <c r="AS46" s="114">
        <f>SUM(AS36:AS45)</f>
        <v>1.28</v>
      </c>
      <c r="AT46" s="114">
        <f>SUM(AT36:AT45)</f>
        <v>1.28</v>
      </c>
      <c r="AU46" s="114">
        <f>SUM(AU36:AU45)</f>
        <v>15.36</v>
      </c>
      <c r="AY46" s="22" t="s">
        <v>233</v>
      </c>
      <c r="AZ46" s="114">
        <f>SUM(AZ36:AZ45)</f>
        <v>1.28</v>
      </c>
      <c r="BA46" s="114">
        <f>SUM(BA36:BA45)</f>
        <v>1.28</v>
      </c>
      <c r="BB46" s="114">
        <f>SUM(BB36:BB45)</f>
        <v>15.36</v>
      </c>
      <c r="BF46" s="22" t="s">
        <v>233</v>
      </c>
      <c r="BG46" s="114">
        <f>SUM(BG36:BG45)</f>
        <v>1.28</v>
      </c>
      <c r="BH46" s="114">
        <f>SUM(BH36:BH45)</f>
        <v>1.28</v>
      </c>
      <c r="BI46" s="114">
        <f>SUM(BI36:BI45)</f>
        <v>15.36</v>
      </c>
      <c r="BM46" s="22" t="s">
        <v>233</v>
      </c>
      <c r="BN46" s="114">
        <f>SUM(BN36:BN45)</f>
        <v>1.28</v>
      </c>
      <c r="BO46" s="114">
        <f>SUM(BO36:BO45)</f>
        <v>1.28</v>
      </c>
      <c r="BP46" s="114">
        <f>SUM(BP36:BP45)</f>
        <v>15.36</v>
      </c>
    </row>
    <row r="47" spans="2:70" x14ac:dyDescent="0.35">
      <c r="B47" s="22"/>
      <c r="C47" s="114"/>
      <c r="D47" s="114"/>
      <c r="I47" s="22"/>
      <c r="J47" s="114"/>
      <c r="K47" s="114"/>
      <c r="P47" s="22"/>
      <c r="Q47" s="114"/>
      <c r="R47" s="114"/>
      <c r="W47" s="22"/>
      <c r="X47" s="114"/>
      <c r="Y47" s="114"/>
      <c r="AD47" s="22"/>
      <c r="AE47" s="114"/>
      <c r="AF47" s="114"/>
      <c r="AK47" s="22"/>
      <c r="AL47" s="114"/>
      <c r="AM47" s="114"/>
      <c r="AR47" s="22"/>
      <c r="AS47" s="114"/>
      <c r="AT47" s="114"/>
      <c r="AY47" s="22"/>
      <c r="AZ47" s="114"/>
      <c r="BA47" s="114"/>
      <c r="BF47" s="22"/>
      <c r="BG47" s="114"/>
      <c r="BH47" s="114"/>
      <c r="BM47" s="22"/>
      <c r="BN47" s="114"/>
      <c r="BO47" s="114"/>
    </row>
    <row r="48" spans="2:70" x14ac:dyDescent="0.35">
      <c r="B48" t="s">
        <v>234</v>
      </c>
      <c r="C48" s="114">
        <f>+C32+C46</f>
        <v>1761.9535557999998</v>
      </c>
      <c r="D48" s="114">
        <f>+D32+D46</f>
        <v>1423.4343557999998</v>
      </c>
      <c r="E48" s="115">
        <f>(C48*4)+(D48*8)</f>
        <v>18435.289069599996</v>
      </c>
      <c r="I48" t="s">
        <v>234</v>
      </c>
      <c r="J48" s="114">
        <f>+J32+J46</f>
        <v>1805.87376928</v>
      </c>
      <c r="K48" s="114">
        <f>+K32+K46</f>
        <v>1467.3545692800001</v>
      </c>
      <c r="L48" s="115">
        <f>(J48*4)+(K48*8)</f>
        <v>18962.331631360001</v>
      </c>
      <c r="P48" t="s">
        <v>234</v>
      </c>
      <c r="Q48" s="114">
        <f>+Q32+Q46</f>
        <v>1864.4340539199998</v>
      </c>
      <c r="R48" s="114">
        <f>+R32+R46</f>
        <v>1525.91485392</v>
      </c>
      <c r="S48" s="115">
        <f>(Q48*4)+(R48*8)</f>
        <v>19665.055047039998</v>
      </c>
      <c r="W48" t="s">
        <v>234</v>
      </c>
      <c r="X48" s="114">
        <f>+X32+X46</f>
        <v>1981.5546231999999</v>
      </c>
      <c r="Y48" s="114">
        <f>+Y32+Y46</f>
        <v>1643.0354232</v>
      </c>
      <c r="Z48" s="115">
        <f>(X48*4)+(Y48*8)</f>
        <v>21070.501878399999</v>
      </c>
      <c r="AD48" t="s">
        <v>234</v>
      </c>
      <c r="AE48" s="114">
        <f>+AE32+AE46</f>
        <v>1688.7531999999999</v>
      </c>
      <c r="AF48" s="114">
        <f>+AF32+AF46</f>
        <v>1350.2339999999999</v>
      </c>
      <c r="AG48" s="115">
        <f>(AE48*4)+(AF48*8)</f>
        <v>17556.8848</v>
      </c>
      <c r="AK48" t="s">
        <v>234</v>
      </c>
      <c r="AL48" s="114">
        <f>+AL32+AL46</f>
        <v>1688.7531999999999</v>
      </c>
      <c r="AM48" s="114">
        <f>+AM32+AM46</f>
        <v>1350.2339999999999</v>
      </c>
      <c r="AN48" s="115">
        <f>(AL48*4)+(AM48*8)</f>
        <v>17556.8848</v>
      </c>
      <c r="AR48" t="s">
        <v>234</v>
      </c>
      <c r="AS48" s="114">
        <f>+AS32+AS46</f>
        <v>1688.7531999999999</v>
      </c>
      <c r="AT48" s="114">
        <f>+AT32+AT46</f>
        <v>1350.2339999999999</v>
      </c>
      <c r="AU48" s="115">
        <f>(AS48*4)+(AT48*8)</f>
        <v>17556.8848</v>
      </c>
      <c r="AY48" t="s">
        <v>234</v>
      </c>
      <c r="AZ48" s="114">
        <f>+AZ32+AZ46</f>
        <v>1688.7531999999999</v>
      </c>
      <c r="BA48" s="114">
        <f>+BA32+BA46</f>
        <v>1350.2339999999999</v>
      </c>
      <c r="BB48" s="115">
        <f>(AZ48*4)+(BA48*8)</f>
        <v>17556.8848</v>
      </c>
      <c r="BF48" t="s">
        <v>234</v>
      </c>
      <c r="BG48" s="114">
        <f>+BG32+BG46</f>
        <v>1688.7531999999999</v>
      </c>
      <c r="BH48" s="114">
        <f>+BH32+BH46</f>
        <v>1350.2339999999999</v>
      </c>
      <c r="BI48" s="115">
        <f>(BG48*4)+(BH48*8)</f>
        <v>17556.8848</v>
      </c>
      <c r="BM48" t="s">
        <v>234</v>
      </c>
      <c r="BN48" s="114">
        <f>+BN32+BN46</f>
        <v>1688.7531999999999</v>
      </c>
      <c r="BO48" s="114">
        <f>+BO32+BO46</f>
        <v>1350.2339999999999</v>
      </c>
      <c r="BP48" s="115">
        <f>(BN48*4)+(BO48*8)</f>
        <v>17556.8848</v>
      </c>
    </row>
    <row r="49" spans="2:69" x14ac:dyDescent="0.35">
      <c r="C49" s="117" t="s">
        <v>182</v>
      </c>
      <c r="D49" s="118">
        <v>2.5108999999999999E-2</v>
      </c>
      <c r="E49" s="119" t="s">
        <v>235</v>
      </c>
      <c r="J49" s="117" t="s">
        <v>182</v>
      </c>
      <c r="K49" s="118">
        <v>2.5108999999999999E-2</v>
      </c>
      <c r="L49" s="119" t="s">
        <v>235</v>
      </c>
      <c r="Q49" s="117" t="s">
        <v>182</v>
      </c>
      <c r="R49" s="118">
        <v>2.5108999999999999E-2</v>
      </c>
      <c r="S49" s="119" t="s">
        <v>235</v>
      </c>
      <c r="X49" s="117" t="s">
        <v>182</v>
      </c>
      <c r="Y49" s="118">
        <v>2.5108999999999999E-2</v>
      </c>
      <c r="Z49" s="119" t="s">
        <v>235</v>
      </c>
      <c r="AE49" s="117" t="s">
        <v>182</v>
      </c>
      <c r="AF49" s="118">
        <v>2.5108999999999999E-2</v>
      </c>
      <c r="AG49" s="119" t="s">
        <v>235</v>
      </c>
      <c r="AL49" s="117" t="s">
        <v>182</v>
      </c>
      <c r="AM49" s="118">
        <v>2.5108999999999999E-2</v>
      </c>
      <c r="AN49" s="119" t="s">
        <v>235</v>
      </c>
      <c r="AS49" s="117" t="s">
        <v>182</v>
      </c>
      <c r="AT49" s="118">
        <v>2.5108999999999999E-2</v>
      </c>
      <c r="AU49" s="119" t="s">
        <v>235</v>
      </c>
      <c r="AZ49" s="117" t="s">
        <v>182</v>
      </c>
      <c r="BA49" s="118">
        <v>2.5108999999999999E-2</v>
      </c>
      <c r="BB49" s="119" t="s">
        <v>235</v>
      </c>
      <c r="BG49" s="117" t="s">
        <v>182</v>
      </c>
      <c r="BH49" s="118">
        <v>2.5108999999999999E-2</v>
      </c>
      <c r="BI49" s="119" t="s">
        <v>235</v>
      </c>
      <c r="BN49" s="117" t="s">
        <v>182</v>
      </c>
      <c r="BO49" s="118">
        <v>2.5108999999999999E-2</v>
      </c>
      <c r="BP49" s="119" t="s">
        <v>235</v>
      </c>
    </row>
    <row r="50" spans="2:69" x14ac:dyDescent="0.35">
      <c r="B50" t="s">
        <v>182</v>
      </c>
      <c r="C50" s="116">
        <f>C48*$D$49</f>
        <v>44.240891832582193</v>
      </c>
      <c r="D50" s="116">
        <f>D48*$D$49</f>
        <v>35.741013239782191</v>
      </c>
      <c r="E50" s="120">
        <f>(C50*4)+(D50*8)</f>
        <v>462.8916732485863</v>
      </c>
      <c r="I50" t="s">
        <v>182</v>
      </c>
      <c r="J50" s="116">
        <f>J48*$D$49</f>
        <v>45.343684472851521</v>
      </c>
      <c r="K50" s="116">
        <f>K48*$D$49</f>
        <v>36.843805880051519</v>
      </c>
      <c r="L50" s="120">
        <f>(J50*4)+(K50*8)</f>
        <v>476.12518493181824</v>
      </c>
      <c r="P50" t="s">
        <v>182</v>
      </c>
      <c r="Q50" s="116">
        <f>Q48*$D$49</f>
        <v>46.814074659877271</v>
      </c>
      <c r="R50" s="116">
        <f>R48*$D$49</f>
        <v>38.314196067077283</v>
      </c>
      <c r="S50" s="120">
        <f>(Q50*4)+(R50*8)</f>
        <v>493.76986717612738</v>
      </c>
      <c r="W50" t="s">
        <v>182</v>
      </c>
      <c r="X50" s="116">
        <f>X48*$D$49</f>
        <v>49.754855033928798</v>
      </c>
      <c r="Y50" s="116">
        <f>Y48*$D$49</f>
        <v>41.254976441128797</v>
      </c>
      <c r="Z50" s="120">
        <f>(X50*4)+(Y50*8)</f>
        <v>529.05923166474554</v>
      </c>
      <c r="AD50" t="s">
        <v>182</v>
      </c>
      <c r="AE50" s="116">
        <f>AE48*$D$49</f>
        <v>42.402904098799993</v>
      </c>
      <c r="AF50" s="116">
        <f>AF48*$D$49</f>
        <v>33.903025505999999</v>
      </c>
      <c r="AG50" s="120">
        <f>(AE50*4)+(AF50*8)</f>
        <v>440.83582044319996</v>
      </c>
      <c r="AK50" t="s">
        <v>182</v>
      </c>
      <c r="AL50" s="116">
        <f>AL48*$D$49</f>
        <v>42.402904098799993</v>
      </c>
      <c r="AM50" s="116">
        <f>AM48*$D$49</f>
        <v>33.903025505999999</v>
      </c>
      <c r="AN50" s="120">
        <f>(AL50*4)+(AM50*8)</f>
        <v>440.83582044319996</v>
      </c>
      <c r="AR50" t="s">
        <v>182</v>
      </c>
      <c r="AS50" s="116">
        <f>AS48*$D$49</f>
        <v>42.402904098799993</v>
      </c>
      <c r="AT50" s="116">
        <f>AT48*$D$49</f>
        <v>33.903025505999999</v>
      </c>
      <c r="AU50" s="120">
        <f>(AS50*4)+(AT50*8)</f>
        <v>440.83582044319996</v>
      </c>
      <c r="AY50" t="s">
        <v>182</v>
      </c>
      <c r="AZ50" s="116">
        <f>AZ48*$D$49</f>
        <v>42.402904098799993</v>
      </c>
      <c r="BA50" s="116">
        <f>BA48*$D$49</f>
        <v>33.903025505999999</v>
      </c>
      <c r="BB50" s="120">
        <f>(AZ50*4)+(BA50*8)</f>
        <v>440.83582044319996</v>
      </c>
      <c r="BF50" t="s">
        <v>182</v>
      </c>
      <c r="BG50" s="116">
        <f>BG48*$D$49</f>
        <v>42.402904098799993</v>
      </c>
      <c r="BH50" s="116">
        <f>BH48*$D$49</f>
        <v>33.903025505999999</v>
      </c>
      <c r="BI50" s="120">
        <f>(BG50*4)+(BH50*8)</f>
        <v>440.83582044319996</v>
      </c>
      <c r="BM50" t="s">
        <v>182</v>
      </c>
      <c r="BN50" s="116">
        <f>BN48*$D$49</f>
        <v>42.402904098799993</v>
      </c>
      <c r="BO50" s="116">
        <f>BO48*$D$49</f>
        <v>33.903025505999999</v>
      </c>
      <c r="BP50" s="120">
        <f>(BN50*4)+(BO50*8)</f>
        <v>440.83582044319996</v>
      </c>
    </row>
    <row r="51" spans="2:69" x14ac:dyDescent="0.35">
      <c r="B51" s="9" t="s">
        <v>236</v>
      </c>
      <c r="C51" s="114">
        <f>+C48+C50</f>
        <v>1806.1944476325821</v>
      </c>
      <c r="D51" s="114">
        <f>+D48+D50</f>
        <v>1459.175369039782</v>
      </c>
      <c r="E51" s="114">
        <f>SUM(E48:E50)</f>
        <v>18898.180742848581</v>
      </c>
      <c r="I51" s="9" t="s">
        <v>236</v>
      </c>
      <c r="J51" s="114">
        <f>+J48+J50</f>
        <v>1851.2174537528515</v>
      </c>
      <c r="K51" s="114">
        <f>+K48+K50</f>
        <v>1504.1983751600517</v>
      </c>
      <c r="L51" s="114">
        <f>SUM(L48:L50)</f>
        <v>19438.456816291819</v>
      </c>
      <c r="P51" s="9" t="s">
        <v>236</v>
      </c>
      <c r="Q51" s="114">
        <f>+Q48+Q50</f>
        <v>1911.2481285798769</v>
      </c>
      <c r="R51" s="114">
        <f>+R48+R50</f>
        <v>1564.2290499870774</v>
      </c>
      <c r="S51" s="114">
        <f>SUM(S48:S50)</f>
        <v>20158.824914216126</v>
      </c>
      <c r="W51" s="9" t="s">
        <v>236</v>
      </c>
      <c r="X51" s="114">
        <f>+X48+X50</f>
        <v>2031.3094782339288</v>
      </c>
      <c r="Y51" s="114">
        <f>+Y48+Y50</f>
        <v>1684.2903996411287</v>
      </c>
      <c r="Z51" s="114">
        <f>SUM(Z48:Z50)</f>
        <v>21599.561110064744</v>
      </c>
      <c r="AD51" s="9" t="s">
        <v>236</v>
      </c>
      <c r="AE51" s="114">
        <f>+AE48+AE50</f>
        <v>1731.1561040987999</v>
      </c>
      <c r="AF51" s="114">
        <f>+AF48+AF50</f>
        <v>1384.1370255059999</v>
      </c>
      <c r="AG51" s="114">
        <f>SUM(AG48:AG50)</f>
        <v>17997.7206204432</v>
      </c>
      <c r="AK51" s="9" t="s">
        <v>236</v>
      </c>
      <c r="AL51" s="114">
        <f>+AL48+AL50</f>
        <v>1731.1561040987999</v>
      </c>
      <c r="AM51" s="114">
        <f>+AM48+AM50</f>
        <v>1384.1370255059999</v>
      </c>
      <c r="AN51" s="114">
        <f>SUM(AN48:AN50)</f>
        <v>17997.7206204432</v>
      </c>
      <c r="AR51" s="9" t="s">
        <v>236</v>
      </c>
      <c r="AS51" s="114">
        <f>+AS48+AS50</f>
        <v>1731.1561040987999</v>
      </c>
      <c r="AT51" s="114">
        <f>+AT48+AT50</f>
        <v>1384.1370255059999</v>
      </c>
      <c r="AU51" s="114">
        <f>SUM(AU48:AU50)</f>
        <v>17997.7206204432</v>
      </c>
      <c r="AY51" s="9" t="s">
        <v>236</v>
      </c>
      <c r="AZ51" s="114">
        <f>+AZ48+AZ50</f>
        <v>1731.1561040987999</v>
      </c>
      <c r="BA51" s="114">
        <f>+BA48+BA50</f>
        <v>1384.1370255059999</v>
      </c>
      <c r="BB51" s="114">
        <f>SUM(BB48:BB50)</f>
        <v>17997.7206204432</v>
      </c>
      <c r="BF51" s="9" t="s">
        <v>236</v>
      </c>
      <c r="BG51" s="114">
        <f>+BG48+BG50</f>
        <v>1731.1561040987999</v>
      </c>
      <c r="BH51" s="114">
        <f>+BH48+BH50</f>
        <v>1384.1370255059999</v>
      </c>
      <c r="BI51" s="114">
        <f>SUM(BI48:BI50)</f>
        <v>17997.7206204432</v>
      </c>
      <c r="BM51" s="9" t="s">
        <v>236</v>
      </c>
      <c r="BN51" s="114">
        <f>+BN48+BN50</f>
        <v>1731.1561040987999</v>
      </c>
      <c r="BO51" s="114">
        <f>+BO48+BO50</f>
        <v>1384.1370255059999</v>
      </c>
      <c r="BP51" s="114">
        <f>SUM(BP48:BP50)</f>
        <v>17997.7206204432</v>
      </c>
    </row>
    <row r="53" spans="2:69" x14ac:dyDescent="0.35">
      <c r="B53" s="88" t="s">
        <v>237</v>
      </c>
      <c r="I53" s="88" t="s">
        <v>237</v>
      </c>
      <c r="P53" s="88" t="s">
        <v>237</v>
      </c>
      <c r="W53" s="88" t="s">
        <v>237</v>
      </c>
      <c r="AD53" s="88" t="s">
        <v>237</v>
      </c>
      <c r="AK53" s="88" t="s">
        <v>237</v>
      </c>
      <c r="AR53" s="88" t="s">
        <v>237</v>
      </c>
      <c r="AY53" s="88" t="s">
        <v>237</v>
      </c>
      <c r="BF53" s="88" t="s">
        <v>237</v>
      </c>
      <c r="BM53" s="88" t="s">
        <v>237</v>
      </c>
    </row>
    <row r="54" spans="2:69" x14ac:dyDescent="0.35">
      <c r="B54" t="s">
        <v>184</v>
      </c>
      <c r="C54" s="114">
        <f>F$14*Assumptions!$C111</f>
        <v>281.54279999999989</v>
      </c>
      <c r="D54" s="114">
        <f>F$14*Assumptions!$C111</f>
        <v>281.54279999999989</v>
      </c>
      <c r="E54" s="115">
        <f t="shared" ref="E54:E60" si="10">(C54*4)+(D54*8)</f>
        <v>3378.5135999999984</v>
      </c>
      <c r="F54" s="85"/>
      <c r="I54" t="s">
        <v>184</v>
      </c>
      <c r="J54" s="114">
        <f>M$14*Assumptions!$C111</f>
        <v>281.54279999999989</v>
      </c>
      <c r="K54" s="114">
        <f>M$14*Assumptions!$C111</f>
        <v>281.54279999999989</v>
      </c>
      <c r="L54" s="115">
        <f t="shared" ref="L54" si="11">(J54*4)+(K54*8)</f>
        <v>3378.5135999999984</v>
      </c>
      <c r="M54" s="85"/>
      <c r="P54" t="s">
        <v>184</v>
      </c>
      <c r="Q54" s="114">
        <f>T$14*Assumptions!$C111</f>
        <v>281.54279999999989</v>
      </c>
      <c r="R54" s="114">
        <f>T$14*Assumptions!$C111</f>
        <v>281.54279999999989</v>
      </c>
      <c r="S54" s="115">
        <f t="shared" ref="S54" si="12">(Q54*4)+(R54*8)</f>
        <v>3378.5135999999984</v>
      </c>
      <c r="T54" s="85"/>
      <c r="W54" t="s">
        <v>184</v>
      </c>
      <c r="X54" s="114">
        <f>AA$14*Assumptions!$C111</f>
        <v>281.54279999999989</v>
      </c>
      <c r="Y54" s="114">
        <f>AA$14*Assumptions!$C111</f>
        <v>281.54279999999989</v>
      </c>
      <c r="Z54" s="115">
        <f t="shared" ref="Z54" si="13">(X54*4)+(Y54*8)</f>
        <v>3378.5135999999984</v>
      </c>
      <c r="AA54" s="85"/>
      <c r="AD54" t="s">
        <v>184</v>
      </c>
      <c r="AE54" s="114">
        <f>AH$14*Assumptions!$C111</f>
        <v>281.54279999999989</v>
      </c>
      <c r="AF54" s="114">
        <f>AH$14*Assumptions!$C111</f>
        <v>281.54279999999989</v>
      </c>
      <c r="AG54" s="115">
        <f t="shared" ref="AG54" si="14">(AE54*4)+(AF54*8)</f>
        <v>3378.5135999999984</v>
      </c>
      <c r="AH54" s="85"/>
      <c r="AK54" t="s">
        <v>184</v>
      </c>
      <c r="AL54" s="114">
        <f>AO$14*Assumptions!$C111</f>
        <v>281.54279999999989</v>
      </c>
      <c r="AM54" s="114">
        <f>AO$14*Assumptions!$C111</f>
        <v>281.54279999999989</v>
      </c>
      <c r="AN54" s="115">
        <f t="shared" ref="AN54" si="15">(AL54*4)+(AM54*8)</f>
        <v>3378.5135999999984</v>
      </c>
      <c r="AO54" s="85"/>
      <c r="AR54" t="s">
        <v>184</v>
      </c>
      <c r="AS54" s="114">
        <f>AV$14*Assumptions!$C111</f>
        <v>281.54279999999989</v>
      </c>
      <c r="AT54" s="114">
        <f>AV$14*Assumptions!$C111</f>
        <v>281.54279999999989</v>
      </c>
      <c r="AU54" s="115">
        <f t="shared" ref="AU54" si="16">(AS54*4)+(AT54*8)</f>
        <v>3378.5135999999984</v>
      </c>
      <c r="AV54" s="85"/>
      <c r="AY54" t="s">
        <v>184</v>
      </c>
      <c r="AZ54" s="114">
        <f>BC$14*Assumptions!$C111</f>
        <v>281.54279999999989</v>
      </c>
      <c r="BA54" s="114">
        <f>BC$14*Assumptions!$C111</f>
        <v>281.54279999999989</v>
      </c>
      <c r="BB54" s="115">
        <f t="shared" ref="BB54" si="17">(AZ54*4)+(BA54*8)</f>
        <v>3378.5135999999984</v>
      </c>
      <c r="BC54" s="85"/>
      <c r="BF54" t="s">
        <v>184</v>
      </c>
      <c r="BG54" s="114">
        <f>BJ$14*Assumptions!$C111</f>
        <v>281.54279999999989</v>
      </c>
      <c r="BH54" s="114">
        <f>BJ$14*Assumptions!$C111</f>
        <v>281.54279999999989</v>
      </c>
      <c r="BI54" s="115">
        <f t="shared" ref="BI54" si="18">(BG54*4)+(BH54*8)</f>
        <v>3378.5135999999984</v>
      </c>
      <c r="BJ54" s="85"/>
      <c r="BM54" t="s">
        <v>184</v>
      </c>
      <c r="BN54" s="114">
        <f>BQ$14*Assumptions!$C111</f>
        <v>281.54279999999989</v>
      </c>
      <c r="BO54" s="114">
        <f>BQ$14*Assumptions!$C111</f>
        <v>281.54279999999989</v>
      </c>
      <c r="BP54" s="115">
        <f t="shared" ref="BP54" si="19">(BN54*4)+(BO54*8)</f>
        <v>3378.5135999999984</v>
      </c>
      <c r="BQ54" s="85"/>
    </row>
    <row r="55" spans="2:69" x14ac:dyDescent="0.35">
      <c r="B55" t="s">
        <v>186</v>
      </c>
      <c r="C55" s="114">
        <f>F$17*Assumptions!$C112</f>
        <v>46.057791450000011</v>
      </c>
      <c r="D55" s="114">
        <f>F$17*Assumptions!$C112</f>
        <v>46.057791450000011</v>
      </c>
      <c r="E55" s="115">
        <f t="shared" si="10"/>
        <v>552.69349740000007</v>
      </c>
      <c r="F55" s="85"/>
      <c r="I55" t="s">
        <v>186</v>
      </c>
      <c r="J55" s="114">
        <f>M$17*Assumptions!$C112</f>
        <v>73.69246631999998</v>
      </c>
      <c r="K55" s="114">
        <f>M$17*Assumptions!$C112</f>
        <v>73.69246631999998</v>
      </c>
      <c r="L55" s="115">
        <f t="shared" ref="L55:L60" si="20">(J55*4)+(K55*8)</f>
        <v>884.3095958399997</v>
      </c>
      <c r="M55" s="85"/>
      <c r="P55" t="s">
        <v>186</v>
      </c>
      <c r="Q55" s="114">
        <f>T$17*Assumptions!$C112</f>
        <v>110.53869947999998</v>
      </c>
      <c r="R55" s="114">
        <f>T$17*Assumptions!$C112</f>
        <v>110.53869947999998</v>
      </c>
      <c r="S55" s="115">
        <f t="shared" ref="S55:S60" si="21">(Q55*4)+(R55*8)</f>
        <v>1326.4643937599997</v>
      </c>
      <c r="T55" s="85"/>
      <c r="W55" t="s">
        <v>186</v>
      </c>
      <c r="X55" s="114">
        <f>AA$17*Assumptions!$C112</f>
        <v>184.23116580000004</v>
      </c>
      <c r="Y55" s="114">
        <f>AA$17*Assumptions!$C112</f>
        <v>184.23116580000004</v>
      </c>
      <c r="Z55" s="115">
        <f t="shared" ref="Z55:Z60" si="22">(X55*4)+(Y55*8)</f>
        <v>2210.7739896000003</v>
      </c>
      <c r="AA55" s="85"/>
      <c r="AD55" t="s">
        <v>186</v>
      </c>
      <c r="AE55" s="114">
        <f>AH$17*Assumptions!$C112</f>
        <v>0</v>
      </c>
      <c r="AF55" s="114">
        <f>AH$17*Assumptions!$C112</f>
        <v>0</v>
      </c>
      <c r="AG55" s="115">
        <f t="shared" ref="AG55:AG60" si="23">(AE55*4)+(AF55*8)</f>
        <v>0</v>
      </c>
      <c r="AH55" s="85"/>
      <c r="AK55" t="s">
        <v>186</v>
      </c>
      <c r="AL55" s="114">
        <f>AO$17*Assumptions!$C112</f>
        <v>0</v>
      </c>
      <c r="AM55" s="114">
        <f>AO$17*Assumptions!$C112</f>
        <v>0</v>
      </c>
      <c r="AN55" s="115">
        <f t="shared" ref="AN55:AN60" si="24">(AL55*4)+(AM55*8)</f>
        <v>0</v>
      </c>
      <c r="AO55" s="85"/>
      <c r="AR55" t="s">
        <v>186</v>
      </c>
      <c r="AS55" s="114">
        <f>AV$17*Assumptions!$C112</f>
        <v>0</v>
      </c>
      <c r="AT55" s="114">
        <f>AV$17*Assumptions!$C112</f>
        <v>0</v>
      </c>
      <c r="AU55" s="115">
        <f t="shared" ref="AU55:AU60" si="25">(AS55*4)+(AT55*8)</f>
        <v>0</v>
      </c>
      <c r="AV55" s="85"/>
      <c r="AY55" t="s">
        <v>186</v>
      </c>
      <c r="AZ55" s="114">
        <f>BC$17*Assumptions!$C112</f>
        <v>0</v>
      </c>
      <c r="BA55" s="114">
        <f>BC$17*Assumptions!$C112</f>
        <v>0</v>
      </c>
      <c r="BB55" s="115">
        <f t="shared" ref="BB55:BB60" si="26">(AZ55*4)+(BA55*8)</f>
        <v>0</v>
      </c>
      <c r="BC55" s="85"/>
      <c r="BF55" t="s">
        <v>186</v>
      </c>
      <c r="BG55" s="114">
        <f>BJ$17*Assumptions!$C112</f>
        <v>0</v>
      </c>
      <c r="BH55" s="114">
        <f>BJ$17*Assumptions!$C112</f>
        <v>0</v>
      </c>
      <c r="BI55" s="115">
        <f t="shared" ref="BI55:BI60" si="27">(BG55*4)+(BH55*8)</f>
        <v>0</v>
      </c>
      <c r="BJ55" s="85"/>
      <c r="BM55" t="s">
        <v>186</v>
      </c>
      <c r="BN55" s="114">
        <f>BQ$17*Assumptions!$C112</f>
        <v>0</v>
      </c>
      <c r="BO55" s="114">
        <f>BQ$17*Assumptions!$C112</f>
        <v>0</v>
      </c>
      <c r="BP55" s="115">
        <f t="shared" ref="BP55:BP60" si="28">(BN55*4)+(BO55*8)</f>
        <v>0</v>
      </c>
      <c r="BQ55" s="85"/>
    </row>
    <row r="56" spans="2:69" x14ac:dyDescent="0.35">
      <c r="B56" t="s">
        <v>187</v>
      </c>
      <c r="C56" s="114">
        <f>F$17*Assumptions!$C113</f>
        <v>-7.3015585500000029</v>
      </c>
      <c r="D56" s="114">
        <f>F$17*Assumptions!$C113</f>
        <v>-7.3015585500000029</v>
      </c>
      <c r="E56" s="115">
        <f t="shared" si="10"/>
        <v>-87.618702600000034</v>
      </c>
      <c r="F56" s="85"/>
      <c r="I56" t="s">
        <v>187</v>
      </c>
      <c r="J56" s="114">
        <f>M$17*Assumptions!$C113</f>
        <v>-11.682493679999999</v>
      </c>
      <c r="K56" s="114">
        <f>M$17*Assumptions!$C113</f>
        <v>-11.682493679999999</v>
      </c>
      <c r="L56" s="115">
        <f t="shared" si="20"/>
        <v>-140.18992415999998</v>
      </c>
      <c r="M56" s="85"/>
      <c r="P56" t="s">
        <v>187</v>
      </c>
      <c r="Q56" s="114">
        <f>T$17*Assumptions!$C113</f>
        <v>-17.523740519999997</v>
      </c>
      <c r="R56" s="114">
        <f>T$17*Assumptions!$C113</f>
        <v>-17.523740519999997</v>
      </c>
      <c r="S56" s="115">
        <f t="shared" si="21"/>
        <v>-210.28488623999996</v>
      </c>
      <c r="T56" s="85"/>
      <c r="W56" t="s">
        <v>187</v>
      </c>
      <c r="X56" s="114">
        <f>AA$17*Assumptions!$C113</f>
        <v>-29.206234200000011</v>
      </c>
      <c r="Y56" s="114">
        <f>AA$17*Assumptions!$C113</f>
        <v>-29.206234200000011</v>
      </c>
      <c r="Z56" s="115">
        <f t="shared" si="22"/>
        <v>-350.47481040000014</v>
      </c>
      <c r="AA56" s="85"/>
      <c r="AD56" t="s">
        <v>187</v>
      </c>
      <c r="AE56" s="114">
        <f>AH$17*Assumptions!$C113</f>
        <v>0</v>
      </c>
      <c r="AF56" s="114">
        <f>AH$17*Assumptions!$C113</f>
        <v>0</v>
      </c>
      <c r="AG56" s="115">
        <f t="shared" si="23"/>
        <v>0</v>
      </c>
      <c r="AH56" s="85"/>
      <c r="AK56" t="s">
        <v>187</v>
      </c>
      <c r="AL56" s="114">
        <f>AO$17*Assumptions!$C113</f>
        <v>0</v>
      </c>
      <c r="AM56" s="114">
        <f>AO$17*Assumptions!$C113</f>
        <v>0</v>
      </c>
      <c r="AN56" s="115">
        <f t="shared" si="24"/>
        <v>0</v>
      </c>
      <c r="AO56" s="85"/>
      <c r="AR56" t="s">
        <v>187</v>
      </c>
      <c r="AS56" s="114">
        <f>AV$17*Assumptions!$C113</f>
        <v>0</v>
      </c>
      <c r="AT56" s="114">
        <f>AV$17*Assumptions!$C113</f>
        <v>0</v>
      </c>
      <c r="AU56" s="115">
        <f t="shared" si="25"/>
        <v>0</v>
      </c>
      <c r="AV56" s="85"/>
      <c r="AY56" t="s">
        <v>187</v>
      </c>
      <c r="AZ56" s="114">
        <f>BC$17*Assumptions!$C113</f>
        <v>0</v>
      </c>
      <c r="BA56" s="114">
        <f>BC$17*Assumptions!$C113</f>
        <v>0</v>
      </c>
      <c r="BB56" s="115">
        <f t="shared" si="26"/>
        <v>0</v>
      </c>
      <c r="BC56" s="85"/>
      <c r="BF56" t="s">
        <v>187</v>
      </c>
      <c r="BG56" s="114">
        <f>BJ$17*Assumptions!$C113</f>
        <v>0</v>
      </c>
      <c r="BH56" s="114">
        <f>BJ$17*Assumptions!$C113</f>
        <v>0</v>
      </c>
      <c r="BI56" s="115">
        <f t="shared" si="27"/>
        <v>0</v>
      </c>
      <c r="BJ56" s="85"/>
      <c r="BM56" t="s">
        <v>187</v>
      </c>
      <c r="BN56" s="114">
        <f>BQ$17*Assumptions!$C113</f>
        <v>0</v>
      </c>
      <c r="BO56" s="114">
        <f>BQ$17*Assumptions!$C113</f>
        <v>0</v>
      </c>
      <c r="BP56" s="115">
        <f t="shared" si="28"/>
        <v>0</v>
      </c>
      <c r="BQ56" s="85"/>
    </row>
    <row r="57" spans="2:69" x14ac:dyDescent="0.35">
      <c r="B57" t="s">
        <v>188</v>
      </c>
      <c r="C57" s="114">
        <f>F$17*Assumptions!$C114</f>
        <v>13.115439150000002</v>
      </c>
      <c r="D57" s="114">
        <f>F$17*Assumptions!$C114</f>
        <v>13.115439150000002</v>
      </c>
      <c r="E57" s="115">
        <f t="shared" si="10"/>
        <v>157.38526980000003</v>
      </c>
      <c r="I57" t="s">
        <v>188</v>
      </c>
      <c r="J57" s="114">
        <f>M$17*Assumptions!$C114</f>
        <v>20.984702639999991</v>
      </c>
      <c r="K57" s="114">
        <f>M$17*Assumptions!$C114</f>
        <v>20.984702639999991</v>
      </c>
      <c r="L57" s="115">
        <f t="shared" si="20"/>
        <v>251.81643167999988</v>
      </c>
      <c r="P57" t="s">
        <v>188</v>
      </c>
      <c r="Q57" s="114">
        <f>T$17*Assumptions!$C114</f>
        <v>31.477053959999989</v>
      </c>
      <c r="R57" s="114">
        <f>T$17*Assumptions!$C114</f>
        <v>31.477053959999989</v>
      </c>
      <c r="S57" s="115">
        <f t="shared" si="21"/>
        <v>377.72464751999985</v>
      </c>
      <c r="W57" t="s">
        <v>188</v>
      </c>
      <c r="X57" s="114">
        <f>AA$17*Assumptions!$C114</f>
        <v>52.461756600000008</v>
      </c>
      <c r="Y57" s="114">
        <f>AA$17*Assumptions!$C114</f>
        <v>52.461756600000008</v>
      </c>
      <c r="Z57" s="115">
        <f t="shared" si="22"/>
        <v>629.54107920000013</v>
      </c>
      <c r="AD57" t="s">
        <v>188</v>
      </c>
      <c r="AE57" s="114">
        <f>AH$17*Assumptions!$C114</f>
        <v>0</v>
      </c>
      <c r="AF57" s="114">
        <f>AH$17*Assumptions!$C114</f>
        <v>0</v>
      </c>
      <c r="AG57" s="115">
        <f t="shared" si="23"/>
        <v>0</v>
      </c>
      <c r="AK57" t="s">
        <v>188</v>
      </c>
      <c r="AL57" s="114">
        <f>AO$17*Assumptions!$C114</f>
        <v>0</v>
      </c>
      <c r="AM57" s="114">
        <f>AO$17*Assumptions!$C114</f>
        <v>0</v>
      </c>
      <c r="AN57" s="115">
        <f t="shared" si="24"/>
        <v>0</v>
      </c>
      <c r="AR57" t="s">
        <v>188</v>
      </c>
      <c r="AS57" s="114">
        <f>AV$17*Assumptions!$C114</f>
        <v>0</v>
      </c>
      <c r="AT57" s="114">
        <f>AV$17*Assumptions!$C114</f>
        <v>0</v>
      </c>
      <c r="AU57" s="115">
        <f t="shared" si="25"/>
        <v>0</v>
      </c>
      <c r="AY57" t="s">
        <v>188</v>
      </c>
      <c r="AZ57" s="114">
        <f>BC$17*Assumptions!$C114</f>
        <v>0</v>
      </c>
      <c r="BA57" s="114">
        <f>BC$17*Assumptions!$C114</f>
        <v>0</v>
      </c>
      <c r="BB57" s="115">
        <f t="shared" si="26"/>
        <v>0</v>
      </c>
      <c r="BF57" t="s">
        <v>188</v>
      </c>
      <c r="BG57" s="114">
        <f>BJ$17*Assumptions!$C114</f>
        <v>0</v>
      </c>
      <c r="BH57" s="114">
        <f>BJ$17*Assumptions!$C114</f>
        <v>0</v>
      </c>
      <c r="BI57" s="115">
        <f t="shared" si="27"/>
        <v>0</v>
      </c>
      <c r="BM57" t="s">
        <v>188</v>
      </c>
      <c r="BN57" s="114">
        <f>BQ$17*Assumptions!$C114</f>
        <v>0</v>
      </c>
      <c r="BO57" s="114">
        <f>BQ$17*Assumptions!$C114</f>
        <v>0</v>
      </c>
      <c r="BP57" s="115">
        <f t="shared" si="28"/>
        <v>0</v>
      </c>
    </row>
    <row r="58" spans="2:69" x14ac:dyDescent="0.35">
      <c r="B58" t="s">
        <v>189</v>
      </c>
      <c r="C58" s="114">
        <f>F$17*Assumptions!$C115</f>
        <v>1.2733974000000001</v>
      </c>
      <c r="D58" s="114">
        <f>F$17*Assumptions!$C115</f>
        <v>1.2733974000000001</v>
      </c>
      <c r="E58" s="115">
        <f t="shared" si="10"/>
        <v>15.280768800000001</v>
      </c>
      <c r="I58" t="s">
        <v>189</v>
      </c>
      <c r="J58" s="114">
        <f>M$17*Assumptions!$C115</f>
        <v>2.0374358399999992</v>
      </c>
      <c r="K58" s="114">
        <f>M$17*Assumptions!$C115</f>
        <v>2.0374358399999992</v>
      </c>
      <c r="L58" s="115">
        <f t="shared" si="20"/>
        <v>24.449230079999992</v>
      </c>
      <c r="P58" t="s">
        <v>189</v>
      </c>
      <c r="Q58" s="114">
        <f>T$17*Assumptions!$C115</f>
        <v>3.0561537599999991</v>
      </c>
      <c r="R58" s="114">
        <f>T$17*Assumptions!$C115</f>
        <v>3.0561537599999991</v>
      </c>
      <c r="S58" s="115">
        <f t="shared" si="21"/>
        <v>36.673845119999989</v>
      </c>
      <c r="W58" t="s">
        <v>189</v>
      </c>
      <c r="X58" s="114">
        <f>AA$17*Assumptions!$C115</f>
        <v>5.0935896000000005</v>
      </c>
      <c r="Y58" s="114">
        <f>AA$17*Assumptions!$C115</f>
        <v>5.0935896000000005</v>
      </c>
      <c r="Z58" s="115">
        <f t="shared" si="22"/>
        <v>61.123075200000002</v>
      </c>
      <c r="AD58" t="s">
        <v>189</v>
      </c>
      <c r="AE58" s="114">
        <f>AH$17*Assumptions!$C115</f>
        <v>0</v>
      </c>
      <c r="AF58" s="114">
        <f>AH$17*Assumptions!$C115</f>
        <v>0</v>
      </c>
      <c r="AG58" s="115">
        <f t="shared" si="23"/>
        <v>0</v>
      </c>
      <c r="AK58" t="s">
        <v>189</v>
      </c>
      <c r="AL58" s="114">
        <f>AO$17*Assumptions!$C115</f>
        <v>0</v>
      </c>
      <c r="AM58" s="114">
        <f>AO$17*Assumptions!$C115</f>
        <v>0</v>
      </c>
      <c r="AN58" s="115">
        <f t="shared" si="24"/>
        <v>0</v>
      </c>
      <c r="AR58" t="s">
        <v>189</v>
      </c>
      <c r="AS58" s="114">
        <f>AV$17*Assumptions!$C115</f>
        <v>0</v>
      </c>
      <c r="AT58" s="114">
        <f>AV$17*Assumptions!$C115</f>
        <v>0</v>
      </c>
      <c r="AU58" s="115">
        <f t="shared" si="25"/>
        <v>0</v>
      </c>
      <c r="AY58" t="s">
        <v>189</v>
      </c>
      <c r="AZ58" s="114">
        <f>BC$17*Assumptions!$C115</f>
        <v>0</v>
      </c>
      <c r="BA58" s="114">
        <f>BC$17*Assumptions!$C115</f>
        <v>0</v>
      </c>
      <c r="BB58" s="115">
        <f t="shared" si="26"/>
        <v>0</v>
      </c>
      <c r="BF58" t="s">
        <v>189</v>
      </c>
      <c r="BG58" s="114">
        <f>BJ$17*Assumptions!$C115</f>
        <v>0</v>
      </c>
      <c r="BH58" s="114">
        <f>BJ$17*Assumptions!$C115</f>
        <v>0</v>
      </c>
      <c r="BI58" s="115">
        <f t="shared" si="27"/>
        <v>0</v>
      </c>
      <c r="BM58" t="s">
        <v>189</v>
      </c>
      <c r="BN58" s="114">
        <f>BQ$17*Assumptions!$C115</f>
        <v>0</v>
      </c>
      <c r="BO58" s="114">
        <f>BQ$17*Assumptions!$C115</f>
        <v>0</v>
      </c>
      <c r="BP58" s="115">
        <f t="shared" si="28"/>
        <v>0</v>
      </c>
    </row>
    <row r="59" spans="2:69" x14ac:dyDescent="0.35">
      <c r="B59" t="s">
        <v>190</v>
      </c>
      <c r="C59" s="114">
        <f>F$17*Assumptions!$C116</f>
        <v>5.4000144000000017</v>
      </c>
      <c r="D59" s="114">
        <f>F$17*Assumptions!$C116</f>
        <v>5.4000144000000017</v>
      </c>
      <c r="E59" s="115">
        <f t="shared" si="10"/>
        <v>64.800172800000013</v>
      </c>
      <c r="I59" t="s">
        <v>190</v>
      </c>
      <c r="J59" s="114">
        <f>M$17*Assumptions!$C116</f>
        <v>8.6400230399999991</v>
      </c>
      <c r="K59" s="114">
        <f>M$17*Assumptions!$C116</f>
        <v>8.6400230399999991</v>
      </c>
      <c r="L59" s="115">
        <f t="shared" si="20"/>
        <v>103.68027647999999</v>
      </c>
      <c r="P59" t="s">
        <v>190</v>
      </c>
      <c r="Q59" s="114">
        <f>T$17*Assumptions!$C116</f>
        <v>12.960034559999997</v>
      </c>
      <c r="R59" s="114">
        <f>T$17*Assumptions!$C116</f>
        <v>12.960034559999997</v>
      </c>
      <c r="S59" s="115">
        <f t="shared" si="21"/>
        <v>155.52041471999996</v>
      </c>
      <c r="W59" t="s">
        <v>190</v>
      </c>
      <c r="X59" s="114">
        <f>AA$17*Assumptions!$C116</f>
        <v>21.600057600000007</v>
      </c>
      <c r="Y59" s="114">
        <f>AA$17*Assumptions!$C116</f>
        <v>21.600057600000007</v>
      </c>
      <c r="Z59" s="115">
        <f t="shared" si="22"/>
        <v>259.20069120000005</v>
      </c>
      <c r="AD59" t="s">
        <v>190</v>
      </c>
      <c r="AE59" s="114">
        <f>AH$17*Assumptions!$C116</f>
        <v>0</v>
      </c>
      <c r="AF59" s="114">
        <f>AH$17*Assumptions!$C116</f>
        <v>0</v>
      </c>
      <c r="AG59" s="115">
        <f t="shared" si="23"/>
        <v>0</v>
      </c>
      <c r="AK59" t="s">
        <v>190</v>
      </c>
      <c r="AL59" s="114">
        <f>AO$17*Assumptions!$C116</f>
        <v>0</v>
      </c>
      <c r="AM59" s="114">
        <f>AO$17*Assumptions!$C116</f>
        <v>0</v>
      </c>
      <c r="AN59" s="115">
        <f t="shared" si="24"/>
        <v>0</v>
      </c>
      <c r="AR59" t="s">
        <v>190</v>
      </c>
      <c r="AS59" s="114">
        <f>AV$17*Assumptions!$C116</f>
        <v>0</v>
      </c>
      <c r="AT59" s="114">
        <f>AV$17*Assumptions!$C116</f>
        <v>0</v>
      </c>
      <c r="AU59" s="115">
        <f t="shared" si="25"/>
        <v>0</v>
      </c>
      <c r="AY59" t="s">
        <v>190</v>
      </c>
      <c r="AZ59" s="114">
        <f>BC$17*Assumptions!$C116</f>
        <v>0</v>
      </c>
      <c r="BA59" s="114">
        <f>BC$17*Assumptions!$C116</f>
        <v>0</v>
      </c>
      <c r="BB59" s="115">
        <f t="shared" si="26"/>
        <v>0</v>
      </c>
      <c r="BF59" t="s">
        <v>190</v>
      </c>
      <c r="BG59" s="114">
        <f>BJ$17*Assumptions!$C116</f>
        <v>0</v>
      </c>
      <c r="BH59" s="114">
        <f>BJ$17*Assumptions!$C116</f>
        <v>0</v>
      </c>
      <c r="BI59" s="115">
        <f t="shared" si="27"/>
        <v>0</v>
      </c>
      <c r="BM59" t="s">
        <v>190</v>
      </c>
      <c r="BN59" s="114">
        <f>BQ$17*Assumptions!$C116</f>
        <v>0</v>
      </c>
      <c r="BO59" s="114">
        <f>BQ$17*Assumptions!$C116</f>
        <v>0</v>
      </c>
      <c r="BP59" s="115">
        <f t="shared" si="28"/>
        <v>0</v>
      </c>
    </row>
    <row r="60" spans="2:69" x14ac:dyDescent="0.35">
      <c r="B60" t="s">
        <v>191</v>
      </c>
      <c r="C60" s="114">
        <f>F$17*Assumptions!$C118</f>
        <v>4.090241100000001</v>
      </c>
      <c r="D60" s="114">
        <f>F$17*Assumptions!$C118</f>
        <v>4.090241100000001</v>
      </c>
      <c r="E60" s="120">
        <f t="shared" si="10"/>
        <v>49.082893200000015</v>
      </c>
      <c r="I60" t="s">
        <v>191</v>
      </c>
      <c r="J60" s="114">
        <f>M$17*Assumptions!$C118</f>
        <v>6.5443857599999991</v>
      </c>
      <c r="K60" s="114">
        <f>M$17*Assumptions!$C118</f>
        <v>6.5443857599999991</v>
      </c>
      <c r="L60" s="120">
        <f t="shared" si="20"/>
        <v>78.532629119999996</v>
      </c>
      <c r="P60" t="s">
        <v>191</v>
      </c>
      <c r="Q60" s="114">
        <f>T$17*Assumptions!$C118</f>
        <v>9.8165786399999977</v>
      </c>
      <c r="R60" s="114">
        <f>T$17*Assumptions!$C118</f>
        <v>9.8165786399999977</v>
      </c>
      <c r="S60" s="120">
        <f t="shared" si="21"/>
        <v>117.79894367999998</v>
      </c>
      <c r="W60" t="s">
        <v>191</v>
      </c>
      <c r="X60" s="114">
        <f>AA$17*Assumptions!$C118</f>
        <v>16.360964400000004</v>
      </c>
      <c r="Y60" s="114">
        <f>AA$17*Assumptions!$C118</f>
        <v>16.360964400000004</v>
      </c>
      <c r="Z60" s="120">
        <f t="shared" si="22"/>
        <v>196.33157280000006</v>
      </c>
      <c r="AD60" t="s">
        <v>191</v>
      </c>
      <c r="AE60" s="114">
        <f>AH$17*Assumptions!$C118</f>
        <v>0</v>
      </c>
      <c r="AF60" s="114">
        <f>AH$17*Assumptions!$C118</f>
        <v>0</v>
      </c>
      <c r="AG60" s="120">
        <f t="shared" si="23"/>
        <v>0</v>
      </c>
      <c r="AK60" t="s">
        <v>191</v>
      </c>
      <c r="AL60" s="114">
        <f>AO$17*Assumptions!$C118</f>
        <v>0</v>
      </c>
      <c r="AM60" s="114">
        <f>AO$17*Assumptions!$C118</f>
        <v>0</v>
      </c>
      <c r="AN60" s="120">
        <f t="shared" si="24"/>
        <v>0</v>
      </c>
      <c r="AR60" t="s">
        <v>191</v>
      </c>
      <c r="AS60" s="114">
        <f>AV$17*Assumptions!$C118</f>
        <v>0</v>
      </c>
      <c r="AT60" s="114">
        <f>AV$17*Assumptions!$C118</f>
        <v>0</v>
      </c>
      <c r="AU60" s="120">
        <f t="shared" si="25"/>
        <v>0</v>
      </c>
      <c r="AY60" t="s">
        <v>191</v>
      </c>
      <c r="AZ60" s="114">
        <f>BC$17*Assumptions!$C118</f>
        <v>0</v>
      </c>
      <c r="BA60" s="114">
        <f>BC$17*Assumptions!$C118</f>
        <v>0</v>
      </c>
      <c r="BB60" s="120">
        <f t="shared" si="26"/>
        <v>0</v>
      </c>
      <c r="BF60" t="s">
        <v>191</v>
      </c>
      <c r="BG60" s="114">
        <f>BJ$17*Assumptions!$C118</f>
        <v>0</v>
      </c>
      <c r="BH60" s="114">
        <f>BJ$17*Assumptions!$C118</f>
        <v>0</v>
      </c>
      <c r="BI60" s="120">
        <f t="shared" si="27"/>
        <v>0</v>
      </c>
      <c r="BM60" t="s">
        <v>191</v>
      </c>
      <c r="BN60" s="114">
        <f>BQ$17*Assumptions!$C118</f>
        <v>0</v>
      </c>
      <c r="BO60" s="114">
        <f>BQ$17*Assumptions!$C118</f>
        <v>0</v>
      </c>
      <c r="BP60" s="120">
        <f t="shared" si="28"/>
        <v>0</v>
      </c>
    </row>
    <row r="61" spans="2:69" x14ac:dyDescent="0.35">
      <c r="B61" s="9" t="s">
        <v>233</v>
      </c>
      <c r="C61" s="89">
        <f>SUM(C54:C60)</f>
        <v>344.17812494999993</v>
      </c>
      <c r="D61" s="89">
        <f>SUM(D54:D60)</f>
        <v>344.17812494999993</v>
      </c>
      <c r="E61" s="89">
        <f>SUM(E54:E60)</f>
        <v>4130.137499399998</v>
      </c>
      <c r="I61" s="9" t="s">
        <v>233</v>
      </c>
      <c r="J61" s="89">
        <f>SUM(J54:J60)</f>
        <v>381.75931991999988</v>
      </c>
      <c r="K61" s="89">
        <f>SUM(K54:K60)</f>
        <v>381.75931991999988</v>
      </c>
      <c r="L61" s="89">
        <f>SUM(L54:L60)</f>
        <v>4581.1118390399988</v>
      </c>
      <c r="P61" s="9" t="s">
        <v>233</v>
      </c>
      <c r="Q61" s="89">
        <f>SUM(Q54:Q60)</f>
        <v>431.86757987999982</v>
      </c>
      <c r="R61" s="89">
        <f>SUM(R54:R60)</f>
        <v>431.86757987999982</v>
      </c>
      <c r="S61" s="89">
        <f>SUM(S54:S60)</f>
        <v>5182.4109585599981</v>
      </c>
      <c r="W61" s="9" t="s">
        <v>233</v>
      </c>
      <c r="X61" s="89">
        <f>SUM(X54:X60)</f>
        <v>532.08409979999988</v>
      </c>
      <c r="Y61" s="89">
        <f>SUM(Y54:Y60)</f>
        <v>532.08409979999988</v>
      </c>
      <c r="Z61" s="89">
        <f>SUM(Z54:Z60)</f>
        <v>6385.0091975999985</v>
      </c>
      <c r="AD61" s="9" t="s">
        <v>233</v>
      </c>
      <c r="AE61" s="89">
        <f>SUM(AE54:AE60)</f>
        <v>281.54279999999989</v>
      </c>
      <c r="AF61" s="89">
        <f>SUM(AF54:AF60)</f>
        <v>281.54279999999989</v>
      </c>
      <c r="AG61" s="89">
        <f>SUM(AG54:AG60)</f>
        <v>3378.5135999999984</v>
      </c>
      <c r="AK61" s="9" t="s">
        <v>233</v>
      </c>
      <c r="AL61" s="89">
        <f>SUM(AL54:AL60)</f>
        <v>281.54279999999989</v>
      </c>
      <c r="AM61" s="89">
        <f>SUM(AM54:AM60)</f>
        <v>281.54279999999989</v>
      </c>
      <c r="AN61" s="89">
        <f>SUM(AN54:AN60)</f>
        <v>3378.5135999999984</v>
      </c>
      <c r="AR61" s="9" t="s">
        <v>233</v>
      </c>
      <c r="AS61" s="89">
        <f>SUM(AS54:AS60)</f>
        <v>281.54279999999989</v>
      </c>
      <c r="AT61" s="89">
        <f>SUM(AT54:AT60)</f>
        <v>281.54279999999989</v>
      </c>
      <c r="AU61" s="89">
        <f>SUM(AU54:AU60)</f>
        <v>3378.5135999999984</v>
      </c>
      <c r="AY61" s="9" t="s">
        <v>233</v>
      </c>
      <c r="AZ61" s="89">
        <f>SUM(AZ54:AZ60)</f>
        <v>281.54279999999989</v>
      </c>
      <c r="BA61" s="89">
        <f>SUM(BA54:BA60)</f>
        <v>281.54279999999989</v>
      </c>
      <c r="BB61" s="89">
        <f>SUM(BB54:BB60)</f>
        <v>3378.5135999999984</v>
      </c>
      <c r="BF61" s="9" t="s">
        <v>233</v>
      </c>
      <c r="BG61" s="89">
        <f>SUM(BG54:BG60)</f>
        <v>281.54279999999989</v>
      </c>
      <c r="BH61" s="89">
        <f>SUM(BH54:BH60)</f>
        <v>281.54279999999989</v>
      </c>
      <c r="BI61" s="89">
        <f>SUM(BI54:BI60)</f>
        <v>3378.5135999999984</v>
      </c>
      <c r="BM61" s="9" t="s">
        <v>233</v>
      </c>
      <c r="BN61" s="89">
        <f>SUM(BN54:BN60)</f>
        <v>281.54279999999989</v>
      </c>
      <c r="BO61" s="89">
        <f>SUM(BO54:BO60)</f>
        <v>281.54279999999989</v>
      </c>
      <c r="BP61" s="89">
        <f>SUM(BP54:BP60)</f>
        <v>3378.5135999999984</v>
      </c>
    </row>
    <row r="62" spans="2:69" x14ac:dyDescent="0.35">
      <c r="B62" s="9"/>
      <c r="C62" s="117" t="s">
        <v>192</v>
      </c>
      <c r="D62" s="118">
        <v>2.4066000000000001E-2</v>
      </c>
      <c r="E62" s="119" t="s">
        <v>235</v>
      </c>
      <c r="I62" s="9"/>
      <c r="J62" s="117" t="s">
        <v>192</v>
      </c>
      <c r="K62" s="118">
        <v>2.4066000000000001E-2</v>
      </c>
      <c r="L62" s="119" t="s">
        <v>235</v>
      </c>
      <c r="P62" s="9"/>
      <c r="Q62" s="117" t="s">
        <v>192</v>
      </c>
      <c r="R62" s="118">
        <v>2.4066000000000001E-2</v>
      </c>
      <c r="S62" s="119" t="s">
        <v>235</v>
      </c>
      <c r="W62" s="9"/>
      <c r="X62" s="117" t="s">
        <v>192</v>
      </c>
      <c r="Y62" s="118">
        <v>2.4066000000000001E-2</v>
      </c>
      <c r="Z62" s="119" t="s">
        <v>235</v>
      </c>
      <c r="AD62" s="9"/>
      <c r="AE62" s="117" t="s">
        <v>192</v>
      </c>
      <c r="AF62" s="118">
        <v>2.4066000000000001E-2</v>
      </c>
      <c r="AG62" s="119" t="s">
        <v>235</v>
      </c>
      <c r="AK62" s="9"/>
      <c r="AL62" s="117" t="s">
        <v>192</v>
      </c>
      <c r="AM62" s="118">
        <v>2.4066000000000001E-2</v>
      </c>
      <c r="AN62" s="119" t="s">
        <v>235</v>
      </c>
      <c r="AR62" s="9"/>
      <c r="AS62" s="117" t="s">
        <v>192</v>
      </c>
      <c r="AT62" s="118">
        <v>2.4066000000000001E-2</v>
      </c>
      <c r="AU62" s="119" t="s">
        <v>235</v>
      </c>
      <c r="AY62" s="9"/>
      <c r="AZ62" s="117" t="s">
        <v>192</v>
      </c>
      <c r="BA62" s="118">
        <v>2.4066000000000001E-2</v>
      </c>
      <c r="BB62" s="119" t="s">
        <v>235</v>
      </c>
      <c r="BF62" s="9"/>
      <c r="BG62" s="117" t="s">
        <v>192</v>
      </c>
      <c r="BH62" s="118">
        <v>2.4066000000000001E-2</v>
      </c>
      <c r="BI62" s="119" t="s">
        <v>235</v>
      </c>
      <c r="BM62" s="9"/>
      <c r="BN62" s="117" t="s">
        <v>192</v>
      </c>
      <c r="BO62" s="118">
        <v>2.4066000000000001E-2</v>
      </c>
      <c r="BP62" s="119" t="s">
        <v>235</v>
      </c>
    </row>
    <row r="63" spans="2:69" x14ac:dyDescent="0.35">
      <c r="B63" s="90" t="s">
        <v>238</v>
      </c>
      <c r="C63" s="121">
        <f>C61*$D$62</f>
        <v>8.2829907550466988</v>
      </c>
      <c r="D63" s="121">
        <f>D61*$D$62</f>
        <v>8.2829907550466988</v>
      </c>
      <c r="E63" s="120">
        <f>(C63*4)+(D63*8)</f>
        <v>99.395889060560393</v>
      </c>
      <c r="I63" s="90" t="s">
        <v>238</v>
      </c>
      <c r="J63" s="121">
        <f>J61*$D$62</f>
        <v>9.1874197931947172</v>
      </c>
      <c r="K63" s="121">
        <f>K61*$D$62</f>
        <v>9.1874197931947172</v>
      </c>
      <c r="L63" s="120">
        <f>(J63*4)+(K63*8)</f>
        <v>110.24903751833661</v>
      </c>
      <c r="P63" s="90" t="s">
        <v>238</v>
      </c>
      <c r="Q63" s="121">
        <f>Q61*$D$62</f>
        <v>10.393325177392075</v>
      </c>
      <c r="R63" s="121">
        <f>R61*$D$62</f>
        <v>10.393325177392075</v>
      </c>
      <c r="S63" s="120">
        <f>(Q63*4)+(R63*8)</f>
        <v>124.7199021287049</v>
      </c>
      <c r="W63" s="90" t="s">
        <v>238</v>
      </c>
      <c r="X63" s="121">
        <f>X61*$D$62</f>
        <v>12.805135945786798</v>
      </c>
      <c r="Y63" s="121">
        <f>Y61*$D$62</f>
        <v>12.805135945786798</v>
      </c>
      <c r="Z63" s="120">
        <f>(X63*4)+(Y63*8)</f>
        <v>153.66163134944156</v>
      </c>
      <c r="AD63" s="90" t="s">
        <v>238</v>
      </c>
      <c r="AE63" s="121">
        <f>AE61*$D$62</f>
        <v>6.7756090247999978</v>
      </c>
      <c r="AF63" s="121">
        <f>AF61*$D$62</f>
        <v>6.7756090247999978</v>
      </c>
      <c r="AG63" s="120">
        <f>(AE63*4)+(AF63*8)</f>
        <v>81.307308297599974</v>
      </c>
      <c r="AK63" s="90" t="s">
        <v>238</v>
      </c>
      <c r="AL63" s="121">
        <f>AL61*$D$62</f>
        <v>6.7756090247999978</v>
      </c>
      <c r="AM63" s="121">
        <f>AM61*$D$62</f>
        <v>6.7756090247999978</v>
      </c>
      <c r="AN63" s="120">
        <f>(AL63*4)+(AM63*8)</f>
        <v>81.307308297599974</v>
      </c>
      <c r="AR63" s="90" t="s">
        <v>238</v>
      </c>
      <c r="AS63" s="121">
        <f>AS61*$D$62</f>
        <v>6.7756090247999978</v>
      </c>
      <c r="AT63" s="121">
        <f>AT61*$D$62</f>
        <v>6.7756090247999978</v>
      </c>
      <c r="AU63" s="120">
        <f>(AS63*4)+(AT63*8)</f>
        <v>81.307308297599974</v>
      </c>
      <c r="AY63" s="90" t="s">
        <v>238</v>
      </c>
      <c r="AZ63" s="121">
        <f>AZ61*$D$62</f>
        <v>6.7756090247999978</v>
      </c>
      <c r="BA63" s="121">
        <f>BA61*$D$62</f>
        <v>6.7756090247999978</v>
      </c>
      <c r="BB63" s="120">
        <f>(AZ63*4)+(BA63*8)</f>
        <v>81.307308297599974</v>
      </c>
      <c r="BF63" s="90" t="s">
        <v>238</v>
      </c>
      <c r="BG63" s="121">
        <f>BG61*$D$62</f>
        <v>6.7756090247999978</v>
      </c>
      <c r="BH63" s="121">
        <f>BH61*$D$62</f>
        <v>6.7756090247999978</v>
      </c>
      <c r="BI63" s="120">
        <f>(BG63*4)+(BH63*8)</f>
        <v>81.307308297599974</v>
      </c>
      <c r="BM63" s="90" t="s">
        <v>238</v>
      </c>
      <c r="BN63" s="121">
        <f>BN61*$D$62</f>
        <v>6.7756090247999978</v>
      </c>
      <c r="BO63" s="121">
        <f>BO61*$D$62</f>
        <v>6.7756090247999978</v>
      </c>
      <c r="BP63" s="120">
        <f>(BN63*4)+(BO63*8)</f>
        <v>81.307308297599974</v>
      </c>
    </row>
    <row r="64" spans="2:69" x14ac:dyDescent="0.35">
      <c r="B64" s="9" t="s">
        <v>239</v>
      </c>
      <c r="C64" s="89">
        <f>+C61+C63</f>
        <v>352.46111570504661</v>
      </c>
      <c r="D64" s="89">
        <f>+D61+D63</f>
        <v>352.46111570504661</v>
      </c>
      <c r="E64" s="89">
        <f>+E61+E63</f>
        <v>4229.5333884605579</v>
      </c>
      <c r="I64" s="9" t="s">
        <v>239</v>
      </c>
      <c r="J64" s="89">
        <f>+J61+J63</f>
        <v>390.94673971319457</v>
      </c>
      <c r="K64" s="89">
        <f>+K61+K63</f>
        <v>390.94673971319457</v>
      </c>
      <c r="L64" s="89">
        <f>+L61+L63</f>
        <v>4691.3608765583358</v>
      </c>
      <c r="P64" s="9" t="s">
        <v>239</v>
      </c>
      <c r="Q64" s="89">
        <f>+Q61+Q63</f>
        <v>442.26090505739188</v>
      </c>
      <c r="R64" s="89">
        <f>+R61+R63</f>
        <v>442.26090505739188</v>
      </c>
      <c r="S64" s="89">
        <f>+S61+S63</f>
        <v>5307.1308606887033</v>
      </c>
      <c r="W64" s="9" t="s">
        <v>239</v>
      </c>
      <c r="X64" s="89">
        <f>+X61+X63</f>
        <v>544.88923574578666</v>
      </c>
      <c r="Y64" s="89">
        <f>+Y61+Y63</f>
        <v>544.88923574578666</v>
      </c>
      <c r="Z64" s="89">
        <f>+Z61+Z63</f>
        <v>6538.67082894944</v>
      </c>
      <c r="AD64" s="9" t="s">
        <v>239</v>
      </c>
      <c r="AE64" s="89">
        <f>+AE61+AE63</f>
        <v>288.31840902479991</v>
      </c>
      <c r="AF64" s="89">
        <f>+AF61+AF63</f>
        <v>288.31840902479991</v>
      </c>
      <c r="AG64" s="89">
        <f>+AG61+AG63</f>
        <v>3459.8209082975982</v>
      </c>
      <c r="AK64" s="9" t="s">
        <v>239</v>
      </c>
      <c r="AL64" s="89">
        <f>+AL61+AL63</f>
        <v>288.31840902479991</v>
      </c>
      <c r="AM64" s="89">
        <f>+AM61+AM63</f>
        <v>288.31840902479991</v>
      </c>
      <c r="AN64" s="89">
        <f>+AN61+AN63</f>
        <v>3459.8209082975982</v>
      </c>
      <c r="AR64" s="9" t="s">
        <v>239</v>
      </c>
      <c r="AS64" s="89">
        <f>+AS61+AS63</f>
        <v>288.31840902479991</v>
      </c>
      <c r="AT64" s="89">
        <f>+AT61+AT63</f>
        <v>288.31840902479991</v>
      </c>
      <c r="AU64" s="89">
        <f>+AU61+AU63</f>
        <v>3459.8209082975982</v>
      </c>
      <c r="AY64" s="9" t="s">
        <v>239</v>
      </c>
      <c r="AZ64" s="89">
        <f>+AZ61+AZ63</f>
        <v>288.31840902479991</v>
      </c>
      <c r="BA64" s="89">
        <f>+BA61+BA63</f>
        <v>288.31840902479991</v>
      </c>
      <c r="BB64" s="89">
        <f>+BB61+BB63</f>
        <v>3459.8209082975982</v>
      </c>
      <c r="BF64" s="9" t="s">
        <v>239</v>
      </c>
      <c r="BG64" s="89">
        <f>+BG61+BG63</f>
        <v>288.31840902479991</v>
      </c>
      <c r="BH64" s="89">
        <f>+BH61+BH63</f>
        <v>288.31840902479991</v>
      </c>
      <c r="BI64" s="89">
        <f>+BI61+BI63</f>
        <v>3459.8209082975982</v>
      </c>
      <c r="BM64" s="9" t="s">
        <v>239</v>
      </c>
      <c r="BN64" s="89">
        <f>+BN61+BN63</f>
        <v>288.31840902479991</v>
      </c>
      <c r="BO64" s="89">
        <f>+BO61+BO63</f>
        <v>288.31840902479991</v>
      </c>
      <c r="BP64" s="89">
        <f>+BP61+BP63</f>
        <v>3459.8209082975982</v>
      </c>
    </row>
    <row r="65" spans="2:69" x14ac:dyDescent="0.35">
      <c r="C65" s="117" t="s">
        <v>193</v>
      </c>
      <c r="D65" s="118">
        <v>8.8749999999999996E-2</v>
      </c>
      <c r="E65" s="119" t="s">
        <v>194</v>
      </c>
      <c r="J65" s="117" t="s">
        <v>193</v>
      </c>
      <c r="K65" s="118">
        <v>8.8749999999999996E-2</v>
      </c>
      <c r="L65" s="119" t="s">
        <v>194</v>
      </c>
      <c r="Q65" s="117" t="s">
        <v>193</v>
      </c>
      <c r="R65" s="118">
        <v>8.8749999999999996E-2</v>
      </c>
      <c r="S65" s="119" t="s">
        <v>194</v>
      </c>
      <c r="X65" s="117" t="s">
        <v>193</v>
      </c>
      <c r="Y65" s="118">
        <v>8.8749999999999996E-2</v>
      </c>
      <c r="Z65" s="119" t="s">
        <v>194</v>
      </c>
      <c r="AE65" s="117" t="s">
        <v>193</v>
      </c>
      <c r="AF65" s="118">
        <v>8.8749999999999996E-2</v>
      </c>
      <c r="AG65" s="119" t="s">
        <v>194</v>
      </c>
      <c r="AL65" s="117" t="s">
        <v>193</v>
      </c>
      <c r="AM65" s="118">
        <v>8.8749999999999996E-2</v>
      </c>
      <c r="AN65" s="119" t="s">
        <v>194</v>
      </c>
      <c r="AS65" s="117" t="s">
        <v>193</v>
      </c>
      <c r="AT65" s="118">
        <v>8.8749999999999996E-2</v>
      </c>
      <c r="AU65" s="119" t="s">
        <v>194</v>
      </c>
      <c r="AZ65" s="117" t="s">
        <v>193</v>
      </c>
      <c r="BA65" s="118">
        <v>8.8749999999999996E-2</v>
      </c>
      <c r="BB65" s="119" t="s">
        <v>194</v>
      </c>
      <c r="BG65" s="117" t="s">
        <v>193</v>
      </c>
      <c r="BH65" s="118">
        <v>8.8749999999999996E-2</v>
      </c>
      <c r="BI65" s="119" t="s">
        <v>194</v>
      </c>
      <c r="BN65" s="117" t="s">
        <v>193</v>
      </c>
      <c r="BO65" s="118">
        <v>8.8749999999999996E-2</v>
      </c>
      <c r="BP65" s="119" t="s">
        <v>194</v>
      </c>
    </row>
    <row r="66" spans="2:69" x14ac:dyDescent="0.35">
      <c r="B66" s="9" t="s">
        <v>240</v>
      </c>
      <c r="C66" s="89">
        <f>+C51+C64</f>
        <v>2158.6555633376288</v>
      </c>
      <c r="D66" s="89">
        <f>+D51+D64</f>
        <v>1811.6364847448285</v>
      </c>
      <c r="E66" s="89">
        <f>+E51+E64</f>
        <v>23127.714131309138</v>
      </c>
      <c r="I66" s="9" t="s">
        <v>240</v>
      </c>
      <c r="J66" s="89">
        <f>+J51+J64</f>
        <v>2242.1641934660461</v>
      </c>
      <c r="K66" s="89">
        <f>+K51+K64</f>
        <v>1895.1451148732463</v>
      </c>
      <c r="L66" s="89">
        <f>+L51+L64</f>
        <v>24129.817692850156</v>
      </c>
      <c r="P66" s="9" t="s">
        <v>240</v>
      </c>
      <c r="Q66" s="89">
        <f>+Q51+Q64</f>
        <v>2353.5090336372687</v>
      </c>
      <c r="R66" s="89">
        <f>+R51+R64</f>
        <v>2006.4899550444693</v>
      </c>
      <c r="S66" s="89">
        <f>+S51+S64</f>
        <v>25465.955774904829</v>
      </c>
      <c r="W66" s="9" t="s">
        <v>240</v>
      </c>
      <c r="X66" s="89">
        <f>+X51+X64</f>
        <v>2576.1987139797156</v>
      </c>
      <c r="Y66" s="89">
        <f>+Y51+Y64</f>
        <v>2229.1796353869154</v>
      </c>
      <c r="Z66" s="89">
        <f>+Z51+Z64</f>
        <v>28138.231939014186</v>
      </c>
      <c r="AD66" s="9" t="s">
        <v>240</v>
      </c>
      <c r="AE66" s="89">
        <f>+AE51+AE64</f>
        <v>2019.4745131235998</v>
      </c>
      <c r="AF66" s="89">
        <f>+AF51+AF64</f>
        <v>1672.4554345307997</v>
      </c>
      <c r="AG66" s="89">
        <f>+AG51+AG64</f>
        <v>21457.5415287408</v>
      </c>
      <c r="AK66" s="9" t="s">
        <v>240</v>
      </c>
      <c r="AL66" s="89">
        <f>+AL51+AL64</f>
        <v>2019.4745131235998</v>
      </c>
      <c r="AM66" s="89">
        <f>+AM51+AM64</f>
        <v>1672.4554345307997</v>
      </c>
      <c r="AN66" s="89">
        <f>+AN51+AN64</f>
        <v>21457.5415287408</v>
      </c>
      <c r="AR66" s="9" t="s">
        <v>240</v>
      </c>
      <c r="AS66" s="89">
        <f>+AS51+AS64</f>
        <v>2019.4745131235998</v>
      </c>
      <c r="AT66" s="89">
        <f>+AT51+AT64</f>
        <v>1672.4554345307997</v>
      </c>
      <c r="AU66" s="89">
        <f>+AU51+AU64</f>
        <v>21457.5415287408</v>
      </c>
      <c r="AY66" s="9" t="s">
        <v>240</v>
      </c>
      <c r="AZ66" s="89">
        <f>+AZ51+AZ64</f>
        <v>2019.4745131235998</v>
      </c>
      <c r="BA66" s="89">
        <f>+BA51+BA64</f>
        <v>1672.4554345307997</v>
      </c>
      <c r="BB66" s="89">
        <f>+BB51+BB64</f>
        <v>21457.5415287408</v>
      </c>
      <c r="BF66" s="9" t="s">
        <v>240</v>
      </c>
      <c r="BG66" s="89">
        <f>+BG51+BG64</f>
        <v>2019.4745131235998</v>
      </c>
      <c r="BH66" s="89">
        <f>+BH51+BH64</f>
        <v>1672.4554345307997</v>
      </c>
      <c r="BI66" s="89">
        <f>+BI51+BI64</f>
        <v>21457.5415287408</v>
      </c>
      <c r="BM66" s="9" t="s">
        <v>240</v>
      </c>
      <c r="BN66" s="89">
        <f>+BN51+BN64</f>
        <v>2019.4745131235998</v>
      </c>
      <c r="BO66" s="89">
        <f>+BO51+BO64</f>
        <v>1672.4554345307997</v>
      </c>
      <c r="BP66" s="89">
        <f>+BP51+BP64</f>
        <v>21457.5415287408</v>
      </c>
    </row>
    <row r="67" spans="2:69" x14ac:dyDescent="0.35">
      <c r="B67" s="9" t="s">
        <v>241</v>
      </c>
      <c r="C67" s="121">
        <f>C66*$D$65</f>
        <v>191.58068124621454</v>
      </c>
      <c r="D67" s="121">
        <f>D66*$D$65</f>
        <v>160.78273802110351</v>
      </c>
      <c r="E67" s="120">
        <f>(C67*4)+(D67*8)</f>
        <v>2052.5846291536864</v>
      </c>
      <c r="I67" s="9" t="s">
        <v>241</v>
      </c>
      <c r="J67" s="121">
        <f>J66*$D$65</f>
        <v>198.99207217011158</v>
      </c>
      <c r="K67" s="121">
        <f>K66*$D$65</f>
        <v>168.19412894500059</v>
      </c>
      <c r="L67" s="120">
        <f>(J67*4)+(K67*8)</f>
        <v>2141.5213202404511</v>
      </c>
      <c r="P67" s="9" t="s">
        <v>241</v>
      </c>
      <c r="Q67" s="121">
        <f>Q66*$D$65</f>
        <v>208.87392673530758</v>
      </c>
      <c r="R67" s="121">
        <f>R66*$D$65</f>
        <v>178.07598351019664</v>
      </c>
      <c r="S67" s="120">
        <f>(Q67*4)+(R67*8)</f>
        <v>2260.1035750228034</v>
      </c>
      <c r="W67" s="9" t="s">
        <v>241</v>
      </c>
      <c r="X67" s="121">
        <f>X66*$D$65</f>
        <v>228.63763586569976</v>
      </c>
      <c r="Y67" s="121">
        <f>Y66*$D$65</f>
        <v>197.83969264058874</v>
      </c>
      <c r="Z67" s="120">
        <f>(X67*4)+(Y67*8)</f>
        <v>2497.2680845875088</v>
      </c>
      <c r="AD67" s="9" t="s">
        <v>241</v>
      </c>
      <c r="AE67" s="121">
        <f>AE66*$D$65</f>
        <v>179.22836303971948</v>
      </c>
      <c r="AF67" s="121">
        <f>AF66*$D$65</f>
        <v>148.43041981460846</v>
      </c>
      <c r="AG67" s="120">
        <f>(AE67*4)+(AF67*8)</f>
        <v>1904.3568106757457</v>
      </c>
      <c r="AK67" s="9" t="s">
        <v>241</v>
      </c>
      <c r="AL67" s="121">
        <f>AL66*$D$65</f>
        <v>179.22836303971948</v>
      </c>
      <c r="AM67" s="121">
        <f>AM66*$D$65</f>
        <v>148.43041981460846</v>
      </c>
      <c r="AN67" s="120">
        <f>(AL67*4)+(AM67*8)</f>
        <v>1904.3568106757457</v>
      </c>
      <c r="AR67" s="9" t="s">
        <v>241</v>
      </c>
      <c r="AS67" s="121">
        <f>AS66*$D$65</f>
        <v>179.22836303971948</v>
      </c>
      <c r="AT67" s="121">
        <f>AT66*$D$65</f>
        <v>148.43041981460846</v>
      </c>
      <c r="AU67" s="120">
        <f>(AS67*4)+(AT67*8)</f>
        <v>1904.3568106757457</v>
      </c>
      <c r="AY67" s="9" t="s">
        <v>241</v>
      </c>
      <c r="AZ67" s="121">
        <f>AZ66*$D$65</f>
        <v>179.22836303971948</v>
      </c>
      <c r="BA67" s="121">
        <f>BA66*$D$65</f>
        <v>148.43041981460846</v>
      </c>
      <c r="BB67" s="120">
        <f>(AZ67*4)+(BA67*8)</f>
        <v>1904.3568106757457</v>
      </c>
      <c r="BF67" s="9" t="s">
        <v>241</v>
      </c>
      <c r="BG67" s="121">
        <f>BG66*$D$65</f>
        <v>179.22836303971948</v>
      </c>
      <c r="BH67" s="121">
        <f>BH66*$D$65</f>
        <v>148.43041981460846</v>
      </c>
      <c r="BI67" s="120">
        <f>(BG67*4)+(BH67*8)</f>
        <v>1904.3568106757457</v>
      </c>
      <c r="BM67" s="9" t="s">
        <v>241</v>
      </c>
      <c r="BN67" s="121">
        <f>BN66*$D$65</f>
        <v>179.22836303971948</v>
      </c>
      <c r="BO67" s="121">
        <f>BO66*$D$65</f>
        <v>148.43041981460846</v>
      </c>
      <c r="BP67" s="120">
        <f>(BN67*4)+(BO67*8)</f>
        <v>1904.3568106757457</v>
      </c>
    </row>
    <row r="68" spans="2:69" x14ac:dyDescent="0.35">
      <c r="B68" s="9" t="s">
        <v>242</v>
      </c>
      <c r="C68" s="122">
        <f>SUM(C66:C67)</f>
        <v>2350.2362445838435</v>
      </c>
      <c r="D68" s="122">
        <f>SUM(D66:D67)</f>
        <v>1972.4192227659321</v>
      </c>
      <c r="E68" s="122">
        <f>SUM(E66:E67)</f>
        <v>25180.298760462825</v>
      </c>
      <c r="I68" s="9" t="s">
        <v>242</v>
      </c>
      <c r="J68" s="122">
        <f>SUM(J66:J67)</f>
        <v>2441.1562656361575</v>
      </c>
      <c r="K68" s="122">
        <f>SUM(K66:K67)</f>
        <v>2063.3392438182468</v>
      </c>
      <c r="L68" s="122">
        <f>SUM(L66:L67)</f>
        <v>26271.339013090608</v>
      </c>
      <c r="P68" s="9" t="s">
        <v>242</v>
      </c>
      <c r="Q68" s="122">
        <f>SUM(Q66:Q67)</f>
        <v>2562.3829603725762</v>
      </c>
      <c r="R68" s="122">
        <f>SUM(R66:R67)</f>
        <v>2184.565938554666</v>
      </c>
      <c r="S68" s="122">
        <f>SUM(S66:S67)</f>
        <v>27726.059349927633</v>
      </c>
      <c r="W68" s="9" t="s">
        <v>242</v>
      </c>
      <c r="X68" s="122">
        <f>SUM(X66:X67)</f>
        <v>2804.8363498454155</v>
      </c>
      <c r="Y68" s="122">
        <f>SUM(Y66:Y67)</f>
        <v>2427.0193280275043</v>
      </c>
      <c r="Z68" s="122">
        <f>SUM(Z66:Z67)</f>
        <v>30635.500023601693</v>
      </c>
      <c r="AD68" s="9" t="s">
        <v>242</v>
      </c>
      <c r="AE68" s="122">
        <f>SUM(AE66:AE67)</f>
        <v>2198.7028761633192</v>
      </c>
      <c r="AF68" s="122">
        <f>SUM(AF66:AF67)</f>
        <v>1820.8858543454082</v>
      </c>
      <c r="AG68" s="122">
        <f>SUM(AG66:AG67)</f>
        <v>23361.898339416544</v>
      </c>
      <c r="AK68" s="9" t="s">
        <v>242</v>
      </c>
      <c r="AL68" s="122">
        <f>SUM(AL66:AL67)</f>
        <v>2198.7028761633192</v>
      </c>
      <c r="AM68" s="122">
        <f>SUM(AM66:AM67)</f>
        <v>1820.8858543454082</v>
      </c>
      <c r="AN68" s="122">
        <f>SUM(AN66:AN67)</f>
        <v>23361.898339416544</v>
      </c>
      <c r="AR68" s="9" t="s">
        <v>242</v>
      </c>
      <c r="AS68" s="122">
        <f>SUM(AS66:AS67)</f>
        <v>2198.7028761633192</v>
      </c>
      <c r="AT68" s="122">
        <f>SUM(AT66:AT67)</f>
        <v>1820.8858543454082</v>
      </c>
      <c r="AU68" s="122">
        <f>SUM(AU66:AU67)</f>
        <v>23361.898339416544</v>
      </c>
      <c r="AY68" s="9" t="s">
        <v>242</v>
      </c>
      <c r="AZ68" s="122">
        <f>SUM(AZ66:AZ67)</f>
        <v>2198.7028761633192</v>
      </c>
      <c r="BA68" s="122">
        <f>SUM(BA66:BA67)</f>
        <v>1820.8858543454082</v>
      </c>
      <c r="BB68" s="122">
        <f>SUM(BB66:BB67)</f>
        <v>23361.898339416544</v>
      </c>
      <c r="BF68" s="9" t="s">
        <v>242</v>
      </c>
      <c r="BG68" s="122">
        <f>SUM(BG66:BG67)</f>
        <v>2198.7028761633192</v>
      </c>
      <c r="BH68" s="122">
        <f>SUM(BH66:BH67)</f>
        <v>1820.8858543454082</v>
      </c>
      <c r="BI68" s="122">
        <f>SUM(BI66:BI67)</f>
        <v>23361.898339416544</v>
      </c>
      <c r="BM68" s="9" t="s">
        <v>242</v>
      </c>
      <c r="BN68" s="122">
        <f>SUM(BN66:BN67)</f>
        <v>2198.7028761633192</v>
      </c>
      <c r="BO68" s="122">
        <f>SUM(BO66:BO67)</f>
        <v>1820.8858543454082</v>
      </c>
      <c r="BP68" s="122">
        <f>SUM(BP66:BP67)</f>
        <v>23361.898339416544</v>
      </c>
    </row>
    <row r="69" spans="2:69" x14ac:dyDescent="0.35">
      <c r="C69" s="91"/>
      <c r="D69" s="91"/>
      <c r="E69" s="91"/>
      <c r="F69" s="89"/>
      <c r="J69" s="91"/>
      <c r="K69" s="91"/>
      <c r="L69" s="91"/>
      <c r="M69" s="89"/>
      <c r="Q69" s="91"/>
      <c r="R69" s="91"/>
      <c r="S69" s="91"/>
      <c r="T69" s="89"/>
      <c r="X69" s="91"/>
      <c r="Y69" s="91"/>
      <c r="Z69" s="91"/>
      <c r="AA69" s="89"/>
      <c r="AE69" s="91"/>
      <c r="AF69" s="91"/>
      <c r="AG69" s="91"/>
      <c r="AH69" s="89"/>
      <c r="AL69" s="91"/>
      <c r="AM69" s="91"/>
      <c r="AN69" s="91"/>
      <c r="AO69" s="89"/>
      <c r="AS69" s="91"/>
      <c r="AT69" s="91"/>
      <c r="AU69" s="91"/>
      <c r="AV69" s="89"/>
      <c r="AZ69" s="91"/>
      <c r="BA69" s="91"/>
      <c r="BB69" s="91"/>
      <c r="BC69" s="89"/>
      <c r="BG69" s="91"/>
      <c r="BH69" s="91"/>
      <c r="BI69" s="91"/>
      <c r="BJ69" s="89"/>
      <c r="BN69" s="91"/>
      <c r="BO69" s="91"/>
      <c r="BP69" s="91"/>
      <c r="BQ69" s="89"/>
    </row>
    <row r="70" spans="2:69" x14ac:dyDescent="0.35">
      <c r="B70" t="s">
        <v>243</v>
      </c>
      <c r="C70" s="89">
        <f>+E68/12</f>
        <v>2098.3582300385688</v>
      </c>
      <c r="D70" s="85"/>
      <c r="F70" s="92"/>
      <c r="I70" t="s">
        <v>243</v>
      </c>
      <c r="J70" s="89">
        <f>+L68/12</f>
        <v>2189.2782510908842</v>
      </c>
      <c r="K70" s="85"/>
      <c r="M70" s="92"/>
      <c r="P70" t="s">
        <v>243</v>
      </c>
      <c r="Q70" s="89">
        <f>+S68/12</f>
        <v>2310.5049458273029</v>
      </c>
      <c r="R70" s="85"/>
      <c r="T70" s="92"/>
      <c r="W70" t="s">
        <v>243</v>
      </c>
      <c r="X70" s="89">
        <f>+Z68/12</f>
        <v>2552.9583353001412</v>
      </c>
      <c r="Y70" s="85"/>
      <c r="AA70" s="92"/>
      <c r="AD70" t="s">
        <v>243</v>
      </c>
      <c r="AE70" s="89">
        <f>+AG68/12</f>
        <v>1946.8248616180454</v>
      </c>
      <c r="AF70" s="85"/>
      <c r="AH70" s="92"/>
      <c r="AK70" t="s">
        <v>243</v>
      </c>
      <c r="AL70" s="89">
        <f>+AN68/12</f>
        <v>1946.8248616180454</v>
      </c>
      <c r="AM70" s="85"/>
      <c r="AO70" s="92"/>
      <c r="AR70" t="s">
        <v>243</v>
      </c>
      <c r="AS70" s="89">
        <f>+AU68/12</f>
        <v>1946.8248616180454</v>
      </c>
      <c r="AT70" s="85"/>
      <c r="AV70" s="92"/>
      <c r="AY70" t="s">
        <v>243</v>
      </c>
      <c r="AZ70" s="89">
        <f>+BB68/12</f>
        <v>1946.8248616180454</v>
      </c>
      <c r="BA70" s="85"/>
      <c r="BC70" s="92"/>
      <c r="BF70" t="s">
        <v>243</v>
      </c>
      <c r="BG70" s="89">
        <f>+BI68/12</f>
        <v>1946.8248616180454</v>
      </c>
      <c r="BH70" s="85"/>
      <c r="BJ70" s="92"/>
      <c r="BM70" t="s">
        <v>243</v>
      </c>
      <c r="BN70" s="89">
        <f>+BP68/12</f>
        <v>1946.8248616180454</v>
      </c>
      <c r="BO70" s="85"/>
      <c r="BQ70" s="92"/>
    </row>
    <row r="71" spans="2:69" x14ac:dyDescent="0.35">
      <c r="B71" s="9" t="s">
        <v>244</v>
      </c>
      <c r="C71" s="93">
        <f>F17</f>
        <v>1445.4000000000003</v>
      </c>
      <c r="F71" s="87"/>
      <c r="I71" s="9" t="s">
        <v>244</v>
      </c>
      <c r="J71" s="93">
        <f>M17</f>
        <v>2312.6399999999994</v>
      </c>
      <c r="M71" s="87"/>
      <c r="P71" s="9" t="s">
        <v>244</v>
      </c>
      <c r="Q71" s="93">
        <f>T17</f>
        <v>3468.9599999999991</v>
      </c>
      <c r="T71" s="87"/>
      <c r="W71" s="9" t="s">
        <v>244</v>
      </c>
      <c r="X71" s="93">
        <f>AA17</f>
        <v>5781.6000000000013</v>
      </c>
      <c r="AA71" s="87"/>
      <c r="AD71" s="9" t="s">
        <v>244</v>
      </c>
      <c r="AE71" s="93">
        <f>AH17</f>
        <v>0</v>
      </c>
      <c r="AH71" s="87"/>
      <c r="AK71" s="9" t="s">
        <v>244</v>
      </c>
      <c r="AL71" s="93">
        <f>AO17</f>
        <v>0</v>
      </c>
      <c r="AO71" s="87"/>
      <c r="AR71" s="9" t="s">
        <v>244</v>
      </c>
      <c r="AS71" s="93">
        <f>AV17</f>
        <v>0</v>
      </c>
      <c r="AV71" s="87"/>
      <c r="AY71" s="9" t="s">
        <v>244</v>
      </c>
      <c r="AZ71" s="93">
        <f>BC17</f>
        <v>0</v>
      </c>
      <c r="BC71" s="87"/>
      <c r="BF71" s="9" t="s">
        <v>244</v>
      </c>
      <c r="BG71" s="93">
        <f>BJ17</f>
        <v>0</v>
      </c>
      <c r="BJ71" s="87"/>
      <c r="BM71" s="9" t="s">
        <v>244</v>
      </c>
      <c r="BN71" s="93">
        <f>BQ17</f>
        <v>0</v>
      </c>
      <c r="BQ71" s="87"/>
    </row>
    <row r="72" spans="2:69" x14ac:dyDescent="0.35">
      <c r="B72" s="9" t="s">
        <v>245</v>
      </c>
      <c r="C72" s="94">
        <f>(C70/C71)*100</f>
        <v>145.17491559696751</v>
      </c>
      <c r="F72" s="94"/>
      <c r="I72" s="9" t="s">
        <v>245</v>
      </c>
      <c r="J72" s="94">
        <f>(J70/J71)*100</f>
        <v>94.665760822734384</v>
      </c>
      <c r="M72" s="94"/>
      <c r="P72" s="9" t="s">
        <v>245</v>
      </c>
      <c r="Q72" s="94">
        <f>(Q70/Q71)*100</f>
        <v>66.605119281493685</v>
      </c>
      <c r="T72" s="94"/>
      <c r="W72" s="9" t="s">
        <v>245</v>
      </c>
      <c r="X72" s="94">
        <f>(X70/X71)*100</f>
        <v>44.156606048501118</v>
      </c>
      <c r="AA72" s="94"/>
      <c r="AD72" s="9" t="s">
        <v>245</v>
      </c>
      <c r="AE72" s="94" t="e">
        <f>(AE70/AE71)*100</f>
        <v>#DIV/0!</v>
      </c>
      <c r="AH72" s="94"/>
      <c r="AK72" s="9" t="s">
        <v>245</v>
      </c>
      <c r="AL72" s="94" t="e">
        <f>(AL70/AL71)*100</f>
        <v>#DIV/0!</v>
      </c>
      <c r="AO72" s="94"/>
      <c r="AR72" s="9" t="s">
        <v>245</v>
      </c>
      <c r="AS72" s="94" t="e">
        <f>(AS70/AS71)*100</f>
        <v>#DIV/0!</v>
      </c>
      <c r="AV72" s="94"/>
      <c r="AY72" s="9" t="s">
        <v>245</v>
      </c>
      <c r="AZ72" s="94" t="e">
        <f>(AZ70/AZ71)*100</f>
        <v>#DIV/0!</v>
      </c>
      <c r="BC72" s="94"/>
      <c r="BF72" s="9" t="s">
        <v>245</v>
      </c>
      <c r="BG72" s="94" t="e">
        <f>(BG70/BG71)*100</f>
        <v>#DIV/0!</v>
      </c>
      <c r="BJ72" s="94"/>
      <c r="BM72" s="9" t="s">
        <v>245</v>
      </c>
      <c r="BN72" s="94" t="e">
        <f>(BN70/BN71)*100</f>
        <v>#DIV/0!</v>
      </c>
      <c r="BQ72" s="94"/>
    </row>
    <row r="73" spans="2:69" x14ac:dyDescent="0.35">
      <c r="B73" s="9" t="s">
        <v>246</v>
      </c>
      <c r="C73" s="104">
        <f>E64/F17</f>
        <v>2.9262027040684635</v>
      </c>
      <c r="D73" s="89"/>
      <c r="I73" s="9" t="s">
        <v>246</v>
      </c>
      <c r="J73" s="104">
        <f>L64/M17</f>
        <v>2.0285737843150411</v>
      </c>
      <c r="K73" s="89"/>
      <c r="P73" s="9" t="s">
        <v>246</v>
      </c>
      <c r="Q73" s="104">
        <f>S64/T17</f>
        <v>1.5298910511186941</v>
      </c>
      <c r="R73" s="89"/>
      <c r="W73" s="9" t="s">
        <v>246</v>
      </c>
      <c r="X73" s="104">
        <f>Z64/AA17</f>
        <v>1.1309448645616158</v>
      </c>
      <c r="Y73" s="89"/>
      <c r="AD73" s="9" t="s">
        <v>246</v>
      </c>
      <c r="AE73" s="104" t="e">
        <f>AG64/AH17</f>
        <v>#DIV/0!</v>
      </c>
      <c r="AF73" s="89"/>
      <c r="AK73" s="9" t="s">
        <v>246</v>
      </c>
      <c r="AL73" s="104" t="e">
        <f>AN64/AO17</f>
        <v>#DIV/0!</v>
      </c>
      <c r="AM73" s="89"/>
      <c r="AR73" s="9" t="s">
        <v>246</v>
      </c>
      <c r="AS73" s="104" t="e">
        <f>AU64/AV17</f>
        <v>#DIV/0!</v>
      </c>
      <c r="AT73" s="89"/>
      <c r="AY73" s="9" t="s">
        <v>246</v>
      </c>
      <c r="AZ73" s="104" t="e">
        <f>BB64/BC17</f>
        <v>#DIV/0!</v>
      </c>
      <c r="BA73" s="89"/>
      <c r="BF73" s="9" t="s">
        <v>246</v>
      </c>
      <c r="BG73" s="104" t="e">
        <f>BI64/BJ17</f>
        <v>#DIV/0!</v>
      </c>
      <c r="BH73" s="89"/>
      <c r="BM73" s="9" t="s">
        <v>246</v>
      </c>
      <c r="BN73" s="104" t="e">
        <f>BP64/BQ17</f>
        <v>#DIV/0!</v>
      </c>
      <c r="BO73" s="89"/>
    </row>
    <row r="74" spans="2:69" x14ac:dyDescent="0.35">
      <c r="B74" s="9" t="s">
        <v>247</v>
      </c>
      <c r="C74" s="104">
        <f>E51/F17</f>
        <v>13.074706477686853</v>
      </c>
      <c r="D74" s="85"/>
      <c r="I74" s="9" t="s">
        <v>247</v>
      </c>
      <c r="J74" s="104">
        <f>L51/M17</f>
        <v>8.4053103017727899</v>
      </c>
      <c r="K74" s="85"/>
      <c r="P74" s="9" t="s">
        <v>247</v>
      </c>
      <c r="Q74" s="104">
        <f>S51/T17</f>
        <v>5.8112013151538591</v>
      </c>
      <c r="R74" s="85"/>
      <c r="W74" s="9" t="s">
        <v>247</v>
      </c>
      <c r="X74" s="104">
        <f>Z51/AA17</f>
        <v>3.7359141258587139</v>
      </c>
      <c r="Y74" s="85"/>
      <c r="AD74" s="9" t="s">
        <v>247</v>
      </c>
      <c r="AE74" s="104" t="e">
        <f>AG51/AH17</f>
        <v>#DIV/0!</v>
      </c>
      <c r="AF74" s="85"/>
      <c r="AK74" s="9" t="s">
        <v>247</v>
      </c>
      <c r="AL74" s="104" t="e">
        <f>AN51/AO17</f>
        <v>#DIV/0!</v>
      </c>
      <c r="AM74" s="85"/>
      <c r="AR74" s="9" t="s">
        <v>247</v>
      </c>
      <c r="AS74" s="104" t="e">
        <f>AU51/AV17</f>
        <v>#DIV/0!</v>
      </c>
      <c r="AT74" s="85"/>
      <c r="AY74" s="9" t="s">
        <v>247</v>
      </c>
      <c r="AZ74" s="104" t="e">
        <f>BB51/BC17</f>
        <v>#DIV/0!</v>
      </c>
      <c r="BA74" s="85"/>
      <c r="BF74" s="9" t="s">
        <v>247</v>
      </c>
      <c r="BG74" s="104" t="e">
        <f>BI51/BJ17</f>
        <v>#DIV/0!</v>
      </c>
      <c r="BH74" s="85"/>
      <c r="BM74" s="9" t="s">
        <v>247</v>
      </c>
      <c r="BN74" s="104" t="e">
        <f>BP51/BQ17</f>
        <v>#DIV/0!</v>
      </c>
      <c r="BO74" s="85"/>
    </row>
    <row r="75" spans="2:69" x14ac:dyDescent="0.35">
      <c r="C75" s="85"/>
      <c r="J75" s="85"/>
      <c r="Q75" s="85"/>
      <c r="X75" s="85"/>
      <c r="AE75" s="85"/>
      <c r="AL75" s="85"/>
      <c r="AS75" s="85"/>
      <c r="AZ75" s="85"/>
      <c r="BG75" s="85"/>
      <c r="BN75" s="85"/>
    </row>
    <row r="76" spans="2:69" x14ac:dyDescent="0.35">
      <c r="B76" s="9"/>
      <c r="D76" s="89"/>
      <c r="I76" s="9"/>
      <c r="K76" s="89"/>
      <c r="P76" s="9"/>
      <c r="R76" s="89"/>
      <c r="W76" s="9"/>
      <c r="Y76" s="89"/>
      <c r="AD76" s="9"/>
      <c r="AF76" s="89"/>
      <c r="AK76" s="9"/>
      <c r="AM76" s="89"/>
      <c r="AR76" s="9"/>
      <c r="AT76" s="89"/>
      <c r="AY76" s="9"/>
      <c r="BA76" s="89"/>
      <c r="BF76" s="9"/>
      <c r="BH76" s="89"/>
      <c r="BM76" s="9"/>
      <c r="BO76" s="89"/>
    </row>
  </sheetData>
  <mergeCells count="20">
    <mergeCell ref="AS34:AT34"/>
    <mergeCell ref="AZ34:BA34"/>
    <mergeCell ref="BG34:BH34"/>
    <mergeCell ref="BN34:BO34"/>
    <mergeCell ref="AS27:AT27"/>
    <mergeCell ref="AZ27:BA27"/>
    <mergeCell ref="BG27:BH27"/>
    <mergeCell ref="BN27:BO27"/>
    <mergeCell ref="AL34:AM34"/>
    <mergeCell ref="C27:D27"/>
    <mergeCell ref="J27:K27"/>
    <mergeCell ref="Q27:R27"/>
    <mergeCell ref="X27:Y27"/>
    <mergeCell ref="AE27:AF27"/>
    <mergeCell ref="AL27:AM27"/>
    <mergeCell ref="C34:D34"/>
    <mergeCell ref="J34:K34"/>
    <mergeCell ref="Q34:R34"/>
    <mergeCell ref="X34:Y34"/>
    <mergeCell ref="AE34:AF34"/>
  </mergeCells>
  <pageMargins left="0.7" right="0.7" top="0.75" bottom="0.75" header="0.3" footer="0.3"/>
  <pageSetup scale="48" orientation="landscape" r:id="rId1"/>
  <headerFooter>
    <oddFooter>&amp;L&amp;Z&amp;F&amp;A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BR76"/>
  <sheetViews>
    <sheetView topLeftCell="A43" zoomScaleNormal="100" workbookViewId="0">
      <selection activeCell="D30" sqref="D30"/>
    </sheetView>
  </sheetViews>
  <sheetFormatPr defaultColWidth="9.1796875" defaultRowHeight="14.5" x14ac:dyDescent="0.35"/>
  <cols>
    <col min="1" max="1" width="1.453125" customWidth="1"/>
    <col min="2" max="2" width="27.1796875" customWidth="1"/>
    <col min="3" max="3" width="17.81640625" bestFit="1" customWidth="1"/>
    <col min="4" max="4" width="14.26953125" customWidth="1"/>
    <col min="5" max="5" width="18.7265625" bestFit="1" customWidth="1"/>
    <col min="6" max="6" width="13.81640625" bestFit="1" customWidth="1"/>
    <col min="7" max="7" width="15" bestFit="1" customWidth="1"/>
    <col min="8" max="8" width="2.453125" customWidth="1"/>
    <col min="9" max="9" width="27.1796875" customWidth="1"/>
    <col min="10" max="10" width="17.81640625" bestFit="1" customWidth="1"/>
    <col min="11" max="11" width="14.26953125" customWidth="1"/>
    <col min="12" max="12" width="22.7265625" bestFit="1" customWidth="1"/>
    <col min="13" max="13" width="13.81640625" bestFit="1" customWidth="1"/>
    <col min="14" max="14" width="15" bestFit="1" customWidth="1"/>
    <col min="15" max="15" width="3.1796875" customWidth="1"/>
    <col min="16" max="16" width="27.1796875" customWidth="1"/>
    <col min="17" max="17" width="17.81640625" bestFit="1" customWidth="1"/>
    <col min="18" max="18" width="14.26953125" customWidth="1"/>
    <col min="19" max="19" width="22.7265625" bestFit="1" customWidth="1"/>
    <col min="20" max="20" width="13.81640625" bestFit="1" customWidth="1"/>
    <col min="21" max="21" width="15" bestFit="1" customWidth="1"/>
    <col min="22" max="22" width="3.1796875" customWidth="1"/>
    <col min="23" max="23" width="27.1796875" customWidth="1"/>
    <col min="24" max="24" width="17.81640625" bestFit="1" customWidth="1"/>
    <col min="25" max="25" width="14.26953125" customWidth="1"/>
    <col min="26" max="26" width="22.7265625" bestFit="1" customWidth="1"/>
    <col min="27" max="27" width="13.81640625" bestFit="1" customWidth="1"/>
    <col min="28" max="28" width="15" bestFit="1" customWidth="1"/>
    <col min="29" max="29" width="3.1796875" customWidth="1"/>
    <col min="30" max="30" width="27.1796875" customWidth="1"/>
    <col min="31" max="31" width="17.81640625" bestFit="1" customWidth="1"/>
    <col min="32" max="32" width="14.26953125" customWidth="1"/>
    <col min="33" max="33" width="22.7265625" bestFit="1" customWidth="1"/>
    <col min="34" max="34" width="13.81640625" bestFit="1" customWidth="1"/>
    <col min="35" max="35" width="15" bestFit="1" customWidth="1"/>
    <col min="36" max="36" width="3.1796875" customWidth="1"/>
    <col min="37" max="37" width="27.1796875" customWidth="1"/>
    <col min="38" max="38" width="17.81640625" bestFit="1" customWidth="1"/>
    <col min="39" max="39" width="14.26953125" customWidth="1"/>
    <col min="40" max="40" width="22.7265625" bestFit="1" customWidth="1"/>
    <col min="41" max="41" width="13.81640625" bestFit="1" customWidth="1"/>
    <col min="42" max="42" width="15" bestFit="1" customWidth="1"/>
    <col min="43" max="43" width="3.1796875" customWidth="1"/>
    <col min="44" max="44" width="27.1796875" customWidth="1"/>
    <col min="45" max="45" width="17.81640625" bestFit="1" customWidth="1"/>
    <col min="46" max="46" width="14.26953125" customWidth="1"/>
    <col min="47" max="47" width="22.7265625" bestFit="1" customWidth="1"/>
    <col min="48" max="48" width="13.81640625" bestFit="1" customWidth="1"/>
    <col min="49" max="49" width="15" bestFit="1" customWidth="1"/>
    <col min="50" max="50" width="3.1796875" customWidth="1"/>
    <col min="51" max="51" width="27.1796875" customWidth="1"/>
    <col min="52" max="52" width="17.81640625" bestFit="1" customWidth="1"/>
    <col min="53" max="53" width="14.26953125" customWidth="1"/>
    <col min="54" max="54" width="22.7265625" bestFit="1" customWidth="1"/>
    <col min="55" max="55" width="13.81640625" bestFit="1" customWidth="1"/>
    <col min="56" max="56" width="15" bestFit="1" customWidth="1"/>
    <col min="57" max="57" width="3.1796875" customWidth="1"/>
    <col min="58" max="58" width="27.1796875" customWidth="1"/>
    <col min="59" max="59" width="17.81640625" bestFit="1" customWidth="1"/>
    <col min="60" max="60" width="14.26953125" customWidth="1"/>
    <col min="61" max="61" width="22.7265625" bestFit="1" customWidth="1"/>
    <col min="62" max="62" width="13.81640625" bestFit="1" customWidth="1"/>
    <col min="63" max="63" width="15" bestFit="1" customWidth="1"/>
    <col min="64" max="64" width="3.1796875" customWidth="1"/>
    <col min="65" max="65" width="27.1796875" customWidth="1"/>
    <col min="66" max="66" width="17.81640625" bestFit="1" customWidth="1"/>
    <col min="67" max="67" width="14.26953125" customWidth="1"/>
    <col min="68" max="68" width="22.7265625" bestFit="1" customWidth="1"/>
    <col min="69" max="69" width="13.81640625" bestFit="1" customWidth="1"/>
    <col min="70" max="70" width="15" bestFit="1" customWidth="1"/>
  </cols>
  <sheetData>
    <row r="1" spans="2:70" ht="15" thickBot="1" x14ac:dyDescent="0.4">
      <c r="B1" s="107" t="s">
        <v>73</v>
      </c>
      <c r="C1" s="108">
        <v>1</v>
      </c>
      <c r="I1" s="107" t="s">
        <v>73</v>
      </c>
      <c r="J1" s="108">
        <v>2</v>
      </c>
      <c r="P1" s="107" t="s">
        <v>73</v>
      </c>
      <c r="Q1" s="108">
        <v>3</v>
      </c>
      <c r="W1" s="107" t="s">
        <v>73</v>
      </c>
      <c r="X1" s="108">
        <v>4</v>
      </c>
      <c r="AD1" s="107" t="s">
        <v>73</v>
      </c>
      <c r="AE1" s="108">
        <v>5</v>
      </c>
      <c r="AK1" s="107" t="s">
        <v>73</v>
      </c>
      <c r="AL1" s="108">
        <v>6</v>
      </c>
      <c r="AR1" s="107" t="s">
        <v>73</v>
      </c>
      <c r="AS1" s="108">
        <v>7</v>
      </c>
      <c r="AY1" s="107" t="s">
        <v>73</v>
      </c>
      <c r="AZ1" s="125">
        <v>8</v>
      </c>
      <c r="BF1" s="107" t="s">
        <v>73</v>
      </c>
      <c r="BG1" s="125">
        <v>9</v>
      </c>
      <c r="BM1" s="107" t="s">
        <v>73</v>
      </c>
      <c r="BN1" s="125">
        <v>10</v>
      </c>
    </row>
    <row r="2" spans="2:70" x14ac:dyDescent="0.35">
      <c r="B2" t="s">
        <v>74</v>
      </c>
      <c r="C2" s="106">
        <f>+Assumptions!$K$28</f>
        <v>0.05</v>
      </c>
      <c r="I2" t="s">
        <v>74</v>
      </c>
      <c r="J2" s="106">
        <f>+Assumptions!$L$28</f>
        <v>0.08</v>
      </c>
      <c r="P2" t="s">
        <v>74</v>
      </c>
      <c r="Q2" s="106">
        <f>+Assumptions!$M$28</f>
        <v>0.12</v>
      </c>
      <c r="W2" t="s">
        <v>74</v>
      </c>
      <c r="X2" s="106">
        <f>+Assumptions!$N$28</f>
        <v>0.2</v>
      </c>
      <c r="AD2" t="s">
        <v>74</v>
      </c>
      <c r="AE2" s="106">
        <f>+Assumptions!$O$28</f>
        <v>0</v>
      </c>
      <c r="AK2" t="s">
        <v>74</v>
      </c>
      <c r="AL2" s="106">
        <f>+Assumptions!$P$28</f>
        <v>0</v>
      </c>
      <c r="AR2" t="s">
        <v>74</v>
      </c>
      <c r="AS2" s="106">
        <f>+Assumptions!$Q$28</f>
        <v>0</v>
      </c>
      <c r="AY2" t="s">
        <v>74</v>
      </c>
      <c r="AZ2" s="106">
        <f>+Assumptions!$R$28</f>
        <v>0</v>
      </c>
      <c r="BF2" t="s">
        <v>74</v>
      </c>
      <c r="BG2" s="106">
        <f>+Assumptions!$S$28</f>
        <v>0</v>
      </c>
      <c r="BM2" t="s">
        <v>74</v>
      </c>
      <c r="BN2" s="106">
        <f>+Assumptions!$T$28</f>
        <v>0</v>
      </c>
    </row>
    <row r="3" spans="2:70" x14ac:dyDescent="0.35">
      <c r="B3" t="s">
        <v>206</v>
      </c>
      <c r="C3" s="98">
        <f>F17*12</f>
        <v>5781.6</v>
      </c>
      <c r="I3" t="s">
        <v>206</v>
      </c>
      <c r="J3" s="98">
        <f>M17*12</f>
        <v>9250.56</v>
      </c>
      <c r="P3" t="s">
        <v>206</v>
      </c>
      <c r="Q3" s="98">
        <f>T17*12</f>
        <v>13875.84</v>
      </c>
      <c r="W3" t="s">
        <v>206</v>
      </c>
      <c r="X3" s="98">
        <f>AA17*12</f>
        <v>23126.400000000001</v>
      </c>
      <c r="AD3" t="s">
        <v>206</v>
      </c>
      <c r="AE3" s="98">
        <f>AH17*12</f>
        <v>0</v>
      </c>
      <c r="AK3" t="s">
        <v>206</v>
      </c>
      <c r="AL3" s="98">
        <f>AO17*12</f>
        <v>0</v>
      </c>
      <c r="AR3" t="s">
        <v>206</v>
      </c>
      <c r="AS3" s="98">
        <f>AV17*12</f>
        <v>0</v>
      </c>
      <c r="AY3" t="s">
        <v>206</v>
      </c>
      <c r="AZ3" s="98">
        <f>BC17*12</f>
        <v>0</v>
      </c>
      <c r="BF3" t="s">
        <v>206</v>
      </c>
      <c r="BG3" s="98">
        <f>BJ17*12</f>
        <v>0</v>
      </c>
      <c r="BM3" t="s">
        <v>206</v>
      </c>
      <c r="BN3" s="98">
        <f>BQ17*12</f>
        <v>0</v>
      </c>
    </row>
    <row r="4" spans="2:70" x14ac:dyDescent="0.35">
      <c r="B4" t="s">
        <v>207</v>
      </c>
      <c r="C4" s="99">
        <f>+F14</f>
        <v>4.6199999999999992</v>
      </c>
      <c r="I4" t="s">
        <v>207</v>
      </c>
      <c r="J4" s="99">
        <f>+M14</f>
        <v>4.6199999999999992</v>
      </c>
      <c r="P4" t="s">
        <v>207</v>
      </c>
      <c r="Q4" s="99">
        <f>+T14</f>
        <v>4.6199999999999992</v>
      </c>
      <c r="W4" t="s">
        <v>207</v>
      </c>
      <c r="X4" s="99">
        <f>+AA14</f>
        <v>4.6199999999999992</v>
      </c>
      <c r="AD4" t="s">
        <v>207</v>
      </c>
      <c r="AE4" s="99">
        <f>+AH14</f>
        <v>4.6199999999999992</v>
      </c>
      <c r="AK4" t="s">
        <v>207</v>
      </c>
      <c r="AL4" s="99">
        <f>+AO14</f>
        <v>4.6199999999999992</v>
      </c>
      <c r="AR4" t="s">
        <v>207</v>
      </c>
      <c r="AS4" s="99">
        <f>+AV14</f>
        <v>4.6199999999999992</v>
      </c>
      <c r="AY4" t="s">
        <v>207</v>
      </c>
      <c r="AZ4" s="99">
        <f>+BC14</f>
        <v>4.6199999999999992</v>
      </c>
      <c r="BF4" t="s">
        <v>207</v>
      </c>
      <c r="BG4" s="99">
        <f>+BJ14</f>
        <v>4.6199999999999992</v>
      </c>
      <c r="BM4" t="s">
        <v>207</v>
      </c>
      <c r="BN4" s="99">
        <f>+BQ14</f>
        <v>4.6199999999999992</v>
      </c>
    </row>
    <row r="5" spans="2:70" x14ac:dyDescent="0.35">
      <c r="C5" s="99"/>
      <c r="J5" s="99"/>
      <c r="Q5" s="99"/>
      <c r="X5" s="99"/>
      <c r="AE5" s="99"/>
      <c r="AL5" s="99"/>
      <c r="AS5" s="99"/>
      <c r="AZ5" s="99"/>
      <c r="BG5" s="99"/>
      <c r="BN5" s="99"/>
    </row>
    <row r="6" spans="2:70" x14ac:dyDescent="0.35">
      <c r="B6" s="26" t="s">
        <v>208</v>
      </c>
      <c r="C6" s="92">
        <f>+E29</f>
        <v>0</v>
      </c>
      <c r="D6" s="143"/>
      <c r="I6" s="26" t="s">
        <v>208</v>
      </c>
      <c r="J6" s="92">
        <f>+L29</f>
        <v>0</v>
      </c>
      <c r="K6" s="143"/>
      <c r="P6" s="26" t="s">
        <v>208</v>
      </c>
      <c r="Q6" s="92">
        <f>+S29</f>
        <v>0</v>
      </c>
      <c r="R6" s="143"/>
      <c r="W6" s="26" t="s">
        <v>208</v>
      </c>
      <c r="X6" s="92">
        <f>+Z29</f>
        <v>0</v>
      </c>
      <c r="Y6" s="143"/>
      <c r="AD6" s="26" t="s">
        <v>208</v>
      </c>
      <c r="AE6" s="92">
        <f>+AG29</f>
        <v>0</v>
      </c>
      <c r="AF6" s="143"/>
      <c r="AK6" s="26" t="s">
        <v>208</v>
      </c>
      <c r="AL6" s="92">
        <f>+AN29</f>
        <v>0</v>
      </c>
      <c r="AM6" s="143"/>
      <c r="AR6" s="26" t="s">
        <v>208</v>
      </c>
      <c r="AS6" s="92">
        <f>+AU29</f>
        <v>0</v>
      </c>
      <c r="AT6" s="143"/>
      <c r="AY6" s="26" t="s">
        <v>208</v>
      </c>
      <c r="AZ6" s="92">
        <f>+BB29</f>
        <v>0</v>
      </c>
      <c r="BA6" s="143"/>
      <c r="BF6" s="26" t="s">
        <v>208</v>
      </c>
      <c r="BG6" s="92">
        <f>+BI29</f>
        <v>0</v>
      </c>
      <c r="BH6" s="143"/>
      <c r="BM6" s="26" t="s">
        <v>208</v>
      </c>
      <c r="BN6" s="92">
        <f>+BP29</f>
        <v>0</v>
      </c>
      <c r="BO6" s="143"/>
    </row>
    <row r="7" spans="2:70" x14ac:dyDescent="0.35">
      <c r="B7" s="26" t="s">
        <v>209</v>
      </c>
      <c r="C7" s="92">
        <f>+E30</f>
        <v>686.08320000000003</v>
      </c>
      <c r="D7" s="143"/>
      <c r="I7" s="26" t="s">
        <v>209</v>
      </c>
      <c r="J7" s="92">
        <f>+L30</f>
        <v>1097.7331199999999</v>
      </c>
      <c r="K7" s="143"/>
      <c r="P7" s="26" t="s">
        <v>209</v>
      </c>
      <c r="Q7" s="92">
        <f>+S30</f>
        <v>1646.5996799999998</v>
      </c>
      <c r="R7" s="143"/>
      <c r="W7" s="26" t="s">
        <v>209</v>
      </c>
      <c r="X7" s="92">
        <f>+Z30</f>
        <v>2744.3328000000001</v>
      </c>
      <c r="Y7" s="143"/>
      <c r="AD7" s="26" t="s">
        <v>209</v>
      </c>
      <c r="AE7" s="92">
        <f>+AG30</f>
        <v>0</v>
      </c>
      <c r="AF7" s="143"/>
      <c r="AK7" s="26" t="s">
        <v>209</v>
      </c>
      <c r="AL7" s="92">
        <f>+AN30</f>
        <v>0</v>
      </c>
      <c r="AM7" s="143"/>
      <c r="AR7" s="26" t="s">
        <v>209</v>
      </c>
      <c r="AS7" s="92">
        <f>+AU30</f>
        <v>0</v>
      </c>
      <c r="AT7" s="143"/>
      <c r="AY7" s="26" t="s">
        <v>209</v>
      </c>
      <c r="AZ7" s="92">
        <f>+BB30</f>
        <v>0</v>
      </c>
      <c r="BA7" s="143"/>
      <c r="BF7" s="26" t="s">
        <v>209</v>
      </c>
      <c r="BG7" s="92">
        <f>+BI30</f>
        <v>0</v>
      </c>
      <c r="BH7" s="143"/>
      <c r="BM7" s="26" t="s">
        <v>209</v>
      </c>
      <c r="BN7" s="92">
        <f>+BP30</f>
        <v>0</v>
      </c>
      <c r="BO7" s="143"/>
    </row>
    <row r="8" spans="2:70" x14ac:dyDescent="0.35">
      <c r="B8" s="1" t="s">
        <v>210</v>
      </c>
      <c r="C8" s="124">
        <f>+E64</f>
        <v>469.20186842884084</v>
      </c>
      <c r="D8" s="143"/>
      <c r="I8" s="1" t="s">
        <v>210</v>
      </c>
      <c r="J8" s="124">
        <f>+L64</f>
        <v>750.72298948614537</v>
      </c>
      <c r="K8" s="143"/>
      <c r="P8" s="1" t="s">
        <v>210</v>
      </c>
      <c r="Q8" s="124">
        <f>+S64</f>
        <v>1126.0844842292179</v>
      </c>
      <c r="R8" s="143"/>
      <c r="W8" s="1" t="s">
        <v>210</v>
      </c>
      <c r="X8" s="124">
        <f>+Z64</f>
        <v>1876.8074737153634</v>
      </c>
      <c r="Y8" s="143"/>
      <c r="AD8" s="1" t="s">
        <v>210</v>
      </c>
      <c r="AE8" s="124">
        <f>+AG64</f>
        <v>0</v>
      </c>
      <c r="AF8" s="143"/>
      <c r="AK8" s="1" t="s">
        <v>210</v>
      </c>
      <c r="AL8" s="124">
        <f>+AN64</f>
        <v>0</v>
      </c>
      <c r="AM8" s="143"/>
      <c r="AR8" s="1" t="s">
        <v>210</v>
      </c>
      <c r="AS8" s="124">
        <f>+AU64</f>
        <v>0</v>
      </c>
      <c r="AT8" s="143"/>
      <c r="AY8" s="1" t="s">
        <v>210</v>
      </c>
      <c r="AZ8" s="124">
        <f>+BB64</f>
        <v>0</v>
      </c>
      <c r="BA8" s="143"/>
      <c r="BF8" s="1" t="s">
        <v>210</v>
      </c>
      <c r="BG8" s="124">
        <f>+BI64</f>
        <v>0</v>
      </c>
      <c r="BH8" s="143"/>
      <c r="BM8" s="1" t="s">
        <v>210</v>
      </c>
      <c r="BN8" s="124">
        <f>+BP64</f>
        <v>0</v>
      </c>
      <c r="BO8" s="143"/>
    </row>
    <row r="9" spans="2:70" x14ac:dyDescent="0.35">
      <c r="B9" s="1" t="s">
        <v>211</v>
      </c>
      <c r="C9" s="204">
        <f>+E67+E46+E50+E31</f>
        <v>706.05887316392409</v>
      </c>
      <c r="D9" s="143"/>
      <c r="I9" s="1" t="s">
        <v>211</v>
      </c>
      <c r="J9" s="204">
        <f>+L67+L46+L50+L31</f>
        <v>893.60152779189855</v>
      </c>
      <c r="K9" s="143"/>
      <c r="P9" s="1" t="s">
        <v>211</v>
      </c>
      <c r="Q9" s="114">
        <f>+S67+S46+S50+S31</f>
        <v>1143.6584006291978</v>
      </c>
      <c r="R9" s="143"/>
      <c r="W9" s="1" t="s">
        <v>211</v>
      </c>
      <c r="X9" s="114">
        <f>+Z67+Z46+Z50+Z31</f>
        <v>1643.7721463037965</v>
      </c>
      <c r="Y9" s="143"/>
      <c r="AD9" s="1" t="s">
        <v>211</v>
      </c>
      <c r="AE9" s="114">
        <f>+AG67+AG46+AG50+AG31</f>
        <v>393.48778211730007</v>
      </c>
      <c r="AF9" s="143"/>
      <c r="AK9" s="1" t="s">
        <v>211</v>
      </c>
      <c r="AL9" s="114">
        <f>+AN67+AN46+AN50+AN31</f>
        <v>393.48778211730007</v>
      </c>
      <c r="AM9" s="143"/>
      <c r="AR9" s="1" t="s">
        <v>211</v>
      </c>
      <c r="AS9" s="114">
        <f>+AU67+AU46+AU50+AU31</f>
        <v>393.48778211730007</v>
      </c>
      <c r="AT9" s="143"/>
      <c r="AY9" s="1" t="s">
        <v>211</v>
      </c>
      <c r="AZ9" s="114">
        <f>+BB67+BB46+BB50+BB31</f>
        <v>393.48778211730007</v>
      </c>
      <c r="BA9" s="143"/>
      <c r="BF9" s="1" t="s">
        <v>211</v>
      </c>
      <c r="BG9" s="114">
        <f>+BI67+BI46+BI50+BI31</f>
        <v>393.48778211730007</v>
      </c>
      <c r="BH9" s="143"/>
      <c r="BM9" s="1" t="s">
        <v>211</v>
      </c>
      <c r="BN9" s="114">
        <f>+BP67+BP46+BP50+BP31</f>
        <v>393.48778211730007</v>
      </c>
      <c r="BO9" s="143"/>
    </row>
    <row r="10" spans="2:70" x14ac:dyDescent="0.35">
      <c r="B10" s="1"/>
      <c r="C10" s="92">
        <f>+SUM(C6:C9)</f>
        <v>1861.3439415927651</v>
      </c>
      <c r="D10" s="143"/>
      <c r="I10" s="1"/>
      <c r="J10" s="92">
        <f>+SUM(J6:J9)</f>
        <v>2742.0576372780438</v>
      </c>
      <c r="K10" s="143"/>
      <c r="P10" s="1"/>
      <c r="Q10" s="92">
        <f>+SUM(Q6:Q9)</f>
        <v>3916.3425648584152</v>
      </c>
      <c r="R10" s="143"/>
      <c r="W10" s="1"/>
      <c r="X10" s="92">
        <f>+SUM(X6:X9)</f>
        <v>6264.91242001916</v>
      </c>
      <c r="Y10" s="143"/>
      <c r="AD10" s="1"/>
      <c r="AE10" s="92">
        <f>+SUM(AE6:AE9)</f>
        <v>393.48778211730007</v>
      </c>
      <c r="AF10" s="143"/>
      <c r="AK10" s="1"/>
      <c r="AL10" s="92">
        <f>+SUM(AL6:AL9)</f>
        <v>393.48778211730007</v>
      </c>
      <c r="AM10" s="143"/>
      <c r="AR10" s="1"/>
      <c r="AS10" s="92">
        <f>+SUM(AS6:AS9)</f>
        <v>393.48778211730007</v>
      </c>
      <c r="AT10" s="143"/>
      <c r="AY10" s="1"/>
      <c r="AZ10" s="92">
        <f>+SUM(AZ6:AZ9)</f>
        <v>393.48778211730007</v>
      </c>
      <c r="BA10" s="143"/>
      <c r="BF10" s="1"/>
      <c r="BG10" s="92">
        <f>+SUM(BG6:BG9)</f>
        <v>393.48778211730007</v>
      </c>
      <c r="BH10" s="143"/>
      <c r="BM10" s="1"/>
      <c r="BN10" s="92">
        <f>+SUM(BN6:BN9)</f>
        <v>393.48778211730007</v>
      </c>
      <c r="BO10" s="143"/>
    </row>
    <row r="12" spans="2:70" x14ac:dyDescent="0.35">
      <c r="B12" s="191" t="s">
        <v>212</v>
      </c>
      <c r="C12" s="192"/>
      <c r="D12" s="193"/>
      <c r="E12" s="193"/>
      <c r="F12" s="194"/>
      <c r="G12" s="202"/>
      <c r="I12" s="191" t="s">
        <v>212</v>
      </c>
      <c r="J12" s="192"/>
      <c r="K12" s="193"/>
      <c r="L12" s="193"/>
      <c r="M12" s="194"/>
      <c r="N12" s="202"/>
      <c r="P12" s="191" t="s">
        <v>212</v>
      </c>
      <c r="Q12" s="192"/>
      <c r="R12" s="193"/>
      <c r="S12" s="193"/>
      <c r="T12" s="194"/>
      <c r="U12" s="202"/>
      <c r="W12" s="191" t="s">
        <v>212</v>
      </c>
      <c r="X12" s="192"/>
      <c r="Y12" s="193"/>
      <c r="Z12" s="193"/>
      <c r="AA12" s="194"/>
      <c r="AB12" s="202"/>
      <c r="AD12" s="191" t="s">
        <v>212</v>
      </c>
      <c r="AE12" s="192"/>
      <c r="AF12" s="193"/>
      <c r="AG12" s="193"/>
      <c r="AH12" s="194"/>
      <c r="AI12" s="202"/>
      <c r="AK12" s="191" t="s">
        <v>212</v>
      </c>
      <c r="AL12" s="192"/>
      <c r="AM12" s="193"/>
      <c r="AN12" s="193"/>
      <c r="AO12" s="194"/>
      <c r="AP12" s="202"/>
      <c r="AR12" s="191" t="s">
        <v>212</v>
      </c>
      <c r="AS12" s="192"/>
      <c r="AT12" s="193"/>
      <c r="AU12" s="193"/>
      <c r="AV12" s="194"/>
      <c r="AW12" s="202"/>
      <c r="AY12" s="191" t="s">
        <v>212</v>
      </c>
      <c r="AZ12" s="192"/>
      <c r="BA12" s="193"/>
      <c r="BB12" s="193"/>
      <c r="BC12" s="194"/>
      <c r="BD12" s="202"/>
      <c r="BF12" s="191" t="s">
        <v>212</v>
      </c>
      <c r="BG12" s="192"/>
      <c r="BH12" s="193"/>
      <c r="BI12" s="193"/>
      <c r="BJ12" s="194"/>
      <c r="BK12" s="202"/>
      <c r="BM12" s="191" t="s">
        <v>212</v>
      </c>
      <c r="BN12" s="192"/>
      <c r="BO12" s="193"/>
      <c r="BP12" s="193"/>
      <c r="BQ12" s="194"/>
      <c r="BR12" s="202"/>
    </row>
    <row r="13" spans="2:70" x14ac:dyDescent="0.35">
      <c r="B13" s="312" t="s">
        <v>213</v>
      </c>
      <c r="C13" s="312" t="s">
        <v>214</v>
      </c>
      <c r="D13" s="312" t="s">
        <v>76</v>
      </c>
      <c r="E13" s="312" t="s">
        <v>215</v>
      </c>
      <c r="F13" s="312" t="s">
        <v>207</v>
      </c>
      <c r="I13" s="312" t="s">
        <v>213</v>
      </c>
      <c r="J13" s="312" t="s">
        <v>214</v>
      </c>
      <c r="K13" s="312" t="s">
        <v>76</v>
      </c>
      <c r="L13" s="312" t="s">
        <v>215</v>
      </c>
      <c r="M13" s="312" t="s">
        <v>207</v>
      </c>
      <c r="P13" s="312" t="s">
        <v>213</v>
      </c>
      <c r="Q13" s="312" t="s">
        <v>214</v>
      </c>
      <c r="R13" s="312" t="s">
        <v>76</v>
      </c>
      <c r="S13" s="312" t="s">
        <v>215</v>
      </c>
      <c r="T13" s="312" t="s">
        <v>207</v>
      </c>
      <c r="W13" s="312" t="s">
        <v>213</v>
      </c>
      <c r="X13" s="312" t="s">
        <v>214</v>
      </c>
      <c r="Y13" s="312" t="s">
        <v>76</v>
      </c>
      <c r="Z13" s="312" t="s">
        <v>215</v>
      </c>
      <c r="AA13" s="312" t="s">
        <v>207</v>
      </c>
      <c r="AD13" s="312" t="s">
        <v>213</v>
      </c>
      <c r="AE13" s="312" t="s">
        <v>214</v>
      </c>
      <c r="AF13" s="312" t="s">
        <v>76</v>
      </c>
      <c r="AG13" s="312" t="s">
        <v>215</v>
      </c>
      <c r="AH13" s="312" t="s">
        <v>207</v>
      </c>
      <c r="AK13" s="312" t="s">
        <v>213</v>
      </c>
      <c r="AL13" s="312" t="s">
        <v>214</v>
      </c>
      <c r="AM13" s="312" t="s">
        <v>76</v>
      </c>
      <c r="AN13" s="312" t="s">
        <v>215</v>
      </c>
      <c r="AO13" s="312" t="s">
        <v>207</v>
      </c>
      <c r="AR13" s="312" t="s">
        <v>213</v>
      </c>
      <c r="AS13" s="312" t="s">
        <v>214</v>
      </c>
      <c r="AT13" s="312" t="s">
        <v>76</v>
      </c>
      <c r="AU13" s="312" t="s">
        <v>215</v>
      </c>
      <c r="AV13" s="312" t="s">
        <v>207</v>
      </c>
      <c r="AY13" s="312" t="s">
        <v>213</v>
      </c>
      <c r="AZ13" s="312" t="s">
        <v>214</v>
      </c>
      <c r="BA13" s="312" t="s">
        <v>76</v>
      </c>
      <c r="BB13" s="312" t="s">
        <v>215</v>
      </c>
      <c r="BC13" s="312" t="s">
        <v>207</v>
      </c>
      <c r="BF13" s="312" t="s">
        <v>213</v>
      </c>
      <c r="BG13" s="312" t="s">
        <v>214</v>
      </c>
      <c r="BH13" s="312" t="s">
        <v>76</v>
      </c>
      <c r="BI13" s="312" t="s">
        <v>215</v>
      </c>
      <c r="BJ13" s="312" t="s">
        <v>207</v>
      </c>
      <c r="BM13" s="312" t="s">
        <v>213</v>
      </c>
      <c r="BN13" s="312" t="s">
        <v>214</v>
      </c>
      <c r="BO13" s="312" t="s">
        <v>76</v>
      </c>
      <c r="BP13" s="312" t="s">
        <v>215</v>
      </c>
      <c r="BQ13" s="312" t="s">
        <v>207</v>
      </c>
    </row>
    <row r="14" spans="2:70" x14ac:dyDescent="0.35">
      <c r="B14" s="245">
        <v>2</v>
      </c>
      <c r="C14" s="196">
        <v>6.6</v>
      </c>
      <c r="D14" s="200">
        <f>+HLOOKUP(C1,Assumptions!$K$8:$T$10,3,TRUE)</f>
        <v>0.35</v>
      </c>
      <c r="E14" s="197">
        <f>+C14*D14</f>
        <v>2.3099999999999996</v>
      </c>
      <c r="F14" s="197">
        <f>+B14*E14</f>
        <v>4.6199999999999992</v>
      </c>
      <c r="I14" s="245">
        <v>2</v>
      </c>
      <c r="J14" s="196">
        <v>6.6</v>
      </c>
      <c r="K14" s="200">
        <f>+HLOOKUP(J1,Assumptions!$K$8:$T$10,3,TRUE)</f>
        <v>0.35</v>
      </c>
      <c r="L14" s="197">
        <f>+J14*K14</f>
        <v>2.3099999999999996</v>
      </c>
      <c r="M14" s="197">
        <f>+I14*L14</f>
        <v>4.6199999999999992</v>
      </c>
      <c r="P14" s="245">
        <v>2</v>
      </c>
      <c r="Q14" s="196">
        <v>6.6</v>
      </c>
      <c r="R14" s="200">
        <f>+HLOOKUP(Q1,Assumptions!$K$8:$T$10,3,TRUE)</f>
        <v>0.35</v>
      </c>
      <c r="S14" s="197">
        <f>+Q14*R14</f>
        <v>2.3099999999999996</v>
      </c>
      <c r="T14" s="197">
        <f>+P14*S14</f>
        <v>4.6199999999999992</v>
      </c>
      <c r="W14" s="245">
        <v>2</v>
      </c>
      <c r="X14" s="196">
        <v>6.6</v>
      </c>
      <c r="Y14" s="200">
        <f>+HLOOKUP(X1,Assumptions!$K$8:$T$10,3,TRUE)</f>
        <v>0.35</v>
      </c>
      <c r="Z14" s="197">
        <f>+X14*Y14</f>
        <v>2.3099999999999996</v>
      </c>
      <c r="AA14" s="197">
        <f>+W14*Z14</f>
        <v>4.6199999999999992</v>
      </c>
      <c r="AD14" s="245">
        <v>2</v>
      </c>
      <c r="AE14" s="196">
        <v>6.6</v>
      </c>
      <c r="AF14" s="200">
        <f>+HLOOKUP(AE1,Assumptions!$K$8:$T$10,3,TRUE)</f>
        <v>0.35</v>
      </c>
      <c r="AG14" s="197">
        <f>+AE14*AF14</f>
        <v>2.3099999999999996</v>
      </c>
      <c r="AH14" s="197">
        <f>+AD14*AG14</f>
        <v>4.6199999999999992</v>
      </c>
      <c r="AK14" s="245">
        <v>2</v>
      </c>
      <c r="AL14" s="196">
        <v>6.6</v>
      </c>
      <c r="AM14" s="200">
        <f>+HLOOKUP(AL1,Assumptions!$K$8:$T$10,3,TRUE)</f>
        <v>0.35</v>
      </c>
      <c r="AN14" s="197">
        <f>+AL14*AM14</f>
        <v>2.3099999999999996</v>
      </c>
      <c r="AO14" s="197">
        <f>+AK14*AN14</f>
        <v>4.6199999999999992</v>
      </c>
      <c r="AR14" s="245">
        <v>2</v>
      </c>
      <c r="AS14" s="196">
        <v>6.6</v>
      </c>
      <c r="AT14" s="200">
        <f>+HLOOKUP(AS1,Assumptions!$K$8:$T$10,3,TRUE)</f>
        <v>0.35</v>
      </c>
      <c r="AU14" s="197">
        <f>+AS14*AT14</f>
        <v>2.3099999999999996</v>
      </c>
      <c r="AV14" s="197">
        <f>+AR14*AU14</f>
        <v>4.6199999999999992</v>
      </c>
      <c r="AY14" s="245">
        <v>2</v>
      </c>
      <c r="AZ14" s="196">
        <v>6.6</v>
      </c>
      <c r="BA14" s="200">
        <f>+HLOOKUP(AZ1,Assumptions!$K$8:$T$10,3,TRUE)</f>
        <v>0.35</v>
      </c>
      <c r="BB14" s="197">
        <f>+AZ14*BA14</f>
        <v>2.3099999999999996</v>
      </c>
      <c r="BC14" s="197">
        <f>+AY14*BB14</f>
        <v>4.6199999999999992</v>
      </c>
      <c r="BF14" s="245">
        <v>2</v>
      </c>
      <c r="BG14" s="196">
        <v>6.6</v>
      </c>
      <c r="BH14" s="200">
        <f>+HLOOKUP(BG1,Assumptions!$K$8:$T$10,3,TRUE)</f>
        <v>0.35</v>
      </c>
      <c r="BI14" s="197">
        <f>+BG14*BH14</f>
        <v>2.3099999999999996</v>
      </c>
      <c r="BJ14" s="197">
        <f>+BF14*BI14</f>
        <v>4.6199999999999992</v>
      </c>
      <c r="BM14" s="245">
        <v>2</v>
      </c>
      <c r="BN14" s="196">
        <v>6.6</v>
      </c>
      <c r="BO14" s="200">
        <f>+HLOOKUP(BN1,Assumptions!$K$8:$T$10,3,TRUE)</f>
        <v>0.35</v>
      </c>
      <c r="BP14" s="197">
        <f>+BN14*BO14</f>
        <v>2.3099999999999996</v>
      </c>
      <c r="BQ14" s="197">
        <f>+BM14*BP14</f>
        <v>4.6199999999999992</v>
      </c>
    </row>
    <row r="15" spans="2:70" x14ac:dyDescent="0.35">
      <c r="B15" s="23"/>
      <c r="E15" s="79"/>
      <c r="F15" s="79"/>
      <c r="G15" s="79"/>
      <c r="I15" s="23"/>
      <c r="L15" s="79"/>
      <c r="M15" s="79"/>
      <c r="N15" s="79"/>
      <c r="P15" s="23"/>
      <c r="S15" s="79"/>
      <c r="T15" s="79"/>
      <c r="U15" s="79"/>
      <c r="W15" s="23"/>
      <c r="Z15" s="79"/>
      <c r="AA15" s="79"/>
      <c r="AB15" s="79"/>
      <c r="AD15" s="23"/>
      <c r="AG15" s="79"/>
      <c r="AH15" s="79"/>
      <c r="AI15" s="79"/>
      <c r="AK15" s="23"/>
      <c r="AN15" s="79"/>
      <c r="AO15" s="79"/>
      <c r="AP15" s="79"/>
      <c r="AR15" s="23"/>
      <c r="AU15" s="79"/>
      <c r="AV15" s="79"/>
      <c r="AW15" s="79"/>
      <c r="AY15" s="23"/>
      <c r="BB15" s="79"/>
      <c r="BC15" s="79"/>
      <c r="BD15" s="79"/>
      <c r="BF15" s="23"/>
      <c r="BI15" s="79"/>
      <c r="BJ15" s="79"/>
      <c r="BK15" s="79"/>
      <c r="BM15" s="23"/>
      <c r="BP15" s="79"/>
      <c r="BQ15" s="79"/>
      <c r="BR15" s="79"/>
    </row>
    <row r="16" spans="2:70" x14ac:dyDescent="0.35">
      <c r="B16" s="80" t="s">
        <v>216</v>
      </c>
      <c r="C16" s="312" t="s">
        <v>214</v>
      </c>
      <c r="D16" s="81" t="s">
        <v>217</v>
      </c>
      <c r="E16" s="82" t="s">
        <v>218</v>
      </c>
      <c r="F16" s="82" t="s">
        <v>219</v>
      </c>
      <c r="I16" s="80" t="s">
        <v>216</v>
      </c>
      <c r="J16" s="312" t="s">
        <v>214</v>
      </c>
      <c r="K16" s="81" t="s">
        <v>217</v>
      </c>
      <c r="L16" s="82" t="s">
        <v>218</v>
      </c>
      <c r="M16" s="82" t="s">
        <v>219</v>
      </c>
      <c r="P16" s="80" t="s">
        <v>216</v>
      </c>
      <c r="Q16" s="312" t="s">
        <v>214</v>
      </c>
      <c r="R16" s="81" t="s">
        <v>217</v>
      </c>
      <c r="S16" s="82" t="s">
        <v>218</v>
      </c>
      <c r="T16" s="82" t="s">
        <v>219</v>
      </c>
      <c r="W16" s="80" t="s">
        <v>216</v>
      </c>
      <c r="X16" s="312" t="s">
        <v>214</v>
      </c>
      <c r="Y16" s="81" t="s">
        <v>217</v>
      </c>
      <c r="Z16" s="82" t="s">
        <v>218</v>
      </c>
      <c r="AA16" s="82" t="s">
        <v>219</v>
      </c>
      <c r="AD16" s="80" t="s">
        <v>216</v>
      </c>
      <c r="AE16" s="312" t="s">
        <v>214</v>
      </c>
      <c r="AF16" s="81" t="s">
        <v>217</v>
      </c>
      <c r="AG16" s="82" t="s">
        <v>218</v>
      </c>
      <c r="AH16" s="82" t="s">
        <v>219</v>
      </c>
      <c r="AK16" s="80" t="s">
        <v>216</v>
      </c>
      <c r="AL16" s="312" t="s">
        <v>214</v>
      </c>
      <c r="AM16" s="81" t="s">
        <v>217</v>
      </c>
      <c r="AN16" s="82" t="s">
        <v>218</v>
      </c>
      <c r="AO16" s="82" t="s">
        <v>219</v>
      </c>
      <c r="AR16" s="80" t="s">
        <v>216</v>
      </c>
      <c r="AS16" s="312" t="s">
        <v>214</v>
      </c>
      <c r="AT16" s="81" t="s">
        <v>217</v>
      </c>
      <c r="AU16" s="82" t="s">
        <v>218</v>
      </c>
      <c r="AV16" s="82" t="s">
        <v>219</v>
      </c>
      <c r="AY16" s="80" t="s">
        <v>216</v>
      </c>
      <c r="AZ16" s="312" t="s">
        <v>214</v>
      </c>
      <c r="BA16" s="81" t="s">
        <v>217</v>
      </c>
      <c r="BB16" s="82" t="s">
        <v>218</v>
      </c>
      <c r="BC16" s="82" t="s">
        <v>219</v>
      </c>
      <c r="BF16" s="80" t="s">
        <v>216</v>
      </c>
      <c r="BG16" s="312" t="s">
        <v>214</v>
      </c>
      <c r="BH16" s="81" t="s">
        <v>217</v>
      </c>
      <c r="BI16" s="82" t="s">
        <v>218</v>
      </c>
      <c r="BJ16" s="82" t="s">
        <v>219</v>
      </c>
      <c r="BM16" s="80" t="s">
        <v>216</v>
      </c>
      <c r="BN16" s="312" t="s">
        <v>214</v>
      </c>
      <c r="BO16" s="81" t="s">
        <v>217</v>
      </c>
      <c r="BP16" s="82" t="s">
        <v>218</v>
      </c>
      <c r="BQ16" s="82" t="s">
        <v>219</v>
      </c>
    </row>
    <row r="17" spans="2:70" x14ac:dyDescent="0.35">
      <c r="B17" s="198">
        <f>+C2</f>
        <v>0.05</v>
      </c>
      <c r="C17" s="197">
        <f>+C14</f>
        <v>6.6</v>
      </c>
      <c r="D17" s="199">
        <f>+B17*24</f>
        <v>1.2000000000000002</v>
      </c>
      <c r="E17" s="149">
        <f>+Assumptions!$C$11</f>
        <v>365</v>
      </c>
      <c r="F17" s="149">
        <f>(B14*C17*D17*E17)/12</f>
        <v>481.8</v>
      </c>
      <c r="I17" s="198">
        <f>+J2</f>
        <v>0.08</v>
      </c>
      <c r="J17" s="197">
        <f>+J14</f>
        <v>6.6</v>
      </c>
      <c r="K17" s="199">
        <f>+I17*24</f>
        <v>1.92</v>
      </c>
      <c r="L17" s="149">
        <f>+Assumptions!$C$11</f>
        <v>365</v>
      </c>
      <c r="M17" s="149">
        <f>(I14*J17*K17*L17)/12</f>
        <v>770.88</v>
      </c>
      <c r="P17" s="198">
        <f>+Q2</f>
        <v>0.12</v>
      </c>
      <c r="Q17" s="197">
        <f>+Q14</f>
        <v>6.6</v>
      </c>
      <c r="R17" s="199">
        <f>+P17*24</f>
        <v>2.88</v>
      </c>
      <c r="S17" s="149">
        <f>+Assumptions!$C$11</f>
        <v>365</v>
      </c>
      <c r="T17" s="149">
        <f>(P14*Q17*R17*S17)/12</f>
        <v>1156.32</v>
      </c>
      <c r="W17" s="198">
        <f>+X2</f>
        <v>0.2</v>
      </c>
      <c r="X17" s="197">
        <f>+X14</f>
        <v>6.6</v>
      </c>
      <c r="Y17" s="199">
        <f>+W17*24</f>
        <v>4.8000000000000007</v>
      </c>
      <c r="Z17" s="149">
        <f>+Assumptions!$C$11</f>
        <v>365</v>
      </c>
      <c r="AA17" s="149">
        <f>(W14*X17*Y17*Z17)/12</f>
        <v>1927.2</v>
      </c>
      <c r="AD17" s="198">
        <f>+AE2</f>
        <v>0</v>
      </c>
      <c r="AE17" s="197">
        <f>+AE14</f>
        <v>6.6</v>
      </c>
      <c r="AF17" s="199">
        <f>+AD17*24</f>
        <v>0</v>
      </c>
      <c r="AG17" s="149">
        <f>+Assumptions!$C$11</f>
        <v>365</v>
      </c>
      <c r="AH17" s="149">
        <f>(AD14*AE17*AF17*AG17)/12</f>
        <v>0</v>
      </c>
      <c r="AK17" s="198">
        <f>+AL2</f>
        <v>0</v>
      </c>
      <c r="AL17" s="197">
        <f>+AL14</f>
        <v>6.6</v>
      </c>
      <c r="AM17" s="199">
        <f>+AK17*24</f>
        <v>0</v>
      </c>
      <c r="AN17" s="149">
        <f>+Assumptions!$C$11</f>
        <v>365</v>
      </c>
      <c r="AO17" s="149">
        <f>(AK14*AL17*AM17*AN17)/12</f>
        <v>0</v>
      </c>
      <c r="AR17" s="198">
        <f>+AS2</f>
        <v>0</v>
      </c>
      <c r="AS17" s="197">
        <f>+AS14</f>
        <v>6.6</v>
      </c>
      <c r="AT17" s="199">
        <f>+AR17*24</f>
        <v>0</v>
      </c>
      <c r="AU17" s="149">
        <f>+Assumptions!$C$11</f>
        <v>365</v>
      </c>
      <c r="AV17" s="149">
        <f>(AR14*AS17*AT17*AU17)/12</f>
        <v>0</v>
      </c>
      <c r="AY17" s="198">
        <f>+AZ2</f>
        <v>0</v>
      </c>
      <c r="AZ17" s="197">
        <f>+AZ14</f>
        <v>6.6</v>
      </c>
      <c r="BA17" s="199">
        <f>+AY17*24</f>
        <v>0</v>
      </c>
      <c r="BB17" s="149">
        <f>+Assumptions!$C$11</f>
        <v>365</v>
      </c>
      <c r="BC17" s="149">
        <f>(AY14*AZ17*BA17*BB17)/12</f>
        <v>0</v>
      </c>
      <c r="BF17" s="198">
        <f>+BG2</f>
        <v>0</v>
      </c>
      <c r="BG17" s="197">
        <f>+BG14</f>
        <v>6.6</v>
      </c>
      <c r="BH17" s="199">
        <f>+BF17*24</f>
        <v>0</v>
      </c>
      <c r="BI17" s="149">
        <f>+Assumptions!$C$11</f>
        <v>365</v>
      </c>
      <c r="BJ17" s="149">
        <f>(BF14*BG17*BH17*BI17)/12</f>
        <v>0</v>
      </c>
      <c r="BM17" s="198">
        <f>+BN2</f>
        <v>0</v>
      </c>
      <c r="BN17" s="197">
        <f>+BN14</f>
        <v>6.6</v>
      </c>
      <c r="BO17" s="199">
        <f>+BM17*24</f>
        <v>0</v>
      </c>
      <c r="BP17" s="149">
        <f>+Assumptions!$C$11</f>
        <v>365</v>
      </c>
      <c r="BQ17" s="149">
        <f>(BM14*BN17*BO17*BP17)/12</f>
        <v>0</v>
      </c>
    </row>
    <row r="18" spans="2:70" x14ac:dyDescent="0.35">
      <c r="C18" s="63"/>
      <c r="D18" s="10"/>
      <c r="E18" s="10"/>
      <c r="J18" s="63"/>
      <c r="K18" s="10"/>
      <c r="L18" s="10"/>
      <c r="Q18" s="63"/>
      <c r="R18" s="10"/>
      <c r="S18" s="10"/>
      <c r="X18" s="63"/>
      <c r="Y18" s="10"/>
      <c r="Z18" s="10"/>
      <c r="AE18" s="63"/>
      <c r="AF18" s="10"/>
      <c r="AG18" s="10"/>
      <c r="AL18" s="63"/>
      <c r="AM18" s="10"/>
      <c r="AN18" s="10"/>
      <c r="AS18" s="63"/>
      <c r="AT18" s="10"/>
      <c r="AU18" s="10"/>
      <c r="AZ18" s="63"/>
      <c r="BA18" s="10"/>
      <c r="BB18" s="10"/>
      <c r="BG18" s="63"/>
      <c r="BH18" s="10"/>
      <c r="BI18" s="10"/>
      <c r="BN18" s="63"/>
      <c r="BO18" s="10"/>
      <c r="BP18" s="10"/>
    </row>
    <row r="19" spans="2:70" x14ac:dyDescent="0.35">
      <c r="B19" s="75" t="s">
        <v>220</v>
      </c>
      <c r="C19" s="76"/>
      <c r="D19" s="76"/>
      <c r="E19" s="76"/>
      <c r="F19" s="76"/>
      <c r="G19" s="76"/>
      <c r="I19" s="75" t="s">
        <v>220</v>
      </c>
      <c r="J19" s="76"/>
      <c r="K19" s="76"/>
      <c r="L19" s="76"/>
      <c r="M19" s="76"/>
      <c r="N19" s="76"/>
      <c r="P19" s="75" t="s">
        <v>220</v>
      </c>
      <c r="Q19" s="76"/>
      <c r="R19" s="76"/>
      <c r="S19" s="76"/>
      <c r="T19" s="76"/>
      <c r="U19" s="76"/>
      <c r="W19" s="75" t="s">
        <v>220</v>
      </c>
      <c r="X19" s="76"/>
      <c r="Y19" s="76"/>
      <c r="Z19" s="76"/>
      <c r="AA19" s="76"/>
      <c r="AB19" s="76"/>
      <c r="AD19" s="75" t="s">
        <v>220</v>
      </c>
      <c r="AE19" s="76"/>
      <c r="AF19" s="76"/>
      <c r="AG19" s="76"/>
      <c r="AH19" s="76"/>
      <c r="AI19" s="76"/>
      <c r="AK19" s="75" t="s">
        <v>220</v>
      </c>
      <c r="AL19" s="76"/>
      <c r="AM19" s="76"/>
      <c r="AN19" s="76"/>
      <c r="AO19" s="76"/>
      <c r="AP19" s="76"/>
      <c r="AR19" s="75" t="s">
        <v>220</v>
      </c>
      <c r="AS19" s="76"/>
      <c r="AT19" s="76"/>
      <c r="AU19" s="76"/>
      <c r="AV19" s="76"/>
      <c r="AW19" s="76"/>
      <c r="AY19" s="75" t="s">
        <v>220</v>
      </c>
      <c r="AZ19" s="76"/>
      <c r="BA19" s="76"/>
      <c r="BB19" s="76"/>
      <c r="BC19" s="76"/>
      <c r="BD19" s="76"/>
      <c r="BF19" s="75" t="s">
        <v>220</v>
      </c>
      <c r="BG19" s="76"/>
      <c r="BH19" s="76"/>
      <c r="BI19" s="76"/>
      <c r="BJ19" s="76"/>
      <c r="BK19" s="76"/>
      <c r="BM19" s="75" t="s">
        <v>220</v>
      </c>
      <c r="BN19" s="76"/>
      <c r="BO19" s="76"/>
      <c r="BP19" s="76"/>
      <c r="BQ19" s="76"/>
      <c r="BR19" s="76"/>
    </row>
    <row r="20" spans="2:70" s="77" customFormat="1" x14ac:dyDescent="0.35">
      <c r="B20" s="2" t="s">
        <v>221</v>
      </c>
      <c r="C20" s="312" t="s">
        <v>163</v>
      </c>
      <c r="D20" s="123" t="s">
        <v>164</v>
      </c>
      <c r="F20" s="2" t="s">
        <v>248</v>
      </c>
      <c r="G20"/>
      <c r="I20" s="2" t="s">
        <v>221</v>
      </c>
      <c r="J20" s="312" t="s">
        <v>163</v>
      </c>
      <c r="K20" s="123" t="s">
        <v>164</v>
      </c>
      <c r="M20" s="2" t="s">
        <v>248</v>
      </c>
      <c r="N20"/>
      <c r="O20"/>
      <c r="P20" s="2" t="s">
        <v>221</v>
      </c>
      <c r="Q20" s="312" t="s">
        <v>163</v>
      </c>
      <c r="R20" s="123" t="s">
        <v>164</v>
      </c>
      <c r="T20" s="2" t="s">
        <v>248</v>
      </c>
      <c r="U20"/>
      <c r="V20"/>
      <c r="W20" s="2" t="s">
        <v>221</v>
      </c>
      <c r="X20" s="312" t="s">
        <v>163</v>
      </c>
      <c r="Y20" s="123" t="s">
        <v>164</v>
      </c>
      <c r="AA20" s="2" t="s">
        <v>248</v>
      </c>
      <c r="AB20"/>
      <c r="AC20"/>
      <c r="AD20" s="2" t="s">
        <v>221</v>
      </c>
      <c r="AE20" s="312" t="s">
        <v>163</v>
      </c>
      <c r="AF20" s="123" t="s">
        <v>164</v>
      </c>
      <c r="AH20" s="2" t="s">
        <v>248</v>
      </c>
      <c r="AI20"/>
      <c r="AJ20"/>
      <c r="AK20" s="2" t="s">
        <v>221</v>
      </c>
      <c r="AL20" s="312" t="s">
        <v>163</v>
      </c>
      <c r="AM20" s="123" t="s">
        <v>164</v>
      </c>
      <c r="AO20" s="2" t="s">
        <v>248</v>
      </c>
      <c r="AP20"/>
      <c r="AQ20"/>
      <c r="AR20" s="2" t="s">
        <v>221</v>
      </c>
      <c r="AS20" s="312" t="s">
        <v>163</v>
      </c>
      <c r="AT20" s="123" t="s">
        <v>164</v>
      </c>
      <c r="AV20" s="2" t="s">
        <v>248</v>
      </c>
      <c r="AW20"/>
      <c r="AX20"/>
      <c r="AY20" s="2" t="s">
        <v>221</v>
      </c>
      <c r="AZ20" s="312" t="s">
        <v>163</v>
      </c>
      <c r="BA20" s="123" t="s">
        <v>164</v>
      </c>
      <c r="BC20" s="2" t="s">
        <v>248</v>
      </c>
      <c r="BD20"/>
      <c r="BE20"/>
      <c r="BF20" s="2" t="s">
        <v>221</v>
      </c>
      <c r="BG20" s="312" t="s">
        <v>163</v>
      </c>
      <c r="BH20" s="123" t="s">
        <v>164</v>
      </c>
      <c r="BJ20" s="2" t="s">
        <v>248</v>
      </c>
      <c r="BK20"/>
      <c r="BL20"/>
      <c r="BM20" s="2" t="s">
        <v>221</v>
      </c>
      <c r="BN20" s="312" t="s">
        <v>163</v>
      </c>
      <c r="BO20" s="123" t="s">
        <v>164</v>
      </c>
      <c r="BQ20" s="2" t="s">
        <v>248</v>
      </c>
      <c r="BR20"/>
    </row>
    <row r="21" spans="2:70" x14ac:dyDescent="0.35">
      <c r="B21" s="11" t="s">
        <v>165</v>
      </c>
      <c r="C21">
        <f>+Assumptions!$I$93</f>
        <v>0</v>
      </c>
      <c r="D21">
        <f>+Assumptions!$J$96</f>
        <v>0</v>
      </c>
      <c r="F21" t="s">
        <v>157</v>
      </c>
      <c r="G21" s="91">
        <v>0</v>
      </c>
      <c r="I21" s="11" t="s">
        <v>165</v>
      </c>
      <c r="J21">
        <f>+Assumptions!$I$93</f>
        <v>0</v>
      </c>
      <c r="K21">
        <f>+Assumptions!$J$96</f>
        <v>0</v>
      </c>
      <c r="M21" t="s">
        <v>157</v>
      </c>
      <c r="N21" s="91">
        <v>0</v>
      </c>
      <c r="P21" s="11" t="s">
        <v>165</v>
      </c>
      <c r="Q21">
        <f>+Assumptions!$I$93</f>
        <v>0</v>
      </c>
      <c r="R21">
        <f>+Assumptions!$J$96</f>
        <v>0</v>
      </c>
      <c r="T21" t="s">
        <v>157</v>
      </c>
      <c r="U21" s="91">
        <v>0</v>
      </c>
      <c r="W21" s="11" t="s">
        <v>165</v>
      </c>
      <c r="X21">
        <f>+Assumptions!$I$93</f>
        <v>0</v>
      </c>
      <c r="Y21">
        <f>+Assumptions!$J$96</f>
        <v>0</v>
      </c>
      <c r="AA21" t="s">
        <v>157</v>
      </c>
      <c r="AB21" s="91">
        <v>0</v>
      </c>
      <c r="AD21" s="11" t="s">
        <v>165</v>
      </c>
      <c r="AE21">
        <f>+Assumptions!$I$93</f>
        <v>0</v>
      </c>
      <c r="AF21">
        <f>+Assumptions!$J$96</f>
        <v>0</v>
      </c>
      <c r="AH21" t="s">
        <v>157</v>
      </c>
      <c r="AI21" s="91">
        <v>0</v>
      </c>
      <c r="AK21" s="11" t="s">
        <v>165</v>
      </c>
      <c r="AL21">
        <f>+Assumptions!$I$93</f>
        <v>0</v>
      </c>
      <c r="AM21">
        <f>+Assumptions!$J$96</f>
        <v>0</v>
      </c>
      <c r="AO21" t="s">
        <v>157</v>
      </c>
      <c r="AP21" s="91">
        <v>0</v>
      </c>
      <c r="AR21" s="11" t="s">
        <v>165</v>
      </c>
      <c r="AS21">
        <f>+Assumptions!$I$93</f>
        <v>0</v>
      </c>
      <c r="AT21">
        <f>+Assumptions!$J$96</f>
        <v>0</v>
      </c>
      <c r="AV21" t="s">
        <v>157</v>
      </c>
      <c r="AW21" s="91">
        <v>0</v>
      </c>
      <c r="AY21" s="11" t="s">
        <v>165</v>
      </c>
      <c r="AZ21">
        <f>+Assumptions!$I$93</f>
        <v>0</v>
      </c>
      <c r="BA21">
        <f>+Assumptions!$J$96</f>
        <v>0</v>
      </c>
      <c r="BC21" t="s">
        <v>157</v>
      </c>
      <c r="BD21" s="91">
        <v>0</v>
      </c>
      <c r="BF21" s="11" t="s">
        <v>165</v>
      </c>
      <c r="BG21">
        <f>+Assumptions!$I$93</f>
        <v>0</v>
      </c>
      <c r="BH21">
        <f>+Assumptions!$J$96</f>
        <v>0</v>
      </c>
      <c r="BJ21" t="s">
        <v>157</v>
      </c>
      <c r="BK21" s="91">
        <v>0</v>
      </c>
      <c r="BM21" s="11" t="s">
        <v>165</v>
      </c>
      <c r="BN21">
        <f>+Assumptions!$I$93</f>
        <v>0</v>
      </c>
      <c r="BO21">
        <f>+Assumptions!$J$96</f>
        <v>0</v>
      </c>
      <c r="BQ21" t="s">
        <v>157</v>
      </c>
      <c r="BR21" s="91">
        <v>0</v>
      </c>
    </row>
    <row r="22" spans="2:70" x14ac:dyDescent="0.35">
      <c r="B22" t="s">
        <v>166</v>
      </c>
      <c r="C22">
        <f>+Assumptions!$I$94</f>
        <v>0</v>
      </c>
      <c r="D22">
        <f>+Assumptions!$J$97</f>
        <v>0</v>
      </c>
      <c r="E22" s="11"/>
      <c r="F22" t="s">
        <v>161</v>
      </c>
      <c r="G22" s="91">
        <f>+Assumptions!$J$93</f>
        <v>28.1</v>
      </c>
      <c r="I22" t="s">
        <v>166</v>
      </c>
      <c r="J22">
        <f>+Assumptions!$I$94</f>
        <v>0</v>
      </c>
      <c r="K22">
        <f>+Assumptions!$J$97</f>
        <v>0</v>
      </c>
      <c r="L22" s="11"/>
      <c r="M22" t="s">
        <v>161</v>
      </c>
      <c r="N22" s="91">
        <f>+Assumptions!$J$93</f>
        <v>28.1</v>
      </c>
      <c r="P22" t="s">
        <v>166</v>
      </c>
      <c r="Q22">
        <f>+Assumptions!$I$94</f>
        <v>0</v>
      </c>
      <c r="R22">
        <f>+Assumptions!$J$97</f>
        <v>0</v>
      </c>
      <c r="S22" s="11"/>
      <c r="T22" t="s">
        <v>161</v>
      </c>
      <c r="U22" s="91">
        <f>+Assumptions!$J$93</f>
        <v>28.1</v>
      </c>
      <c r="W22" t="s">
        <v>166</v>
      </c>
      <c r="X22">
        <f>+Assumptions!$I$94</f>
        <v>0</v>
      </c>
      <c r="Y22">
        <f>+Assumptions!$J$97</f>
        <v>0</v>
      </c>
      <c r="Z22" s="11"/>
      <c r="AA22" t="s">
        <v>161</v>
      </c>
      <c r="AB22" s="91">
        <f>+Assumptions!$J$93</f>
        <v>28.1</v>
      </c>
      <c r="AD22" t="s">
        <v>166</v>
      </c>
      <c r="AE22">
        <f>+Assumptions!$I$94</f>
        <v>0</v>
      </c>
      <c r="AF22">
        <f>+Assumptions!$J$97</f>
        <v>0</v>
      </c>
      <c r="AG22" s="11"/>
      <c r="AH22" t="s">
        <v>161</v>
      </c>
      <c r="AI22" s="91">
        <f>+Assumptions!$J$93</f>
        <v>28.1</v>
      </c>
      <c r="AK22" t="s">
        <v>166</v>
      </c>
      <c r="AL22">
        <f>+Assumptions!$I$94</f>
        <v>0</v>
      </c>
      <c r="AM22">
        <f>+Assumptions!$J$97</f>
        <v>0</v>
      </c>
      <c r="AN22" s="11"/>
      <c r="AO22" t="s">
        <v>161</v>
      </c>
      <c r="AP22" s="91">
        <f>+Assumptions!$J$93</f>
        <v>28.1</v>
      </c>
      <c r="AR22" t="s">
        <v>166</v>
      </c>
      <c r="AS22">
        <f>+Assumptions!$I$94</f>
        <v>0</v>
      </c>
      <c r="AT22">
        <f>+Assumptions!$J$97</f>
        <v>0</v>
      </c>
      <c r="AU22" s="11"/>
      <c r="AV22" t="s">
        <v>161</v>
      </c>
      <c r="AW22" s="91">
        <f>+Assumptions!$J$93</f>
        <v>28.1</v>
      </c>
      <c r="AY22" t="s">
        <v>166</v>
      </c>
      <c r="AZ22">
        <f>+Assumptions!$I$94</f>
        <v>0</v>
      </c>
      <c r="BA22">
        <f>+Assumptions!$J$97</f>
        <v>0</v>
      </c>
      <c r="BB22" s="11"/>
      <c r="BC22" t="s">
        <v>161</v>
      </c>
      <c r="BD22" s="91">
        <f>+Assumptions!$J$93</f>
        <v>28.1</v>
      </c>
      <c r="BF22" t="s">
        <v>166</v>
      </c>
      <c r="BG22">
        <f>+Assumptions!$I$94</f>
        <v>0</v>
      </c>
      <c r="BH22">
        <f>+Assumptions!$J$97</f>
        <v>0</v>
      </c>
      <c r="BI22" s="11"/>
      <c r="BJ22" t="s">
        <v>161</v>
      </c>
      <c r="BK22" s="91">
        <f>+Assumptions!$J$93</f>
        <v>28.1</v>
      </c>
      <c r="BM22" t="s">
        <v>166</v>
      </c>
      <c r="BN22">
        <f>+Assumptions!$I$94</f>
        <v>0</v>
      </c>
      <c r="BO22">
        <f>+Assumptions!$J$97</f>
        <v>0</v>
      </c>
      <c r="BP22" s="11"/>
      <c r="BQ22" t="s">
        <v>161</v>
      </c>
      <c r="BR22" s="91">
        <f>+Assumptions!$J$93</f>
        <v>28.1</v>
      </c>
    </row>
    <row r="23" spans="2:70" x14ac:dyDescent="0.35">
      <c r="E23" s="11"/>
      <c r="F23" s="11"/>
      <c r="L23" s="11"/>
      <c r="M23" s="11"/>
      <c r="S23" s="11"/>
      <c r="T23" s="11"/>
      <c r="Z23" s="11"/>
      <c r="AA23" s="11"/>
      <c r="AG23" s="11"/>
      <c r="AH23" s="11"/>
      <c r="AN23" s="11"/>
      <c r="AO23" s="11"/>
      <c r="AU23" s="11"/>
      <c r="AV23" s="11"/>
      <c r="BB23" s="11"/>
      <c r="BC23" s="11"/>
      <c r="BI23" s="11"/>
      <c r="BJ23" s="11"/>
      <c r="BP23" s="11"/>
      <c r="BQ23" s="11"/>
    </row>
    <row r="24" spans="2:70" x14ac:dyDescent="0.35">
      <c r="B24" s="2" t="s">
        <v>167</v>
      </c>
      <c r="C24" s="190">
        <f>+Assumptions!$I$96</f>
        <v>0.14679999999999999</v>
      </c>
      <c r="D24" s="190">
        <f>+Assumptions!$J$99</f>
        <v>0.1046</v>
      </c>
      <c r="E24" s="123"/>
      <c r="I24" s="2" t="s">
        <v>167</v>
      </c>
      <c r="J24" s="190">
        <f>+Assumptions!$I$96</f>
        <v>0.14679999999999999</v>
      </c>
      <c r="K24" s="190">
        <f>+Assumptions!$J$99</f>
        <v>0.1046</v>
      </c>
      <c r="L24" s="123"/>
      <c r="P24" s="2" t="s">
        <v>167</v>
      </c>
      <c r="Q24" s="190">
        <f>+Assumptions!$I$96</f>
        <v>0.14679999999999999</v>
      </c>
      <c r="R24" s="190">
        <f>+Assumptions!$J$99</f>
        <v>0.1046</v>
      </c>
      <c r="S24" s="123"/>
      <c r="W24" s="2" t="s">
        <v>167</v>
      </c>
      <c r="X24" s="190">
        <f>+Assumptions!$I$96</f>
        <v>0.14679999999999999</v>
      </c>
      <c r="Y24" s="190">
        <f>+Assumptions!$J$99</f>
        <v>0.1046</v>
      </c>
      <c r="Z24" s="123"/>
      <c r="AD24" s="2" t="s">
        <v>167</v>
      </c>
      <c r="AE24" s="190">
        <f>+Assumptions!$I$96</f>
        <v>0.14679999999999999</v>
      </c>
      <c r="AF24" s="190">
        <f>+Assumptions!$J$99</f>
        <v>0.1046</v>
      </c>
      <c r="AG24" s="123"/>
      <c r="AK24" s="2" t="s">
        <v>167</v>
      </c>
      <c r="AL24" s="190">
        <f>+Assumptions!$I$96</f>
        <v>0.14679999999999999</v>
      </c>
      <c r="AM24" s="190">
        <f>+Assumptions!$J$99</f>
        <v>0.1046</v>
      </c>
      <c r="AN24" s="123"/>
      <c r="AR24" s="2" t="s">
        <v>167</v>
      </c>
      <c r="AS24" s="190">
        <f>+Assumptions!$I$96</f>
        <v>0.14679999999999999</v>
      </c>
      <c r="AT24" s="190">
        <f>+Assumptions!$J$99</f>
        <v>0.1046</v>
      </c>
      <c r="AU24" s="123"/>
      <c r="AY24" s="2" t="s">
        <v>167</v>
      </c>
      <c r="AZ24" s="190">
        <f>+Assumptions!$I$96</f>
        <v>0.14679999999999999</v>
      </c>
      <c r="BA24" s="190">
        <f>+Assumptions!$J$99</f>
        <v>0.1046</v>
      </c>
      <c r="BB24" s="123"/>
      <c r="BF24" s="2" t="s">
        <v>167</v>
      </c>
      <c r="BG24" s="190">
        <f>+Assumptions!$I$96</f>
        <v>0.14679999999999999</v>
      </c>
      <c r="BH24" s="190">
        <f>+Assumptions!$J$99</f>
        <v>0.1046</v>
      </c>
      <c r="BI24" s="123"/>
      <c r="BM24" s="2" t="s">
        <v>167</v>
      </c>
      <c r="BN24" s="190">
        <f>+Assumptions!$I$96</f>
        <v>0.14679999999999999</v>
      </c>
      <c r="BO24" s="190">
        <f>+Assumptions!$J$99</f>
        <v>0.1046</v>
      </c>
      <c r="BP24" s="123"/>
    </row>
    <row r="26" spans="2:70" x14ac:dyDescent="0.35">
      <c r="B26" s="84" t="s">
        <v>223</v>
      </c>
      <c r="C26" s="78"/>
      <c r="D26" s="78"/>
      <c r="E26" s="78"/>
      <c r="F26" s="78"/>
      <c r="G26" s="78"/>
      <c r="I26" s="84" t="s">
        <v>223</v>
      </c>
      <c r="J26" s="78"/>
      <c r="K26" s="78"/>
      <c r="L26" s="78"/>
      <c r="M26" s="78"/>
      <c r="N26" s="78"/>
      <c r="P26" s="84" t="s">
        <v>223</v>
      </c>
      <c r="Q26" s="78"/>
      <c r="R26" s="78"/>
      <c r="S26" s="78"/>
      <c r="T26" s="78"/>
      <c r="U26" s="78"/>
      <c r="W26" s="84" t="s">
        <v>223</v>
      </c>
      <c r="X26" s="78"/>
      <c r="Y26" s="78"/>
      <c r="Z26" s="78"/>
      <c r="AA26" s="78"/>
      <c r="AB26" s="78"/>
      <c r="AD26" s="84" t="s">
        <v>223</v>
      </c>
      <c r="AE26" s="78"/>
      <c r="AF26" s="78"/>
      <c r="AG26" s="78"/>
      <c r="AH26" s="78"/>
      <c r="AI26" s="78"/>
      <c r="AK26" s="84" t="s">
        <v>223</v>
      </c>
      <c r="AL26" s="78"/>
      <c r="AM26" s="78"/>
      <c r="AN26" s="78"/>
      <c r="AO26" s="78"/>
      <c r="AP26" s="78"/>
      <c r="AR26" s="84" t="s">
        <v>223</v>
      </c>
      <c r="AS26" s="78"/>
      <c r="AT26" s="78"/>
      <c r="AU26" s="78"/>
      <c r="AV26" s="78"/>
      <c r="AW26" s="78"/>
      <c r="AY26" s="84" t="s">
        <v>223</v>
      </c>
      <c r="AZ26" s="78"/>
      <c r="BA26" s="78"/>
      <c r="BB26" s="78"/>
      <c r="BC26" s="78"/>
      <c r="BD26" s="78"/>
      <c r="BF26" s="84" t="s">
        <v>223</v>
      </c>
      <c r="BG26" s="78"/>
      <c r="BH26" s="78"/>
      <c r="BI26" s="78"/>
      <c r="BJ26" s="78"/>
      <c r="BK26" s="78"/>
      <c r="BM26" s="84" t="s">
        <v>223</v>
      </c>
      <c r="BN26" s="78"/>
      <c r="BO26" s="78"/>
      <c r="BP26" s="78"/>
      <c r="BQ26" s="78"/>
      <c r="BR26" s="78"/>
    </row>
    <row r="27" spans="2:70" x14ac:dyDescent="0.35">
      <c r="B27" s="64"/>
      <c r="C27" s="362" t="s">
        <v>224</v>
      </c>
      <c r="D27" s="362"/>
      <c r="I27" s="64"/>
      <c r="J27" s="362" t="s">
        <v>224</v>
      </c>
      <c r="K27" s="362"/>
      <c r="P27" s="64"/>
      <c r="Q27" s="362" t="s">
        <v>224</v>
      </c>
      <c r="R27" s="362"/>
      <c r="W27" s="64"/>
      <c r="X27" s="362" t="s">
        <v>224</v>
      </c>
      <c r="Y27" s="362"/>
      <c r="AD27" s="64"/>
      <c r="AE27" s="362" t="s">
        <v>224</v>
      </c>
      <c r="AF27" s="362"/>
      <c r="AK27" s="64"/>
      <c r="AL27" s="362" t="s">
        <v>224</v>
      </c>
      <c r="AM27" s="362"/>
      <c r="AR27" s="64"/>
      <c r="AS27" s="362" t="s">
        <v>224</v>
      </c>
      <c r="AT27" s="362"/>
      <c r="AY27" s="64"/>
      <c r="AZ27" s="362" t="s">
        <v>224</v>
      </c>
      <c r="BA27" s="362"/>
      <c r="BF27" s="64"/>
      <c r="BG27" s="362" t="s">
        <v>224</v>
      </c>
      <c r="BH27" s="362"/>
      <c r="BM27" s="64"/>
      <c r="BN27" s="362" t="s">
        <v>224</v>
      </c>
      <c r="BO27" s="362"/>
    </row>
    <row r="28" spans="2:70" x14ac:dyDescent="0.35">
      <c r="C28" s="312" t="s">
        <v>225</v>
      </c>
      <c r="D28" s="312" t="s">
        <v>226</v>
      </c>
      <c r="E28" s="312" t="s">
        <v>227</v>
      </c>
      <c r="J28" s="312" t="s">
        <v>225</v>
      </c>
      <c r="K28" s="312" t="s">
        <v>226</v>
      </c>
      <c r="L28" s="312" t="s">
        <v>227</v>
      </c>
      <c r="Q28" s="312" t="s">
        <v>225</v>
      </c>
      <c r="R28" s="312" t="s">
        <v>226</v>
      </c>
      <c r="S28" s="312" t="s">
        <v>227</v>
      </c>
      <c r="X28" s="312" t="s">
        <v>225</v>
      </c>
      <c r="Y28" s="312" t="s">
        <v>226</v>
      </c>
      <c r="Z28" s="312" t="s">
        <v>227</v>
      </c>
      <c r="AE28" s="312" t="s">
        <v>225</v>
      </c>
      <c r="AF28" s="312" t="s">
        <v>226</v>
      </c>
      <c r="AG28" s="312" t="s">
        <v>227</v>
      </c>
      <c r="AL28" s="312" t="s">
        <v>225</v>
      </c>
      <c r="AM28" s="312" t="s">
        <v>226</v>
      </c>
      <c r="AN28" s="312" t="s">
        <v>227</v>
      </c>
      <c r="AS28" s="312" t="s">
        <v>225</v>
      </c>
      <c r="AT28" s="312" t="s">
        <v>226</v>
      </c>
      <c r="AU28" s="312" t="s">
        <v>227</v>
      </c>
      <c r="AZ28" s="312" t="s">
        <v>225</v>
      </c>
      <c r="BA28" s="312" t="s">
        <v>226</v>
      </c>
      <c r="BB28" s="312" t="s">
        <v>227</v>
      </c>
      <c r="BG28" s="312" t="s">
        <v>225</v>
      </c>
      <c r="BH28" s="312" t="s">
        <v>226</v>
      </c>
      <c r="BI28" s="312" t="s">
        <v>227</v>
      </c>
      <c r="BN28" s="312" t="s">
        <v>225</v>
      </c>
      <c r="BO28" s="312" t="s">
        <v>226</v>
      </c>
      <c r="BP28" s="312" t="s">
        <v>227</v>
      </c>
    </row>
    <row r="29" spans="2:70" x14ac:dyDescent="0.35">
      <c r="B29" s="83" t="s">
        <v>228</v>
      </c>
      <c r="C29" s="109">
        <f>(C21*5)+(C22*(F14-5))</f>
        <v>0</v>
      </c>
      <c r="D29" s="109">
        <f>(D21*5)+(D22*(F14-5))</f>
        <v>0</v>
      </c>
      <c r="E29" s="110">
        <f>+C29*4+D29*8</f>
        <v>0</v>
      </c>
      <c r="I29" s="83" t="s">
        <v>228</v>
      </c>
      <c r="J29" s="109">
        <f>(J21*5)+(J22*(M14-5))</f>
        <v>0</v>
      </c>
      <c r="K29" s="109">
        <f>(K21*5)+(K22*(M14-5))</f>
        <v>0</v>
      </c>
      <c r="L29" s="110">
        <f>+J29*4+K29*8</f>
        <v>0</v>
      </c>
      <c r="P29" s="83" t="s">
        <v>228</v>
      </c>
      <c r="Q29" s="109">
        <f>(Q21*5)+(Q22*(T14-5))</f>
        <v>0</v>
      </c>
      <c r="R29" s="109">
        <f>(R21*5)+(R22*(T14-5))</f>
        <v>0</v>
      </c>
      <c r="S29" s="110">
        <f>+Q29*4+R29*8</f>
        <v>0</v>
      </c>
      <c r="W29" s="83" t="s">
        <v>228</v>
      </c>
      <c r="X29" s="109">
        <f>(X21*5)+(X22*(AA14-5))</f>
        <v>0</v>
      </c>
      <c r="Y29" s="109">
        <f>(Y21*5)+(Y22*(AA14-5))</f>
        <v>0</v>
      </c>
      <c r="Z29" s="110">
        <f>+X29*4+Y29*8</f>
        <v>0</v>
      </c>
      <c r="AD29" s="83" t="s">
        <v>228</v>
      </c>
      <c r="AE29" s="109">
        <f>(AE21*5)+(AE22*(AH14-5))</f>
        <v>0</v>
      </c>
      <c r="AF29" s="109">
        <f>(AF21*5)+(AF22*(AH14-5))</f>
        <v>0</v>
      </c>
      <c r="AG29" s="110">
        <f>+AE29*4+AF29*8</f>
        <v>0</v>
      </c>
      <c r="AK29" s="83" t="s">
        <v>228</v>
      </c>
      <c r="AL29" s="109">
        <f>(AL21*5)+(AL22*(AO14-5))</f>
        <v>0</v>
      </c>
      <c r="AM29" s="109">
        <f>(AM21*5)+(AM22*(AO14-5))</f>
        <v>0</v>
      </c>
      <c r="AN29" s="110">
        <f>+AL29*4+AM29*8</f>
        <v>0</v>
      </c>
      <c r="AR29" s="83" t="s">
        <v>228</v>
      </c>
      <c r="AS29" s="109">
        <f>(AS21*5)+(AS22*(AV14-5))</f>
        <v>0</v>
      </c>
      <c r="AT29" s="109">
        <f>(AT21*5)+(AT22*(AV14-5))</f>
        <v>0</v>
      </c>
      <c r="AU29" s="110">
        <f>+AS29*4+AT29*8</f>
        <v>0</v>
      </c>
      <c r="AY29" s="83" t="s">
        <v>228</v>
      </c>
      <c r="AZ29" s="109">
        <f>(AZ21*5)+(AZ22*(BC14-5))</f>
        <v>0</v>
      </c>
      <c r="BA29" s="109">
        <f>(BA21*5)+(BA22*(BC14-5))</f>
        <v>0</v>
      </c>
      <c r="BB29" s="110">
        <f>+AZ29*4+BA29*8</f>
        <v>0</v>
      </c>
      <c r="BF29" s="83" t="s">
        <v>228</v>
      </c>
      <c r="BG29" s="109">
        <f>(BG21*5)+(BG22*(BJ14-5))</f>
        <v>0</v>
      </c>
      <c r="BH29" s="109">
        <f>(BH21*5)+(BH22*(BJ14-5))</f>
        <v>0</v>
      </c>
      <c r="BI29" s="110">
        <f>+BG29*4+BH29*8</f>
        <v>0</v>
      </c>
      <c r="BM29" s="83" t="s">
        <v>228</v>
      </c>
      <c r="BN29" s="109">
        <f>(BN21*5)+(BN22*(BQ14-5))</f>
        <v>0</v>
      </c>
      <c r="BO29" s="109">
        <f>(BO21*5)+(BO22*(BQ14-5))</f>
        <v>0</v>
      </c>
      <c r="BP29" s="110">
        <f>+BN29*4+BO29*8</f>
        <v>0</v>
      </c>
    </row>
    <row r="30" spans="2:70" x14ac:dyDescent="0.35">
      <c r="B30" s="9" t="s">
        <v>229</v>
      </c>
      <c r="C30" s="111">
        <f>+C24*F17</f>
        <v>70.72824</v>
      </c>
      <c r="D30" s="111">
        <f>+D24*F17</f>
        <v>50.396279999999997</v>
      </c>
      <c r="E30" s="201">
        <f>+C30*4+D30*8</f>
        <v>686.08320000000003</v>
      </c>
      <c r="I30" s="9" t="s">
        <v>229</v>
      </c>
      <c r="J30" s="111">
        <f>+J24*M17</f>
        <v>113.16518399999998</v>
      </c>
      <c r="K30" s="111">
        <f>+K24*M17</f>
        <v>80.634047999999993</v>
      </c>
      <c r="L30" s="201">
        <f>+J30*4+K30*8</f>
        <v>1097.7331199999999</v>
      </c>
      <c r="P30" s="9" t="s">
        <v>229</v>
      </c>
      <c r="Q30" s="111">
        <f>+Q24*T17</f>
        <v>169.74777599999999</v>
      </c>
      <c r="R30" s="111">
        <f>+R24*T17</f>
        <v>120.951072</v>
      </c>
      <c r="S30" s="201">
        <f>+Q30*4+R30*8</f>
        <v>1646.5996799999998</v>
      </c>
      <c r="W30" s="9" t="s">
        <v>229</v>
      </c>
      <c r="X30" s="111">
        <f>+X24*AA17</f>
        <v>282.91296</v>
      </c>
      <c r="Y30" s="111">
        <f>+Y24*AA17</f>
        <v>201.58511999999999</v>
      </c>
      <c r="Z30" s="201">
        <f>+X30*4+Y30*8</f>
        <v>2744.3328000000001</v>
      </c>
      <c r="AD30" s="9" t="s">
        <v>229</v>
      </c>
      <c r="AE30" s="111">
        <f>+AE24*AH17</f>
        <v>0</v>
      </c>
      <c r="AF30" s="111">
        <f>+AF24*AH17</f>
        <v>0</v>
      </c>
      <c r="AG30" s="201">
        <f>+AE30*4+AF30*8</f>
        <v>0</v>
      </c>
      <c r="AK30" s="9" t="s">
        <v>229</v>
      </c>
      <c r="AL30" s="111">
        <f>+AL24*AO17</f>
        <v>0</v>
      </c>
      <c r="AM30" s="111">
        <f>+AM24*AO17</f>
        <v>0</v>
      </c>
      <c r="AN30" s="201">
        <f>+AL30*4+AM30*8</f>
        <v>0</v>
      </c>
      <c r="AR30" s="9" t="s">
        <v>229</v>
      </c>
      <c r="AS30" s="111">
        <f>+AS24*AV17</f>
        <v>0</v>
      </c>
      <c r="AT30" s="111">
        <f>+AT24*AV17</f>
        <v>0</v>
      </c>
      <c r="AU30" s="201">
        <f>+AS30*4+AT30*8</f>
        <v>0</v>
      </c>
      <c r="AY30" s="9" t="s">
        <v>229</v>
      </c>
      <c r="AZ30" s="111">
        <f>+AZ24*BC17</f>
        <v>0</v>
      </c>
      <c r="BA30" s="111">
        <f>+BA24*BC17</f>
        <v>0</v>
      </c>
      <c r="BB30" s="201">
        <f>+AZ30*4+BA30*8</f>
        <v>0</v>
      </c>
      <c r="BF30" s="9" t="s">
        <v>229</v>
      </c>
      <c r="BG30" s="111">
        <f>+BG24*BJ17</f>
        <v>0</v>
      </c>
      <c r="BH30" s="111">
        <f>+BH24*BJ17</f>
        <v>0</v>
      </c>
      <c r="BI30" s="201">
        <f>+BG30*4+BH30*8</f>
        <v>0</v>
      </c>
      <c r="BM30" s="9" t="s">
        <v>229</v>
      </c>
      <c r="BN30" s="111">
        <f>+BN24*BQ17</f>
        <v>0</v>
      </c>
      <c r="BO30" s="111">
        <f>+BO24*BQ17</f>
        <v>0</v>
      </c>
      <c r="BP30" s="201">
        <f>+BN30*4+BO30*8</f>
        <v>0</v>
      </c>
    </row>
    <row r="31" spans="2:70" x14ac:dyDescent="0.35">
      <c r="B31" s="9" t="s">
        <v>161</v>
      </c>
      <c r="C31" s="113">
        <f>+G21+G22</f>
        <v>28.1</v>
      </c>
      <c r="D31" s="113">
        <f>+G21+G22</f>
        <v>28.1</v>
      </c>
      <c r="E31" s="112">
        <f>+C31*4+D31*8</f>
        <v>337.20000000000005</v>
      </c>
      <c r="F31" s="85"/>
      <c r="I31" s="9" t="s">
        <v>161</v>
      </c>
      <c r="J31" s="113">
        <f>+N21+N22</f>
        <v>28.1</v>
      </c>
      <c r="K31" s="113">
        <f>+N21+N22</f>
        <v>28.1</v>
      </c>
      <c r="L31" s="112">
        <f>+J31*4+K31*8</f>
        <v>337.20000000000005</v>
      </c>
      <c r="M31" s="85"/>
      <c r="P31" s="9" t="s">
        <v>161</v>
      </c>
      <c r="Q31" s="113">
        <f>+U21+U22</f>
        <v>28.1</v>
      </c>
      <c r="R31" s="113">
        <f>+U21+U22</f>
        <v>28.1</v>
      </c>
      <c r="S31" s="112">
        <f>+Q31*4+R31*8</f>
        <v>337.20000000000005</v>
      </c>
      <c r="T31" s="85"/>
      <c r="W31" s="9" t="s">
        <v>161</v>
      </c>
      <c r="X31" s="113">
        <f>+AB21+AB22</f>
        <v>28.1</v>
      </c>
      <c r="Y31" s="113">
        <f>+AB21+AB22</f>
        <v>28.1</v>
      </c>
      <c r="Z31" s="112">
        <f>+X31*4+Y31*8</f>
        <v>337.20000000000005</v>
      </c>
      <c r="AA31" s="85"/>
      <c r="AD31" s="9" t="s">
        <v>161</v>
      </c>
      <c r="AE31" s="113">
        <f>+AI21+AI22</f>
        <v>28.1</v>
      </c>
      <c r="AF31" s="113">
        <f>+AI21+AI22</f>
        <v>28.1</v>
      </c>
      <c r="AG31" s="112">
        <f>+AE31*4+AF31*8</f>
        <v>337.20000000000005</v>
      </c>
      <c r="AH31" s="85"/>
      <c r="AK31" s="9" t="s">
        <v>161</v>
      </c>
      <c r="AL31" s="113">
        <f>+AP21+AP22</f>
        <v>28.1</v>
      </c>
      <c r="AM31" s="113">
        <f>+AP21+AP22</f>
        <v>28.1</v>
      </c>
      <c r="AN31" s="112">
        <f>+AL31*4+AM31*8</f>
        <v>337.20000000000005</v>
      </c>
      <c r="AO31" s="85"/>
      <c r="AR31" s="9" t="s">
        <v>161</v>
      </c>
      <c r="AS31" s="113">
        <f>+AW21+AW22</f>
        <v>28.1</v>
      </c>
      <c r="AT31" s="113">
        <f>+AW21+AW22</f>
        <v>28.1</v>
      </c>
      <c r="AU31" s="112">
        <f>+AS31*4+AT31*8</f>
        <v>337.20000000000005</v>
      </c>
      <c r="AV31" s="85"/>
      <c r="AY31" s="9" t="s">
        <v>161</v>
      </c>
      <c r="AZ31" s="113">
        <f>+BD21+BD22</f>
        <v>28.1</v>
      </c>
      <c r="BA31" s="113">
        <f>+BD21+BD22</f>
        <v>28.1</v>
      </c>
      <c r="BB31" s="112">
        <f>+AZ31*4+BA31*8</f>
        <v>337.20000000000005</v>
      </c>
      <c r="BC31" s="85"/>
      <c r="BF31" s="9" t="s">
        <v>161</v>
      </c>
      <c r="BG31" s="113">
        <f>+BK21+BK22</f>
        <v>28.1</v>
      </c>
      <c r="BH31" s="113">
        <f>+BK21+BK22</f>
        <v>28.1</v>
      </c>
      <c r="BI31" s="112">
        <f>+BG31*4+BH31*8</f>
        <v>337.20000000000005</v>
      </c>
      <c r="BJ31" s="85"/>
      <c r="BM31" s="9" t="s">
        <v>161</v>
      </c>
      <c r="BN31" s="113">
        <f>+BR21+BR22</f>
        <v>28.1</v>
      </c>
      <c r="BO31" s="113">
        <f>+BR21+BR22</f>
        <v>28.1</v>
      </c>
      <c r="BP31" s="112">
        <f>+BN31*4+BO31*8</f>
        <v>337.20000000000005</v>
      </c>
      <c r="BQ31" s="85"/>
    </row>
    <row r="32" spans="2:70" x14ac:dyDescent="0.35">
      <c r="B32" s="86" t="s">
        <v>231</v>
      </c>
      <c r="C32" s="111">
        <f>SUM(C29:C31)</f>
        <v>98.828239999999994</v>
      </c>
      <c r="D32" s="111">
        <f>SUM(D29:D31)</f>
        <v>78.496279999999999</v>
      </c>
      <c r="E32" s="111">
        <f>SUM(E29:E31)</f>
        <v>1023.2832000000001</v>
      </c>
      <c r="I32" s="86" t="s">
        <v>231</v>
      </c>
      <c r="J32" s="111">
        <f>SUM(J29:J31)</f>
        <v>141.26518399999998</v>
      </c>
      <c r="K32" s="111">
        <f>SUM(K29:K31)</f>
        <v>108.734048</v>
      </c>
      <c r="L32" s="111">
        <f>SUM(L29:L31)</f>
        <v>1434.9331199999999</v>
      </c>
      <c r="P32" s="86" t="s">
        <v>231</v>
      </c>
      <c r="Q32" s="111">
        <f>SUM(Q29:Q31)</f>
        <v>197.84777599999998</v>
      </c>
      <c r="R32" s="111">
        <f>SUM(R29:R31)</f>
        <v>149.051072</v>
      </c>
      <c r="S32" s="111">
        <f>SUM(S29:S31)</f>
        <v>1983.7996799999999</v>
      </c>
      <c r="W32" s="86" t="s">
        <v>231</v>
      </c>
      <c r="X32" s="111">
        <f>SUM(X29:X31)</f>
        <v>311.01296000000002</v>
      </c>
      <c r="Y32" s="111">
        <f>SUM(Y29:Y31)</f>
        <v>229.68511999999998</v>
      </c>
      <c r="Z32" s="111">
        <f>SUM(Z29:Z31)</f>
        <v>3081.5328</v>
      </c>
      <c r="AD32" s="86" t="s">
        <v>231</v>
      </c>
      <c r="AE32" s="111">
        <f>SUM(AE29:AE31)</f>
        <v>28.1</v>
      </c>
      <c r="AF32" s="111">
        <f>SUM(AF29:AF31)</f>
        <v>28.1</v>
      </c>
      <c r="AG32" s="111">
        <f>SUM(AG29:AG31)</f>
        <v>337.20000000000005</v>
      </c>
      <c r="AK32" s="86" t="s">
        <v>231</v>
      </c>
      <c r="AL32" s="111">
        <f>SUM(AL29:AL31)</f>
        <v>28.1</v>
      </c>
      <c r="AM32" s="111">
        <f>SUM(AM29:AM31)</f>
        <v>28.1</v>
      </c>
      <c r="AN32" s="111">
        <f>SUM(AN29:AN31)</f>
        <v>337.20000000000005</v>
      </c>
      <c r="AR32" s="86" t="s">
        <v>231</v>
      </c>
      <c r="AS32" s="111">
        <f>SUM(AS29:AS31)</f>
        <v>28.1</v>
      </c>
      <c r="AT32" s="111">
        <f>SUM(AT29:AT31)</f>
        <v>28.1</v>
      </c>
      <c r="AU32" s="111">
        <f>SUM(AU29:AU31)</f>
        <v>337.20000000000005</v>
      </c>
      <c r="AY32" s="86" t="s">
        <v>231</v>
      </c>
      <c r="AZ32" s="111">
        <f>SUM(AZ29:AZ31)</f>
        <v>28.1</v>
      </c>
      <c r="BA32" s="111">
        <f>SUM(BA29:BA31)</f>
        <v>28.1</v>
      </c>
      <c r="BB32" s="111">
        <f>SUM(BB29:BB31)</f>
        <v>337.20000000000005</v>
      </c>
      <c r="BF32" s="86" t="s">
        <v>231</v>
      </c>
      <c r="BG32" s="111">
        <f>SUM(BG29:BG31)</f>
        <v>28.1</v>
      </c>
      <c r="BH32" s="111">
        <f>SUM(BH29:BH31)</f>
        <v>28.1</v>
      </c>
      <c r="BI32" s="111">
        <f>SUM(BI29:BI31)</f>
        <v>337.20000000000005</v>
      </c>
      <c r="BM32" s="86" t="s">
        <v>231</v>
      </c>
      <c r="BN32" s="111">
        <f>SUM(BN29:BN31)</f>
        <v>28.1</v>
      </c>
      <c r="BO32" s="111">
        <f>SUM(BO29:BO31)</f>
        <v>28.1</v>
      </c>
      <c r="BP32" s="111">
        <f>SUM(BP29:BP31)</f>
        <v>337.20000000000005</v>
      </c>
    </row>
    <row r="33" spans="2:70" x14ac:dyDescent="0.35">
      <c r="C33" s="111"/>
      <c r="D33" s="111"/>
      <c r="E33" s="111"/>
      <c r="J33" s="111"/>
      <c r="K33" s="111"/>
      <c r="L33" s="111"/>
      <c r="Q33" s="111"/>
      <c r="R33" s="111"/>
      <c r="S33" s="111"/>
      <c r="X33" s="111"/>
      <c r="Y33" s="111"/>
      <c r="Z33" s="111"/>
      <c r="AE33" s="111"/>
      <c r="AF33" s="111"/>
      <c r="AG33" s="111"/>
      <c r="AL33" s="111"/>
      <c r="AM33" s="111"/>
      <c r="AN33" s="111"/>
      <c r="AS33" s="111"/>
      <c r="AT33" s="111"/>
      <c r="AU33" s="111"/>
      <c r="AZ33" s="111"/>
      <c r="BA33" s="111"/>
      <c r="BB33" s="111"/>
      <c r="BG33" s="111"/>
      <c r="BH33" s="111"/>
      <c r="BI33" s="111"/>
      <c r="BN33" s="111"/>
      <c r="BO33" s="111"/>
      <c r="BP33" s="111"/>
    </row>
    <row r="34" spans="2:70" x14ac:dyDescent="0.35">
      <c r="C34" s="362" t="s">
        <v>224</v>
      </c>
      <c r="D34" s="362"/>
      <c r="E34" s="98"/>
      <c r="G34" s="98"/>
      <c r="J34" s="362" t="s">
        <v>224</v>
      </c>
      <c r="K34" s="362"/>
      <c r="L34" s="98"/>
      <c r="N34" s="98"/>
      <c r="Q34" s="362" t="s">
        <v>224</v>
      </c>
      <c r="R34" s="362"/>
      <c r="S34" s="98"/>
      <c r="U34" s="98"/>
      <c r="X34" s="362" t="s">
        <v>224</v>
      </c>
      <c r="Y34" s="362"/>
      <c r="Z34" s="98"/>
      <c r="AB34" s="98"/>
      <c r="AE34" s="362" t="s">
        <v>224</v>
      </c>
      <c r="AF34" s="362"/>
      <c r="AG34" s="98"/>
      <c r="AI34" s="98"/>
      <c r="AL34" s="362" t="s">
        <v>224</v>
      </c>
      <c r="AM34" s="362"/>
      <c r="AN34" s="98"/>
      <c r="AP34" s="98"/>
      <c r="AS34" s="362" t="s">
        <v>224</v>
      </c>
      <c r="AT34" s="362"/>
      <c r="AU34" s="98"/>
      <c r="AW34" s="98"/>
      <c r="AZ34" s="362" t="s">
        <v>224</v>
      </c>
      <c r="BA34" s="362"/>
      <c r="BB34" s="98"/>
      <c r="BD34" s="98"/>
      <c r="BG34" s="362" t="s">
        <v>224</v>
      </c>
      <c r="BH34" s="362"/>
      <c r="BI34" s="98"/>
      <c r="BK34" s="98"/>
      <c r="BN34" s="362" t="s">
        <v>224</v>
      </c>
      <c r="BO34" s="362"/>
      <c r="BP34" s="98"/>
      <c r="BR34" s="98"/>
    </row>
    <row r="35" spans="2:70" x14ac:dyDescent="0.35">
      <c r="B35" s="88" t="s">
        <v>232</v>
      </c>
      <c r="C35" s="312" t="s">
        <v>225</v>
      </c>
      <c r="D35" s="312" t="s">
        <v>226</v>
      </c>
      <c r="E35" s="312" t="s">
        <v>227</v>
      </c>
      <c r="I35" s="88" t="s">
        <v>232</v>
      </c>
      <c r="J35" s="312" t="s">
        <v>225</v>
      </c>
      <c r="K35" s="312" t="s">
        <v>226</v>
      </c>
      <c r="L35" s="312" t="s">
        <v>227</v>
      </c>
      <c r="P35" s="88" t="s">
        <v>232</v>
      </c>
      <c r="Q35" s="312" t="s">
        <v>225</v>
      </c>
      <c r="R35" s="312" t="s">
        <v>226</v>
      </c>
      <c r="S35" s="312" t="s">
        <v>227</v>
      </c>
      <c r="W35" s="88" t="s">
        <v>232</v>
      </c>
      <c r="X35" s="312" t="s">
        <v>225</v>
      </c>
      <c r="Y35" s="312" t="s">
        <v>226</v>
      </c>
      <c r="Z35" s="312" t="s">
        <v>227</v>
      </c>
      <c r="AD35" s="88" t="s">
        <v>232</v>
      </c>
      <c r="AE35" s="312" t="s">
        <v>225</v>
      </c>
      <c r="AF35" s="312" t="s">
        <v>226</v>
      </c>
      <c r="AG35" s="312" t="s">
        <v>227</v>
      </c>
      <c r="AK35" s="88" t="s">
        <v>232</v>
      </c>
      <c r="AL35" s="312" t="s">
        <v>225</v>
      </c>
      <c r="AM35" s="312" t="s">
        <v>226</v>
      </c>
      <c r="AN35" s="312" t="s">
        <v>227</v>
      </c>
      <c r="AR35" s="88" t="s">
        <v>232</v>
      </c>
      <c r="AS35" s="312" t="s">
        <v>225</v>
      </c>
      <c r="AT35" s="312" t="s">
        <v>226</v>
      </c>
      <c r="AU35" s="312" t="s">
        <v>227</v>
      </c>
      <c r="AY35" s="88" t="s">
        <v>232</v>
      </c>
      <c r="AZ35" s="312" t="s">
        <v>225</v>
      </c>
      <c r="BA35" s="312" t="s">
        <v>226</v>
      </c>
      <c r="BB35" s="312" t="s">
        <v>227</v>
      </c>
      <c r="BF35" s="88" t="s">
        <v>232</v>
      </c>
      <c r="BG35" s="312" t="s">
        <v>225</v>
      </c>
      <c r="BH35" s="312" t="s">
        <v>226</v>
      </c>
      <c r="BI35" s="312" t="s">
        <v>227</v>
      </c>
      <c r="BM35" s="88" t="s">
        <v>232</v>
      </c>
      <c r="BN35" s="312" t="s">
        <v>225</v>
      </c>
      <c r="BO35" s="312" t="s">
        <v>226</v>
      </c>
      <c r="BP35" s="312" t="s">
        <v>227</v>
      </c>
    </row>
    <row r="36" spans="2:70" x14ac:dyDescent="0.35">
      <c r="B36" t="s">
        <v>157</v>
      </c>
      <c r="C36" s="114">
        <f>Assumptions!$C$89</f>
        <v>1.28</v>
      </c>
      <c r="D36" s="114">
        <f>Assumptions!$C$89</f>
        <v>1.28</v>
      </c>
      <c r="E36" s="115">
        <f t="shared" ref="E36:E45" si="0">(C36*4)+(D36*8)</f>
        <v>15.36</v>
      </c>
      <c r="F36" s="85"/>
      <c r="G36" s="98"/>
      <c r="I36" t="s">
        <v>157</v>
      </c>
      <c r="J36" s="114">
        <f>Assumptions!$C$89</f>
        <v>1.28</v>
      </c>
      <c r="K36" s="114">
        <f>Assumptions!$C$89</f>
        <v>1.28</v>
      </c>
      <c r="L36" s="115">
        <f t="shared" ref="L36:L45" si="1">(J36*4)+(K36*8)</f>
        <v>15.36</v>
      </c>
      <c r="M36" s="85"/>
      <c r="N36" s="98"/>
      <c r="P36" t="s">
        <v>157</v>
      </c>
      <c r="Q36" s="114">
        <f>Assumptions!$C$89</f>
        <v>1.28</v>
      </c>
      <c r="R36" s="114">
        <f>Assumptions!$C$89</f>
        <v>1.28</v>
      </c>
      <c r="S36" s="115">
        <f t="shared" ref="S36:S45" si="2">(Q36*4)+(R36*8)</f>
        <v>15.36</v>
      </c>
      <c r="T36" s="85"/>
      <c r="U36" s="98"/>
      <c r="W36" t="s">
        <v>157</v>
      </c>
      <c r="X36" s="114">
        <f>Assumptions!$C$89</f>
        <v>1.28</v>
      </c>
      <c r="Y36" s="114">
        <f>Assumptions!$C$89</f>
        <v>1.28</v>
      </c>
      <c r="Z36" s="115">
        <f t="shared" ref="Z36:Z45" si="3">(X36*4)+(Y36*8)</f>
        <v>15.36</v>
      </c>
      <c r="AA36" s="85"/>
      <c r="AB36" s="98"/>
      <c r="AD36" t="s">
        <v>157</v>
      </c>
      <c r="AE36" s="114">
        <f>Assumptions!$C$89</f>
        <v>1.28</v>
      </c>
      <c r="AF36" s="114">
        <f>Assumptions!$C$89</f>
        <v>1.28</v>
      </c>
      <c r="AG36" s="115">
        <f t="shared" ref="AG36:AG45" si="4">(AE36*4)+(AF36*8)</f>
        <v>15.36</v>
      </c>
      <c r="AH36" s="85"/>
      <c r="AI36" s="98"/>
      <c r="AK36" t="s">
        <v>157</v>
      </c>
      <c r="AL36" s="114">
        <f>Assumptions!$C$89</f>
        <v>1.28</v>
      </c>
      <c r="AM36" s="114">
        <f>Assumptions!$C$89</f>
        <v>1.28</v>
      </c>
      <c r="AN36" s="115">
        <f t="shared" ref="AN36:AN45" si="5">(AL36*4)+(AM36*8)</f>
        <v>15.36</v>
      </c>
      <c r="AO36" s="85"/>
      <c r="AP36" s="98"/>
      <c r="AR36" t="s">
        <v>157</v>
      </c>
      <c r="AS36" s="114">
        <f>Assumptions!$C$89</f>
        <v>1.28</v>
      </c>
      <c r="AT36" s="114">
        <f>Assumptions!$C$89</f>
        <v>1.28</v>
      </c>
      <c r="AU36" s="115">
        <f t="shared" ref="AU36:AU45" si="6">(AS36*4)+(AT36*8)</f>
        <v>15.36</v>
      </c>
      <c r="AV36" s="85"/>
      <c r="AW36" s="98"/>
      <c r="AY36" t="s">
        <v>157</v>
      </c>
      <c r="AZ36" s="114">
        <f>Assumptions!$C$89</f>
        <v>1.28</v>
      </c>
      <c r="BA36" s="114">
        <f>Assumptions!$C$89</f>
        <v>1.28</v>
      </c>
      <c r="BB36" s="115">
        <f t="shared" ref="BB36:BB45" si="7">(AZ36*4)+(BA36*8)</f>
        <v>15.36</v>
      </c>
      <c r="BC36" s="85"/>
      <c r="BD36" s="98"/>
      <c r="BF36" t="s">
        <v>157</v>
      </c>
      <c r="BG36" s="114">
        <f>Assumptions!$C$89</f>
        <v>1.28</v>
      </c>
      <c r="BH36" s="114">
        <f>Assumptions!$C$89</f>
        <v>1.28</v>
      </c>
      <c r="BI36" s="115">
        <f t="shared" ref="BI36:BI45" si="8">(BG36*4)+(BH36*8)</f>
        <v>15.36</v>
      </c>
      <c r="BJ36" s="85"/>
      <c r="BK36" s="98"/>
      <c r="BM36" t="s">
        <v>157</v>
      </c>
      <c r="BN36" s="114">
        <f>Assumptions!$C$89</f>
        <v>1.28</v>
      </c>
      <c r="BO36" s="114">
        <f>Assumptions!$C$89</f>
        <v>1.28</v>
      </c>
      <c r="BP36" s="115">
        <f t="shared" ref="BP36:BP45" si="9">(BN36*4)+(BO36*8)</f>
        <v>15.36</v>
      </c>
      <c r="BQ36" s="85"/>
      <c r="BR36" s="98"/>
    </row>
    <row r="37" spans="2:70" x14ac:dyDescent="0.35">
      <c r="B37" t="s">
        <v>169</v>
      </c>
      <c r="C37" s="114">
        <f>F$17*Assumptions!$C99</f>
        <v>7.3378140000000007</v>
      </c>
      <c r="D37" s="114">
        <f>F$17*Assumptions!$C99</f>
        <v>7.3378140000000007</v>
      </c>
      <c r="E37" s="115">
        <f t="shared" si="0"/>
        <v>88.053768000000005</v>
      </c>
      <c r="F37" s="85"/>
      <c r="I37" t="s">
        <v>169</v>
      </c>
      <c r="J37" s="114">
        <f>M$17*Assumptions!$C99</f>
        <v>11.7405024</v>
      </c>
      <c r="K37" s="114">
        <f>M$17*Assumptions!$C99</f>
        <v>11.7405024</v>
      </c>
      <c r="L37" s="115">
        <f t="shared" si="1"/>
        <v>140.88602880000002</v>
      </c>
      <c r="M37" s="85"/>
      <c r="P37" t="s">
        <v>169</v>
      </c>
      <c r="Q37" s="114">
        <f>T$17*Assumptions!$C99</f>
        <v>17.610753599999999</v>
      </c>
      <c r="R37" s="114">
        <f>T$17*Assumptions!$C99</f>
        <v>17.610753599999999</v>
      </c>
      <c r="S37" s="115">
        <f t="shared" si="2"/>
        <v>211.3290432</v>
      </c>
      <c r="T37" s="85"/>
      <c r="W37" t="s">
        <v>169</v>
      </c>
      <c r="X37" s="114">
        <f>AA$17*Assumptions!$C99</f>
        <v>29.351256000000003</v>
      </c>
      <c r="Y37" s="114">
        <f>AA$17*Assumptions!$C99</f>
        <v>29.351256000000003</v>
      </c>
      <c r="Z37" s="115">
        <f t="shared" si="3"/>
        <v>352.21507200000002</v>
      </c>
      <c r="AA37" s="85"/>
      <c r="AD37" t="s">
        <v>169</v>
      </c>
      <c r="AE37" s="114">
        <f>AH$17*Assumptions!$C99</f>
        <v>0</v>
      </c>
      <c r="AF37" s="114">
        <f>AH$17*Assumptions!$C99</f>
        <v>0</v>
      </c>
      <c r="AG37" s="115">
        <f t="shared" si="4"/>
        <v>0</v>
      </c>
      <c r="AH37" s="85"/>
      <c r="AK37" t="s">
        <v>169</v>
      </c>
      <c r="AL37" s="114">
        <f>AO$17*Assumptions!$C99</f>
        <v>0</v>
      </c>
      <c r="AM37" s="114">
        <f>AO$17*Assumptions!$C99</f>
        <v>0</v>
      </c>
      <c r="AN37" s="115">
        <f t="shared" si="5"/>
        <v>0</v>
      </c>
      <c r="AO37" s="85"/>
      <c r="AR37" t="s">
        <v>169</v>
      </c>
      <c r="AS37" s="114">
        <f>AV$17*Assumptions!$C99</f>
        <v>0</v>
      </c>
      <c r="AT37" s="114">
        <f>AV$17*Assumptions!$C99</f>
        <v>0</v>
      </c>
      <c r="AU37" s="115">
        <f t="shared" si="6"/>
        <v>0</v>
      </c>
      <c r="AV37" s="85"/>
      <c r="AY37" t="s">
        <v>169</v>
      </c>
      <c r="AZ37" s="114">
        <f>BC$17*Assumptions!$C99</f>
        <v>0</v>
      </c>
      <c r="BA37" s="114">
        <f>BC$17*Assumptions!$C99</f>
        <v>0</v>
      </c>
      <c r="BB37" s="115">
        <f t="shared" si="7"/>
        <v>0</v>
      </c>
      <c r="BC37" s="85"/>
      <c r="BF37" t="s">
        <v>169</v>
      </c>
      <c r="BG37" s="114">
        <f>BJ$17*Assumptions!$C99</f>
        <v>0</v>
      </c>
      <c r="BH37" s="114">
        <f>BJ$17*Assumptions!$C99</f>
        <v>0</v>
      </c>
      <c r="BI37" s="115">
        <f t="shared" si="8"/>
        <v>0</v>
      </c>
      <c r="BJ37" s="85"/>
      <c r="BM37" t="s">
        <v>169</v>
      </c>
      <c r="BN37" s="114">
        <f>BQ$17*Assumptions!$C99</f>
        <v>0</v>
      </c>
      <c r="BO37" s="114">
        <f>BQ$17*Assumptions!$C99</f>
        <v>0</v>
      </c>
      <c r="BP37" s="115">
        <f t="shared" si="9"/>
        <v>0</v>
      </c>
      <c r="BQ37" s="85"/>
    </row>
    <row r="38" spans="2:70" x14ac:dyDescent="0.35">
      <c r="B38" t="s">
        <v>171</v>
      </c>
      <c r="C38" s="114">
        <f>F$17*Assumptions!$C100</f>
        <v>0.47650020000000004</v>
      </c>
      <c r="D38" s="114">
        <f>F$17*Assumptions!$C100</f>
        <v>0.47650020000000004</v>
      </c>
      <c r="E38" s="115">
        <f t="shared" si="0"/>
        <v>5.7180024000000005</v>
      </c>
      <c r="F38" s="85"/>
      <c r="I38" t="s">
        <v>171</v>
      </c>
      <c r="J38" s="114">
        <f>M$17*Assumptions!$C100</f>
        <v>0.76240032000000002</v>
      </c>
      <c r="K38" s="114">
        <f>M$17*Assumptions!$C100</f>
        <v>0.76240032000000002</v>
      </c>
      <c r="L38" s="115">
        <f t="shared" si="1"/>
        <v>9.1488038399999994</v>
      </c>
      <c r="M38" s="85"/>
      <c r="P38" t="s">
        <v>171</v>
      </c>
      <c r="Q38" s="114">
        <f>T$17*Assumptions!$C100</f>
        <v>1.1436004799999999</v>
      </c>
      <c r="R38" s="114">
        <f>T$17*Assumptions!$C100</f>
        <v>1.1436004799999999</v>
      </c>
      <c r="S38" s="115">
        <f t="shared" si="2"/>
        <v>13.723205759999999</v>
      </c>
      <c r="T38" s="85"/>
      <c r="W38" t="s">
        <v>171</v>
      </c>
      <c r="X38" s="114">
        <f>AA$17*Assumptions!$C100</f>
        <v>1.9060008000000002</v>
      </c>
      <c r="Y38" s="114">
        <f>AA$17*Assumptions!$C100</f>
        <v>1.9060008000000002</v>
      </c>
      <c r="Z38" s="115">
        <f t="shared" si="3"/>
        <v>22.872009600000002</v>
      </c>
      <c r="AA38" s="85"/>
      <c r="AD38" t="s">
        <v>171</v>
      </c>
      <c r="AE38" s="114">
        <f>AH$17*Assumptions!$C100</f>
        <v>0</v>
      </c>
      <c r="AF38" s="114">
        <f>AH$17*Assumptions!$C100</f>
        <v>0</v>
      </c>
      <c r="AG38" s="115">
        <f t="shared" si="4"/>
        <v>0</v>
      </c>
      <c r="AH38" s="85"/>
      <c r="AK38" t="s">
        <v>171</v>
      </c>
      <c r="AL38" s="114">
        <f>AO$17*Assumptions!$C100</f>
        <v>0</v>
      </c>
      <c r="AM38" s="114">
        <f>AO$17*Assumptions!$C100</f>
        <v>0</v>
      </c>
      <c r="AN38" s="115">
        <f t="shared" si="5"/>
        <v>0</v>
      </c>
      <c r="AO38" s="85"/>
      <c r="AR38" t="s">
        <v>171</v>
      </c>
      <c r="AS38" s="114">
        <f>AV$17*Assumptions!$C100</f>
        <v>0</v>
      </c>
      <c r="AT38" s="114">
        <f>AV$17*Assumptions!$C100</f>
        <v>0</v>
      </c>
      <c r="AU38" s="115">
        <f t="shared" si="6"/>
        <v>0</v>
      </c>
      <c r="AV38" s="85"/>
      <c r="AY38" t="s">
        <v>171</v>
      </c>
      <c r="AZ38" s="114">
        <f>BC$17*Assumptions!$C100</f>
        <v>0</v>
      </c>
      <c r="BA38" s="114">
        <f>BC$17*Assumptions!$C100</f>
        <v>0</v>
      </c>
      <c r="BB38" s="115">
        <f t="shared" si="7"/>
        <v>0</v>
      </c>
      <c r="BC38" s="85"/>
      <c r="BF38" t="s">
        <v>171</v>
      </c>
      <c r="BG38" s="114">
        <f>BJ$17*Assumptions!$C100</f>
        <v>0</v>
      </c>
      <c r="BH38" s="114">
        <f>BJ$17*Assumptions!$C100</f>
        <v>0</v>
      </c>
      <c r="BI38" s="115">
        <f t="shared" si="8"/>
        <v>0</v>
      </c>
      <c r="BJ38" s="85"/>
      <c r="BM38" t="s">
        <v>171</v>
      </c>
      <c r="BN38" s="114">
        <f>BQ$17*Assumptions!$C100</f>
        <v>0</v>
      </c>
      <c r="BO38" s="114">
        <f>BQ$17*Assumptions!$C100</f>
        <v>0</v>
      </c>
      <c r="BP38" s="115">
        <f t="shared" si="9"/>
        <v>0</v>
      </c>
      <c r="BQ38" s="85"/>
    </row>
    <row r="39" spans="2:70" x14ac:dyDescent="0.35">
      <c r="B39" t="s">
        <v>172</v>
      </c>
      <c r="C39" s="114">
        <f>F$17*Assumptions!$C101</f>
        <v>3.2465289999999998</v>
      </c>
      <c r="D39" s="114">
        <f>F$17*Assumptions!$C101</f>
        <v>3.2465289999999998</v>
      </c>
      <c r="E39" s="115">
        <f t="shared" si="0"/>
        <v>38.958348000000001</v>
      </c>
      <c r="F39" s="85"/>
      <c r="I39" t="s">
        <v>172</v>
      </c>
      <c r="J39" s="114">
        <f>M$17*Assumptions!$C101</f>
        <v>5.1944463999999995</v>
      </c>
      <c r="K39" s="114">
        <f>M$17*Assumptions!$C101</f>
        <v>5.1944463999999995</v>
      </c>
      <c r="L39" s="115">
        <f t="shared" si="1"/>
        <v>62.33335679999999</v>
      </c>
      <c r="M39" s="85"/>
      <c r="P39" t="s">
        <v>172</v>
      </c>
      <c r="Q39" s="114">
        <f>T$17*Assumptions!$C101</f>
        <v>7.7916695999999988</v>
      </c>
      <c r="R39" s="114">
        <f>T$17*Assumptions!$C101</f>
        <v>7.7916695999999988</v>
      </c>
      <c r="S39" s="115">
        <f t="shared" si="2"/>
        <v>93.500035199999985</v>
      </c>
      <c r="T39" s="85"/>
      <c r="W39" t="s">
        <v>172</v>
      </c>
      <c r="X39" s="114">
        <f>AA$17*Assumptions!$C101</f>
        <v>12.986115999999999</v>
      </c>
      <c r="Y39" s="114">
        <f>AA$17*Assumptions!$C101</f>
        <v>12.986115999999999</v>
      </c>
      <c r="Z39" s="115">
        <f t="shared" si="3"/>
        <v>155.833392</v>
      </c>
      <c r="AA39" s="85"/>
      <c r="AD39" t="s">
        <v>172</v>
      </c>
      <c r="AE39" s="114">
        <f>AH$17*Assumptions!$C101</f>
        <v>0</v>
      </c>
      <c r="AF39" s="114">
        <f>AH$17*Assumptions!$C101</f>
        <v>0</v>
      </c>
      <c r="AG39" s="115">
        <f t="shared" si="4"/>
        <v>0</v>
      </c>
      <c r="AH39" s="85"/>
      <c r="AK39" t="s">
        <v>172</v>
      </c>
      <c r="AL39" s="114">
        <f>AO$17*Assumptions!$C101</f>
        <v>0</v>
      </c>
      <c r="AM39" s="114">
        <f>AO$17*Assumptions!$C101</f>
        <v>0</v>
      </c>
      <c r="AN39" s="115">
        <f t="shared" si="5"/>
        <v>0</v>
      </c>
      <c r="AO39" s="85"/>
      <c r="AR39" t="s">
        <v>172</v>
      </c>
      <c r="AS39" s="114">
        <f>AV$17*Assumptions!$C101</f>
        <v>0</v>
      </c>
      <c r="AT39" s="114">
        <f>AV$17*Assumptions!$C101</f>
        <v>0</v>
      </c>
      <c r="AU39" s="115">
        <f t="shared" si="6"/>
        <v>0</v>
      </c>
      <c r="AV39" s="85"/>
      <c r="AY39" t="s">
        <v>172</v>
      </c>
      <c r="AZ39" s="114">
        <f>BC$17*Assumptions!$C101</f>
        <v>0</v>
      </c>
      <c r="BA39" s="114">
        <f>BC$17*Assumptions!$C101</f>
        <v>0</v>
      </c>
      <c r="BB39" s="115">
        <f t="shared" si="7"/>
        <v>0</v>
      </c>
      <c r="BC39" s="85"/>
      <c r="BF39" t="s">
        <v>172</v>
      </c>
      <c r="BG39" s="114">
        <f>BJ$17*Assumptions!$C101</f>
        <v>0</v>
      </c>
      <c r="BH39" s="114">
        <f>BJ$17*Assumptions!$C101</f>
        <v>0</v>
      </c>
      <c r="BI39" s="115">
        <f t="shared" si="8"/>
        <v>0</v>
      </c>
      <c r="BJ39" s="85"/>
      <c r="BM39" t="s">
        <v>172</v>
      </c>
      <c r="BN39" s="114">
        <f>BQ$17*Assumptions!$C101</f>
        <v>0</v>
      </c>
      <c r="BO39" s="114">
        <f>BQ$17*Assumptions!$C101</f>
        <v>0</v>
      </c>
      <c r="BP39" s="115">
        <f t="shared" si="9"/>
        <v>0</v>
      </c>
      <c r="BQ39" s="85"/>
    </row>
    <row r="40" spans="2:70" x14ac:dyDescent="0.35">
      <c r="B40" t="s">
        <v>175</v>
      </c>
      <c r="C40" s="114">
        <f>F$17*Assumptions!$C102</f>
        <v>0.74602715000000008</v>
      </c>
      <c r="D40" s="114">
        <f>F$17*Assumptions!$C102</f>
        <v>0.74602715000000008</v>
      </c>
      <c r="E40" s="115">
        <f t="shared" si="0"/>
        <v>8.9523258000000006</v>
      </c>
      <c r="I40" t="s">
        <v>175</v>
      </c>
      <c r="J40" s="114">
        <f>M$17*Assumptions!$C102</f>
        <v>1.19364344</v>
      </c>
      <c r="K40" s="114">
        <f>M$17*Assumptions!$C102</f>
        <v>1.19364344</v>
      </c>
      <c r="L40" s="115">
        <f t="shared" si="1"/>
        <v>14.323721280000001</v>
      </c>
      <c r="P40" t="s">
        <v>175</v>
      </c>
      <c r="Q40" s="114">
        <f>T$17*Assumptions!$C102</f>
        <v>1.7904651599999999</v>
      </c>
      <c r="R40" s="114">
        <f>T$17*Assumptions!$C102</f>
        <v>1.7904651599999999</v>
      </c>
      <c r="S40" s="115">
        <f t="shared" si="2"/>
        <v>21.485581919999998</v>
      </c>
      <c r="W40" t="s">
        <v>175</v>
      </c>
      <c r="X40" s="114">
        <f>AA$17*Assumptions!$C102</f>
        <v>2.9841086000000003</v>
      </c>
      <c r="Y40" s="114">
        <f>AA$17*Assumptions!$C102</f>
        <v>2.9841086000000003</v>
      </c>
      <c r="Z40" s="115">
        <f t="shared" si="3"/>
        <v>35.809303200000002</v>
      </c>
      <c r="AD40" t="s">
        <v>175</v>
      </c>
      <c r="AE40" s="114">
        <f>AH$17*Assumptions!$C102</f>
        <v>0</v>
      </c>
      <c r="AF40" s="114">
        <f>AH$17*Assumptions!$C102</f>
        <v>0</v>
      </c>
      <c r="AG40" s="115">
        <f t="shared" si="4"/>
        <v>0</v>
      </c>
      <c r="AK40" t="s">
        <v>175</v>
      </c>
      <c r="AL40" s="114">
        <f>AO$17*Assumptions!$C102</f>
        <v>0</v>
      </c>
      <c r="AM40" s="114">
        <f>AO$17*Assumptions!$C102</f>
        <v>0</v>
      </c>
      <c r="AN40" s="115">
        <f t="shared" si="5"/>
        <v>0</v>
      </c>
      <c r="AR40" t="s">
        <v>175</v>
      </c>
      <c r="AS40" s="114">
        <f>AV$17*Assumptions!$C102</f>
        <v>0</v>
      </c>
      <c r="AT40" s="114">
        <f>AV$17*Assumptions!$C102</f>
        <v>0</v>
      </c>
      <c r="AU40" s="115">
        <f t="shared" si="6"/>
        <v>0</v>
      </c>
      <c r="AY40" t="s">
        <v>175</v>
      </c>
      <c r="AZ40" s="114">
        <f>BC$17*Assumptions!$C102</f>
        <v>0</v>
      </c>
      <c r="BA40" s="114">
        <f>BC$17*Assumptions!$C102</f>
        <v>0</v>
      </c>
      <c r="BB40" s="115">
        <f t="shared" si="7"/>
        <v>0</v>
      </c>
      <c r="BF40" t="s">
        <v>175</v>
      </c>
      <c r="BG40" s="114">
        <f>BJ$17*Assumptions!$C102</f>
        <v>0</v>
      </c>
      <c r="BH40" s="114">
        <f>BJ$17*Assumptions!$C102</f>
        <v>0</v>
      </c>
      <c r="BI40" s="115">
        <f t="shared" si="8"/>
        <v>0</v>
      </c>
      <c r="BM40" t="s">
        <v>175</v>
      </c>
      <c r="BN40" s="114">
        <f>BQ$17*Assumptions!$C102</f>
        <v>0</v>
      </c>
      <c r="BO40" s="114">
        <f>BQ$17*Assumptions!$C102</f>
        <v>0</v>
      </c>
      <c r="BP40" s="115">
        <f t="shared" si="9"/>
        <v>0</v>
      </c>
    </row>
    <row r="41" spans="2:70" x14ac:dyDescent="0.35">
      <c r="B41" t="s">
        <v>176</v>
      </c>
      <c r="C41" s="114">
        <f>F$17*Assumptions!$C103</f>
        <v>1.7947050000000003E-2</v>
      </c>
      <c r="D41" s="114">
        <f>F$17*Assumptions!$C103</f>
        <v>1.7947050000000003E-2</v>
      </c>
      <c r="E41" s="115">
        <f t="shared" si="0"/>
        <v>0.21536460000000002</v>
      </c>
      <c r="I41" t="s">
        <v>176</v>
      </c>
      <c r="J41" s="114">
        <f>M$17*Assumptions!$C103</f>
        <v>2.8715280000000003E-2</v>
      </c>
      <c r="K41" s="114">
        <f>M$17*Assumptions!$C103</f>
        <v>2.8715280000000003E-2</v>
      </c>
      <c r="L41" s="115">
        <f t="shared" si="1"/>
        <v>0.34458336000000001</v>
      </c>
      <c r="P41" t="s">
        <v>176</v>
      </c>
      <c r="Q41" s="114">
        <f>T$17*Assumptions!$C103</f>
        <v>4.3072920000000001E-2</v>
      </c>
      <c r="R41" s="114">
        <f>T$17*Assumptions!$C103</f>
        <v>4.3072920000000001E-2</v>
      </c>
      <c r="S41" s="115">
        <f t="shared" si="2"/>
        <v>0.51687503999999995</v>
      </c>
      <c r="W41" t="s">
        <v>176</v>
      </c>
      <c r="X41" s="114">
        <f>AA$17*Assumptions!$C103</f>
        <v>7.178820000000001E-2</v>
      </c>
      <c r="Y41" s="114">
        <f>AA$17*Assumptions!$C103</f>
        <v>7.178820000000001E-2</v>
      </c>
      <c r="Z41" s="115">
        <f t="shared" si="3"/>
        <v>0.86145840000000007</v>
      </c>
      <c r="AD41" t="s">
        <v>176</v>
      </c>
      <c r="AE41" s="114">
        <f>AH$17*Assumptions!$C103</f>
        <v>0</v>
      </c>
      <c r="AF41" s="114">
        <f>AH$17*Assumptions!$C103</f>
        <v>0</v>
      </c>
      <c r="AG41" s="115">
        <f t="shared" si="4"/>
        <v>0</v>
      </c>
      <c r="AK41" t="s">
        <v>176</v>
      </c>
      <c r="AL41" s="114">
        <f>AO$17*Assumptions!$C103</f>
        <v>0</v>
      </c>
      <c r="AM41" s="114">
        <f>AO$17*Assumptions!$C103</f>
        <v>0</v>
      </c>
      <c r="AN41" s="115">
        <f t="shared" si="5"/>
        <v>0</v>
      </c>
      <c r="AR41" t="s">
        <v>176</v>
      </c>
      <c r="AS41" s="114">
        <f>AV$17*Assumptions!$C103</f>
        <v>0</v>
      </c>
      <c r="AT41" s="114">
        <f>AV$17*Assumptions!$C103</f>
        <v>0</v>
      </c>
      <c r="AU41" s="115">
        <f t="shared" si="6"/>
        <v>0</v>
      </c>
      <c r="AY41" t="s">
        <v>176</v>
      </c>
      <c r="AZ41" s="114">
        <f>BC$17*Assumptions!$C103</f>
        <v>0</v>
      </c>
      <c r="BA41" s="114">
        <f>BC$17*Assumptions!$C103</f>
        <v>0</v>
      </c>
      <c r="BB41" s="115">
        <f t="shared" si="7"/>
        <v>0</v>
      </c>
      <c r="BF41" t="s">
        <v>176</v>
      </c>
      <c r="BG41" s="114">
        <f>BJ$17*Assumptions!$C103</f>
        <v>0</v>
      </c>
      <c r="BH41" s="114">
        <f>BJ$17*Assumptions!$C103</f>
        <v>0</v>
      </c>
      <c r="BI41" s="115">
        <f t="shared" si="8"/>
        <v>0</v>
      </c>
      <c r="BM41" t="s">
        <v>176</v>
      </c>
      <c r="BN41" s="114">
        <f>BQ$17*Assumptions!$C103</f>
        <v>0</v>
      </c>
      <c r="BO41" s="114">
        <f>BQ$17*Assumptions!$C103</f>
        <v>0</v>
      </c>
      <c r="BP41" s="115">
        <f t="shared" si="9"/>
        <v>0</v>
      </c>
    </row>
    <row r="42" spans="2:70" x14ac:dyDescent="0.35">
      <c r="B42" t="s">
        <v>177</v>
      </c>
      <c r="C42" s="114">
        <f>F$17*Assumptions!$C104</f>
        <v>3.212E-4</v>
      </c>
      <c r="D42" s="114">
        <f>F$17*Assumptions!$C104</f>
        <v>3.212E-4</v>
      </c>
      <c r="E42" s="115">
        <f t="shared" si="0"/>
        <v>3.8544E-3</v>
      </c>
      <c r="I42" t="s">
        <v>177</v>
      </c>
      <c r="J42" s="114">
        <f>M$17*Assumptions!$C104</f>
        <v>5.1391999999999996E-4</v>
      </c>
      <c r="K42" s="114">
        <f>M$17*Assumptions!$C104</f>
        <v>5.1391999999999996E-4</v>
      </c>
      <c r="L42" s="115">
        <f t="shared" si="1"/>
        <v>6.1670399999999995E-3</v>
      </c>
      <c r="P42" t="s">
        <v>177</v>
      </c>
      <c r="Q42" s="114">
        <f>T$17*Assumptions!$C104</f>
        <v>7.7087999999999983E-4</v>
      </c>
      <c r="R42" s="114">
        <f>T$17*Assumptions!$C104</f>
        <v>7.7087999999999983E-4</v>
      </c>
      <c r="S42" s="115">
        <f t="shared" si="2"/>
        <v>9.250559999999998E-3</v>
      </c>
      <c r="W42" t="s">
        <v>177</v>
      </c>
      <c r="X42" s="114">
        <f>AA$17*Assumptions!$C104</f>
        <v>1.2848E-3</v>
      </c>
      <c r="Y42" s="114">
        <f>AA$17*Assumptions!$C104</f>
        <v>1.2848E-3</v>
      </c>
      <c r="Z42" s="115">
        <f t="shared" si="3"/>
        <v>1.54176E-2</v>
      </c>
      <c r="AD42" t="s">
        <v>177</v>
      </c>
      <c r="AE42" s="114">
        <f>AH$17*Assumptions!$C104</f>
        <v>0</v>
      </c>
      <c r="AF42" s="114">
        <f>AH$17*Assumptions!$C104</f>
        <v>0</v>
      </c>
      <c r="AG42" s="115">
        <f t="shared" si="4"/>
        <v>0</v>
      </c>
      <c r="AK42" t="s">
        <v>177</v>
      </c>
      <c r="AL42" s="114">
        <f>AO$17*Assumptions!$C104</f>
        <v>0</v>
      </c>
      <c r="AM42" s="114">
        <f>AO$17*Assumptions!$C104</f>
        <v>0</v>
      </c>
      <c r="AN42" s="115">
        <f t="shared" si="5"/>
        <v>0</v>
      </c>
      <c r="AR42" t="s">
        <v>177</v>
      </c>
      <c r="AS42" s="114">
        <f>AV$17*Assumptions!$C104</f>
        <v>0</v>
      </c>
      <c r="AT42" s="114">
        <f>AV$17*Assumptions!$C104</f>
        <v>0</v>
      </c>
      <c r="AU42" s="115">
        <f t="shared" si="6"/>
        <v>0</v>
      </c>
      <c r="AY42" t="s">
        <v>177</v>
      </c>
      <c r="AZ42" s="114">
        <f>BC$17*Assumptions!$C104</f>
        <v>0</v>
      </c>
      <c r="BA42" s="114">
        <f>BC$17*Assumptions!$C104</f>
        <v>0</v>
      </c>
      <c r="BB42" s="115">
        <f t="shared" si="7"/>
        <v>0</v>
      </c>
      <c r="BF42" t="s">
        <v>177</v>
      </c>
      <c r="BG42" s="114">
        <f>BJ$17*Assumptions!$C104</f>
        <v>0</v>
      </c>
      <c r="BH42" s="114">
        <f>BJ$17*Assumptions!$C104</f>
        <v>0</v>
      </c>
      <c r="BI42" s="115">
        <f t="shared" si="8"/>
        <v>0</v>
      </c>
      <c r="BM42" t="s">
        <v>177</v>
      </c>
      <c r="BN42" s="114">
        <f>BQ$17*Assumptions!$C104</f>
        <v>0</v>
      </c>
      <c r="BO42" s="114">
        <f>BQ$17*Assumptions!$C104</f>
        <v>0</v>
      </c>
      <c r="BP42" s="115">
        <f t="shared" si="9"/>
        <v>0</v>
      </c>
    </row>
    <row r="43" spans="2:70" x14ac:dyDescent="0.35">
      <c r="B43" t="s">
        <v>178</v>
      </c>
      <c r="C43" s="114">
        <f>F$17*Assumptions!$C105</f>
        <v>0</v>
      </c>
      <c r="D43" s="114">
        <f>F$17*Assumptions!$C105</f>
        <v>0</v>
      </c>
      <c r="E43" s="115">
        <f t="shared" si="0"/>
        <v>0</v>
      </c>
      <c r="I43" t="s">
        <v>178</v>
      </c>
      <c r="J43" s="114">
        <f>M$17*Assumptions!$C105</f>
        <v>0</v>
      </c>
      <c r="K43" s="114">
        <f>M$17*Assumptions!$C105</f>
        <v>0</v>
      </c>
      <c r="L43" s="115">
        <f t="shared" si="1"/>
        <v>0</v>
      </c>
      <c r="P43" t="s">
        <v>178</v>
      </c>
      <c r="Q43" s="114">
        <f>T$17*Assumptions!$C105</f>
        <v>0</v>
      </c>
      <c r="R43" s="114">
        <f>T$17*Assumptions!$C105</f>
        <v>0</v>
      </c>
      <c r="S43" s="115">
        <f t="shared" si="2"/>
        <v>0</v>
      </c>
      <c r="W43" t="s">
        <v>178</v>
      </c>
      <c r="X43" s="114">
        <f>AA$17*Assumptions!$C105</f>
        <v>0</v>
      </c>
      <c r="Y43" s="114">
        <f>AA$17*Assumptions!$C105</f>
        <v>0</v>
      </c>
      <c r="Z43" s="115">
        <f t="shared" si="3"/>
        <v>0</v>
      </c>
      <c r="AD43" t="s">
        <v>178</v>
      </c>
      <c r="AE43" s="114">
        <f>AH$17*Assumptions!$C105</f>
        <v>0</v>
      </c>
      <c r="AF43" s="114">
        <f>AH$17*Assumptions!$C105</f>
        <v>0</v>
      </c>
      <c r="AG43" s="115">
        <f t="shared" si="4"/>
        <v>0</v>
      </c>
      <c r="AK43" t="s">
        <v>178</v>
      </c>
      <c r="AL43" s="114">
        <f>AO$17*Assumptions!$C105</f>
        <v>0</v>
      </c>
      <c r="AM43" s="114">
        <f>AO$17*Assumptions!$C105</f>
        <v>0</v>
      </c>
      <c r="AN43" s="115">
        <f t="shared" si="5"/>
        <v>0</v>
      </c>
      <c r="AR43" t="s">
        <v>178</v>
      </c>
      <c r="AS43" s="114">
        <f>AV$17*Assumptions!$C105</f>
        <v>0</v>
      </c>
      <c r="AT43" s="114">
        <f>AV$17*Assumptions!$C105</f>
        <v>0</v>
      </c>
      <c r="AU43" s="115">
        <f t="shared" si="6"/>
        <v>0</v>
      </c>
      <c r="AY43" t="s">
        <v>178</v>
      </c>
      <c r="AZ43" s="114">
        <f>BC$17*Assumptions!$C105</f>
        <v>0</v>
      </c>
      <c r="BA43" s="114">
        <f>BC$17*Assumptions!$C105</f>
        <v>0</v>
      </c>
      <c r="BB43" s="115">
        <f t="shared" si="7"/>
        <v>0</v>
      </c>
      <c r="BF43" t="s">
        <v>178</v>
      </c>
      <c r="BG43" s="114">
        <f>BJ$17*Assumptions!$C105</f>
        <v>0</v>
      </c>
      <c r="BH43" s="114">
        <f>BJ$17*Assumptions!$C105</f>
        <v>0</v>
      </c>
      <c r="BI43" s="115">
        <f t="shared" si="8"/>
        <v>0</v>
      </c>
      <c r="BM43" t="s">
        <v>178</v>
      </c>
      <c r="BN43" s="114">
        <f>BQ$17*Assumptions!$C105</f>
        <v>0</v>
      </c>
      <c r="BO43" s="114">
        <f>BQ$17*Assumptions!$C105</f>
        <v>0</v>
      </c>
      <c r="BP43" s="115">
        <f t="shared" si="9"/>
        <v>0</v>
      </c>
    </row>
    <row r="44" spans="2:70" x14ac:dyDescent="0.35">
      <c r="B44" t="s">
        <v>180</v>
      </c>
      <c r="C44" s="114">
        <f>F$17*Assumptions!$C106</f>
        <v>2.4571800000000001</v>
      </c>
      <c r="D44" s="114">
        <f>F$17*Assumptions!$C106</f>
        <v>2.4571800000000001</v>
      </c>
      <c r="E44" s="115">
        <f t="shared" si="0"/>
        <v>29.486160000000002</v>
      </c>
      <c r="I44" t="s">
        <v>180</v>
      </c>
      <c r="J44" s="114">
        <f>M$17*Assumptions!$C106</f>
        <v>3.9314880000000003</v>
      </c>
      <c r="K44" s="114">
        <f>M$17*Assumptions!$C106</f>
        <v>3.9314880000000003</v>
      </c>
      <c r="L44" s="115">
        <f t="shared" si="1"/>
        <v>47.177856000000006</v>
      </c>
      <c r="P44" t="s">
        <v>180</v>
      </c>
      <c r="Q44" s="114">
        <f>T$17*Assumptions!$C106</f>
        <v>5.8972319999999998</v>
      </c>
      <c r="R44" s="114">
        <f>T$17*Assumptions!$C106</f>
        <v>5.8972319999999998</v>
      </c>
      <c r="S44" s="115">
        <f t="shared" si="2"/>
        <v>70.766784000000001</v>
      </c>
      <c r="W44" t="s">
        <v>180</v>
      </c>
      <c r="X44" s="114">
        <f>AA$17*Assumptions!$C106</f>
        <v>9.8287200000000006</v>
      </c>
      <c r="Y44" s="114">
        <f>AA$17*Assumptions!$C106</f>
        <v>9.8287200000000006</v>
      </c>
      <c r="Z44" s="115">
        <f t="shared" si="3"/>
        <v>117.94464000000001</v>
      </c>
      <c r="AD44" t="s">
        <v>180</v>
      </c>
      <c r="AE44" s="114">
        <f>AH$17*Assumptions!$C106</f>
        <v>0</v>
      </c>
      <c r="AF44" s="114">
        <f>AH$17*Assumptions!$C106</f>
        <v>0</v>
      </c>
      <c r="AG44" s="115">
        <f t="shared" si="4"/>
        <v>0</v>
      </c>
      <c r="AK44" t="s">
        <v>180</v>
      </c>
      <c r="AL44" s="114">
        <f>AO$17*Assumptions!$C106</f>
        <v>0</v>
      </c>
      <c r="AM44" s="114">
        <f>AO$17*Assumptions!$C106</f>
        <v>0</v>
      </c>
      <c r="AN44" s="115">
        <f t="shared" si="5"/>
        <v>0</v>
      </c>
      <c r="AR44" t="s">
        <v>180</v>
      </c>
      <c r="AS44" s="114">
        <f>AV$17*Assumptions!$C106</f>
        <v>0</v>
      </c>
      <c r="AT44" s="114">
        <f>AV$17*Assumptions!$C106</f>
        <v>0</v>
      </c>
      <c r="AU44" s="115">
        <f t="shared" si="6"/>
        <v>0</v>
      </c>
      <c r="AY44" t="s">
        <v>180</v>
      </c>
      <c r="AZ44" s="114">
        <f>BC$17*Assumptions!$C106</f>
        <v>0</v>
      </c>
      <c r="BA44" s="114">
        <f>BC$17*Assumptions!$C106</f>
        <v>0</v>
      </c>
      <c r="BB44" s="115">
        <f t="shared" si="7"/>
        <v>0</v>
      </c>
      <c r="BF44" t="s">
        <v>180</v>
      </c>
      <c r="BG44" s="114">
        <f>BJ$17*Assumptions!$C106</f>
        <v>0</v>
      </c>
      <c r="BH44" s="114">
        <f>BJ$17*Assumptions!$C106</f>
        <v>0</v>
      </c>
      <c r="BI44" s="115">
        <f t="shared" si="8"/>
        <v>0</v>
      </c>
      <c r="BM44" t="s">
        <v>180</v>
      </c>
      <c r="BN44" s="114">
        <f>BQ$17*Assumptions!$C106</f>
        <v>0</v>
      </c>
      <c r="BO44" s="114">
        <f>BQ$17*Assumptions!$C106</f>
        <v>0</v>
      </c>
      <c r="BP44" s="115">
        <f t="shared" si="9"/>
        <v>0</v>
      </c>
    </row>
    <row r="45" spans="2:70" x14ac:dyDescent="0.35">
      <c r="B45" t="s">
        <v>181</v>
      </c>
      <c r="C45" s="114">
        <f>F$17*Assumptions!$C107</f>
        <v>0</v>
      </c>
      <c r="D45" s="114">
        <f>F$17*Assumptions!$C107</f>
        <v>0</v>
      </c>
      <c r="E45" s="115">
        <f t="shared" si="0"/>
        <v>0</v>
      </c>
      <c r="I45" t="s">
        <v>181</v>
      </c>
      <c r="J45" s="114">
        <f>M$17*Assumptions!$C107</f>
        <v>0</v>
      </c>
      <c r="K45" s="114">
        <f>M$17*Assumptions!$C107</f>
        <v>0</v>
      </c>
      <c r="L45" s="115">
        <f t="shared" si="1"/>
        <v>0</v>
      </c>
      <c r="P45" t="s">
        <v>181</v>
      </c>
      <c r="Q45" s="114">
        <f>T$17*Assumptions!$C107</f>
        <v>0</v>
      </c>
      <c r="R45" s="114">
        <f>T$17*Assumptions!$C107</f>
        <v>0</v>
      </c>
      <c r="S45" s="115">
        <f t="shared" si="2"/>
        <v>0</v>
      </c>
      <c r="W45" t="s">
        <v>181</v>
      </c>
      <c r="X45" s="114">
        <f>AA$17*Assumptions!$C107</f>
        <v>0</v>
      </c>
      <c r="Y45" s="114">
        <f>AA$17*Assumptions!$C107</f>
        <v>0</v>
      </c>
      <c r="Z45" s="115">
        <f t="shared" si="3"/>
        <v>0</v>
      </c>
      <c r="AD45" t="s">
        <v>181</v>
      </c>
      <c r="AE45" s="114">
        <f>AH$17*Assumptions!$C107</f>
        <v>0</v>
      </c>
      <c r="AF45" s="114">
        <f>AH$17*Assumptions!$C107</f>
        <v>0</v>
      </c>
      <c r="AG45" s="115">
        <f t="shared" si="4"/>
        <v>0</v>
      </c>
      <c r="AK45" t="s">
        <v>181</v>
      </c>
      <c r="AL45" s="114">
        <f>AO$17*Assumptions!$C107</f>
        <v>0</v>
      </c>
      <c r="AM45" s="114">
        <f>AO$17*Assumptions!$C107</f>
        <v>0</v>
      </c>
      <c r="AN45" s="115">
        <f t="shared" si="5"/>
        <v>0</v>
      </c>
      <c r="AR45" t="s">
        <v>181</v>
      </c>
      <c r="AS45" s="114">
        <f>AV$17*Assumptions!$C107</f>
        <v>0</v>
      </c>
      <c r="AT45" s="114">
        <f>AV$17*Assumptions!$C107</f>
        <v>0</v>
      </c>
      <c r="AU45" s="115">
        <f t="shared" si="6"/>
        <v>0</v>
      </c>
      <c r="AY45" t="s">
        <v>181</v>
      </c>
      <c r="AZ45" s="114">
        <f>BC$17*Assumptions!$C107</f>
        <v>0</v>
      </c>
      <c r="BA45" s="114">
        <f>BC$17*Assumptions!$C107</f>
        <v>0</v>
      </c>
      <c r="BB45" s="115">
        <f t="shared" si="7"/>
        <v>0</v>
      </c>
      <c r="BF45" t="s">
        <v>181</v>
      </c>
      <c r="BG45" s="114">
        <f>BJ$17*Assumptions!$C107</f>
        <v>0</v>
      </c>
      <c r="BH45" s="114">
        <f>BJ$17*Assumptions!$C107</f>
        <v>0</v>
      </c>
      <c r="BI45" s="115">
        <f t="shared" si="8"/>
        <v>0</v>
      </c>
      <c r="BM45" t="s">
        <v>181</v>
      </c>
      <c r="BN45" s="114">
        <f>BQ$17*Assumptions!$C107</f>
        <v>0</v>
      </c>
      <c r="BO45" s="114">
        <f>BQ$17*Assumptions!$C107</f>
        <v>0</v>
      </c>
      <c r="BP45" s="115">
        <f t="shared" si="9"/>
        <v>0</v>
      </c>
    </row>
    <row r="46" spans="2:70" x14ac:dyDescent="0.35">
      <c r="B46" s="22" t="s">
        <v>233</v>
      </c>
      <c r="C46" s="114">
        <f>SUM(C36:C45)</f>
        <v>15.562318600000001</v>
      </c>
      <c r="D46" s="114">
        <f>SUM(D36:D45)</f>
        <v>15.562318600000001</v>
      </c>
      <c r="E46" s="114">
        <f>SUM(E36:E45)</f>
        <v>186.7478232</v>
      </c>
      <c r="I46" s="22" t="s">
        <v>233</v>
      </c>
      <c r="J46" s="114">
        <f>SUM(J36:J45)</f>
        <v>24.13170976</v>
      </c>
      <c r="K46" s="114">
        <f>SUM(K36:K45)</f>
        <v>24.13170976</v>
      </c>
      <c r="L46" s="114">
        <f>SUM(L36:L45)</f>
        <v>289.58051712000002</v>
      </c>
      <c r="P46" s="22" t="s">
        <v>233</v>
      </c>
      <c r="Q46" s="114">
        <f>SUM(Q36:Q45)</f>
        <v>35.557564640000002</v>
      </c>
      <c r="R46" s="114">
        <f>SUM(R36:R45)</f>
        <v>35.557564640000002</v>
      </c>
      <c r="S46" s="114">
        <f>SUM(S36:S45)</f>
        <v>426.69077568</v>
      </c>
      <c r="W46" s="22" t="s">
        <v>233</v>
      </c>
      <c r="X46" s="114">
        <f>SUM(X36:X45)</f>
        <v>58.409274400000001</v>
      </c>
      <c r="Y46" s="114">
        <f>SUM(Y36:Y45)</f>
        <v>58.409274400000001</v>
      </c>
      <c r="Z46" s="114">
        <f>SUM(Z36:Z45)</f>
        <v>700.91129280000007</v>
      </c>
      <c r="AD46" s="22" t="s">
        <v>233</v>
      </c>
      <c r="AE46" s="114">
        <f>SUM(AE36:AE45)</f>
        <v>1.28</v>
      </c>
      <c r="AF46" s="114">
        <f>SUM(AF36:AF45)</f>
        <v>1.28</v>
      </c>
      <c r="AG46" s="114">
        <f>SUM(AG36:AG45)</f>
        <v>15.36</v>
      </c>
      <c r="AK46" s="22" t="s">
        <v>233</v>
      </c>
      <c r="AL46" s="114">
        <f>SUM(AL36:AL45)</f>
        <v>1.28</v>
      </c>
      <c r="AM46" s="114">
        <f>SUM(AM36:AM45)</f>
        <v>1.28</v>
      </c>
      <c r="AN46" s="114">
        <f>SUM(AN36:AN45)</f>
        <v>15.36</v>
      </c>
      <c r="AR46" s="22" t="s">
        <v>233</v>
      </c>
      <c r="AS46" s="114">
        <f>SUM(AS36:AS45)</f>
        <v>1.28</v>
      </c>
      <c r="AT46" s="114">
        <f>SUM(AT36:AT45)</f>
        <v>1.28</v>
      </c>
      <c r="AU46" s="114">
        <f>SUM(AU36:AU45)</f>
        <v>15.36</v>
      </c>
      <c r="AY46" s="22" t="s">
        <v>233</v>
      </c>
      <c r="AZ46" s="114">
        <f>SUM(AZ36:AZ45)</f>
        <v>1.28</v>
      </c>
      <c r="BA46" s="114">
        <f>SUM(BA36:BA45)</f>
        <v>1.28</v>
      </c>
      <c r="BB46" s="114">
        <f>SUM(BB36:BB45)</f>
        <v>15.36</v>
      </c>
      <c r="BF46" s="22" t="s">
        <v>233</v>
      </c>
      <c r="BG46" s="114">
        <f>SUM(BG36:BG45)</f>
        <v>1.28</v>
      </c>
      <c r="BH46" s="114">
        <f>SUM(BH36:BH45)</f>
        <v>1.28</v>
      </c>
      <c r="BI46" s="114">
        <f>SUM(BI36:BI45)</f>
        <v>15.36</v>
      </c>
      <c r="BM46" s="22" t="s">
        <v>233</v>
      </c>
      <c r="BN46" s="114">
        <f>SUM(BN36:BN45)</f>
        <v>1.28</v>
      </c>
      <c r="BO46" s="114">
        <f>SUM(BO36:BO45)</f>
        <v>1.28</v>
      </c>
      <c r="BP46" s="114">
        <f>SUM(BP36:BP45)</f>
        <v>15.36</v>
      </c>
    </row>
    <row r="47" spans="2:70" x14ac:dyDescent="0.35">
      <c r="B47" s="22"/>
      <c r="C47" s="114"/>
      <c r="D47" s="114"/>
      <c r="I47" s="22"/>
      <c r="J47" s="114"/>
      <c r="K47" s="114"/>
      <c r="P47" s="22"/>
      <c r="Q47" s="114"/>
      <c r="R47" s="114"/>
      <c r="W47" s="22"/>
      <c r="X47" s="114"/>
      <c r="Y47" s="114"/>
      <c r="AD47" s="22"/>
      <c r="AE47" s="114"/>
      <c r="AF47" s="114"/>
      <c r="AK47" s="22"/>
      <c r="AL47" s="114"/>
      <c r="AM47" s="114"/>
      <c r="AR47" s="22"/>
      <c r="AS47" s="114"/>
      <c r="AT47" s="114"/>
      <c r="AY47" s="22"/>
      <c r="AZ47" s="114"/>
      <c r="BA47" s="114"/>
      <c r="BF47" s="22"/>
      <c r="BG47" s="114"/>
      <c r="BH47" s="114"/>
      <c r="BM47" s="22"/>
      <c r="BN47" s="114"/>
      <c r="BO47" s="114"/>
    </row>
    <row r="48" spans="2:70" x14ac:dyDescent="0.35">
      <c r="B48" t="s">
        <v>234</v>
      </c>
      <c r="C48" s="114">
        <f>+C32+C46</f>
        <v>114.39055859999999</v>
      </c>
      <c r="D48" s="114">
        <f>+D32+D46</f>
        <v>94.058598599999996</v>
      </c>
      <c r="E48" s="115">
        <f>(C48*4)+(D48*8)</f>
        <v>1210.0310231999999</v>
      </c>
      <c r="I48" t="s">
        <v>234</v>
      </c>
      <c r="J48" s="114">
        <f>+J32+J46</f>
        <v>165.39689375999998</v>
      </c>
      <c r="K48" s="114">
        <f>+K32+K46</f>
        <v>132.86575776000001</v>
      </c>
      <c r="L48" s="115">
        <f>(J48*4)+(K48*8)</f>
        <v>1724.5136371200001</v>
      </c>
      <c r="P48" t="s">
        <v>234</v>
      </c>
      <c r="Q48" s="114">
        <f>+Q32+Q46</f>
        <v>233.40534063999999</v>
      </c>
      <c r="R48" s="114">
        <f>+R32+R46</f>
        <v>184.60863664000001</v>
      </c>
      <c r="S48" s="115">
        <f>(Q48*4)+(R48*8)</f>
        <v>2410.4904556800002</v>
      </c>
      <c r="W48" t="s">
        <v>234</v>
      </c>
      <c r="X48" s="114">
        <f>+X32+X46</f>
        <v>369.42223440000004</v>
      </c>
      <c r="Y48" s="114">
        <f>+Y32+Y46</f>
        <v>288.0943944</v>
      </c>
      <c r="Z48" s="115">
        <f>(X48*4)+(Y48*8)</f>
        <v>3782.4440928000004</v>
      </c>
      <c r="AD48" t="s">
        <v>234</v>
      </c>
      <c r="AE48" s="114">
        <f>+AE32+AE46</f>
        <v>29.380000000000003</v>
      </c>
      <c r="AF48" s="114">
        <f>+AF32+AF46</f>
        <v>29.380000000000003</v>
      </c>
      <c r="AG48" s="115">
        <f>(AE48*4)+(AF48*8)</f>
        <v>352.56000000000006</v>
      </c>
      <c r="AK48" t="s">
        <v>234</v>
      </c>
      <c r="AL48" s="114">
        <f>+AL32+AL46</f>
        <v>29.380000000000003</v>
      </c>
      <c r="AM48" s="114">
        <f>+AM32+AM46</f>
        <v>29.380000000000003</v>
      </c>
      <c r="AN48" s="115">
        <f>(AL48*4)+(AM48*8)</f>
        <v>352.56000000000006</v>
      </c>
      <c r="AR48" t="s">
        <v>234</v>
      </c>
      <c r="AS48" s="114">
        <f>+AS32+AS46</f>
        <v>29.380000000000003</v>
      </c>
      <c r="AT48" s="114">
        <f>+AT32+AT46</f>
        <v>29.380000000000003</v>
      </c>
      <c r="AU48" s="115">
        <f>(AS48*4)+(AT48*8)</f>
        <v>352.56000000000006</v>
      </c>
      <c r="AY48" t="s">
        <v>234</v>
      </c>
      <c r="AZ48" s="114">
        <f>+AZ32+AZ46</f>
        <v>29.380000000000003</v>
      </c>
      <c r="BA48" s="114">
        <f>+BA32+BA46</f>
        <v>29.380000000000003</v>
      </c>
      <c r="BB48" s="115">
        <f>(AZ48*4)+(BA48*8)</f>
        <v>352.56000000000006</v>
      </c>
      <c r="BF48" t="s">
        <v>234</v>
      </c>
      <c r="BG48" s="114">
        <f>+BG32+BG46</f>
        <v>29.380000000000003</v>
      </c>
      <c r="BH48" s="114">
        <f>+BH32+BH46</f>
        <v>29.380000000000003</v>
      </c>
      <c r="BI48" s="115">
        <f>(BG48*4)+(BH48*8)</f>
        <v>352.56000000000006</v>
      </c>
      <c r="BM48" t="s">
        <v>234</v>
      </c>
      <c r="BN48" s="114">
        <f>+BN32+BN46</f>
        <v>29.380000000000003</v>
      </c>
      <c r="BO48" s="114">
        <f>+BO32+BO46</f>
        <v>29.380000000000003</v>
      </c>
      <c r="BP48" s="115">
        <f>(BN48*4)+(BO48*8)</f>
        <v>352.56000000000006</v>
      </c>
    </row>
    <row r="49" spans="2:69" x14ac:dyDescent="0.35">
      <c r="C49" s="117" t="s">
        <v>182</v>
      </c>
      <c r="D49" s="118">
        <v>2.5108999999999999E-2</v>
      </c>
      <c r="E49" s="119" t="s">
        <v>235</v>
      </c>
      <c r="J49" s="117" t="s">
        <v>182</v>
      </c>
      <c r="K49" s="118">
        <v>2.5108999999999999E-2</v>
      </c>
      <c r="L49" s="119" t="s">
        <v>235</v>
      </c>
      <c r="Q49" s="117" t="s">
        <v>182</v>
      </c>
      <c r="R49" s="118">
        <v>2.5108999999999999E-2</v>
      </c>
      <c r="S49" s="119" t="s">
        <v>235</v>
      </c>
      <c r="X49" s="117" t="s">
        <v>182</v>
      </c>
      <c r="Y49" s="118">
        <v>2.5108999999999999E-2</v>
      </c>
      <c r="Z49" s="119" t="s">
        <v>235</v>
      </c>
      <c r="AE49" s="117" t="s">
        <v>182</v>
      </c>
      <c r="AF49" s="118">
        <v>2.5108999999999999E-2</v>
      </c>
      <c r="AG49" s="119" t="s">
        <v>235</v>
      </c>
      <c r="AL49" s="117" t="s">
        <v>182</v>
      </c>
      <c r="AM49" s="118">
        <v>2.5108999999999999E-2</v>
      </c>
      <c r="AN49" s="119" t="s">
        <v>235</v>
      </c>
      <c r="AS49" s="117" t="s">
        <v>182</v>
      </c>
      <c r="AT49" s="118">
        <v>2.5108999999999999E-2</v>
      </c>
      <c r="AU49" s="119" t="s">
        <v>235</v>
      </c>
      <c r="AZ49" s="117" t="s">
        <v>182</v>
      </c>
      <c r="BA49" s="118">
        <v>2.5108999999999999E-2</v>
      </c>
      <c r="BB49" s="119" t="s">
        <v>235</v>
      </c>
      <c r="BG49" s="117" t="s">
        <v>182</v>
      </c>
      <c r="BH49" s="118">
        <v>2.5108999999999999E-2</v>
      </c>
      <c r="BI49" s="119" t="s">
        <v>235</v>
      </c>
      <c r="BN49" s="117" t="s">
        <v>182</v>
      </c>
      <c r="BO49" s="118">
        <v>2.5108999999999999E-2</v>
      </c>
      <c r="BP49" s="119" t="s">
        <v>235</v>
      </c>
    </row>
    <row r="50" spans="2:69" x14ac:dyDescent="0.35">
      <c r="B50" t="s">
        <v>182</v>
      </c>
      <c r="C50" s="116">
        <f>C48*$D$49</f>
        <v>2.8722325358873997</v>
      </c>
      <c r="D50" s="116">
        <f>D48*$D$49</f>
        <v>2.3617173522473998</v>
      </c>
      <c r="E50" s="120">
        <f>(C50*4)+(D50*8)</f>
        <v>30.382668961528797</v>
      </c>
      <c r="I50" t="s">
        <v>182</v>
      </c>
      <c r="J50" s="116">
        <f>J48*$D$49</f>
        <v>4.1529506054198393</v>
      </c>
      <c r="K50" s="116">
        <f>K48*$D$49</f>
        <v>3.3361263115958399</v>
      </c>
      <c r="L50" s="120">
        <f>(J50*4)+(K50*8)</f>
        <v>43.300812914446077</v>
      </c>
      <c r="P50" t="s">
        <v>182</v>
      </c>
      <c r="Q50" s="116">
        <f>Q48*$D$49</f>
        <v>5.86057469812976</v>
      </c>
      <c r="R50" s="116">
        <f>R48*$D$49</f>
        <v>4.6353382573937605</v>
      </c>
      <c r="S50" s="120">
        <f>(Q50*4)+(R50*8)</f>
        <v>60.525004851669124</v>
      </c>
      <c r="W50" t="s">
        <v>182</v>
      </c>
      <c r="X50" s="116">
        <f>X48*$D$49</f>
        <v>9.2758228835496013</v>
      </c>
      <c r="Y50" s="116">
        <f>Y48*$D$49</f>
        <v>7.2337621489895998</v>
      </c>
      <c r="Z50" s="120">
        <f>(X50*4)+(Y50*8)</f>
        <v>94.973388726115203</v>
      </c>
      <c r="AD50" t="s">
        <v>182</v>
      </c>
      <c r="AE50" s="116">
        <f>AE48*$D$49</f>
        <v>0.73770242000000008</v>
      </c>
      <c r="AF50" s="116">
        <f>AF48*$D$49</f>
        <v>0.73770242000000008</v>
      </c>
      <c r="AG50" s="120">
        <f>(AE50*4)+(AF50*8)</f>
        <v>8.8524290400000005</v>
      </c>
      <c r="AK50" t="s">
        <v>182</v>
      </c>
      <c r="AL50" s="116">
        <f>AL48*$D$49</f>
        <v>0.73770242000000008</v>
      </c>
      <c r="AM50" s="116">
        <f>AM48*$D$49</f>
        <v>0.73770242000000008</v>
      </c>
      <c r="AN50" s="120">
        <f>(AL50*4)+(AM50*8)</f>
        <v>8.8524290400000005</v>
      </c>
      <c r="AR50" t="s">
        <v>182</v>
      </c>
      <c r="AS50" s="116">
        <f>AS48*$D$49</f>
        <v>0.73770242000000008</v>
      </c>
      <c r="AT50" s="116">
        <f>AT48*$D$49</f>
        <v>0.73770242000000008</v>
      </c>
      <c r="AU50" s="120">
        <f>(AS50*4)+(AT50*8)</f>
        <v>8.8524290400000005</v>
      </c>
      <c r="AY50" t="s">
        <v>182</v>
      </c>
      <c r="AZ50" s="116">
        <f>AZ48*$D$49</f>
        <v>0.73770242000000008</v>
      </c>
      <c r="BA50" s="116">
        <f>BA48*$D$49</f>
        <v>0.73770242000000008</v>
      </c>
      <c r="BB50" s="120">
        <f>(AZ50*4)+(BA50*8)</f>
        <v>8.8524290400000005</v>
      </c>
      <c r="BF50" t="s">
        <v>182</v>
      </c>
      <c r="BG50" s="116">
        <f>BG48*$D$49</f>
        <v>0.73770242000000008</v>
      </c>
      <c r="BH50" s="116">
        <f>BH48*$D$49</f>
        <v>0.73770242000000008</v>
      </c>
      <c r="BI50" s="120">
        <f>(BG50*4)+(BH50*8)</f>
        <v>8.8524290400000005</v>
      </c>
      <c r="BM50" t="s">
        <v>182</v>
      </c>
      <c r="BN50" s="116">
        <f>BN48*$D$49</f>
        <v>0.73770242000000008</v>
      </c>
      <c r="BO50" s="116">
        <f>BO48*$D$49</f>
        <v>0.73770242000000008</v>
      </c>
      <c r="BP50" s="120">
        <f>(BN50*4)+(BO50*8)</f>
        <v>8.8524290400000005</v>
      </c>
    </row>
    <row r="51" spans="2:69" x14ac:dyDescent="0.35">
      <c r="B51" s="9" t="s">
        <v>236</v>
      </c>
      <c r="C51" s="114">
        <f>+C48+C50</f>
        <v>117.2627911358874</v>
      </c>
      <c r="D51" s="114">
        <f>+D48+D50</f>
        <v>96.420315952247392</v>
      </c>
      <c r="E51" s="114">
        <f>SUM(E48:E50)</f>
        <v>1240.4136921615288</v>
      </c>
      <c r="I51" s="9" t="s">
        <v>236</v>
      </c>
      <c r="J51" s="114">
        <f>+J48+J50</f>
        <v>169.54984436541983</v>
      </c>
      <c r="K51" s="114">
        <f>+K48+K50</f>
        <v>136.20188407159586</v>
      </c>
      <c r="L51" s="114">
        <f>SUM(L48:L50)</f>
        <v>1767.8144500344463</v>
      </c>
      <c r="P51" s="9" t="s">
        <v>236</v>
      </c>
      <c r="Q51" s="114">
        <f>+Q48+Q50</f>
        <v>239.26591533812976</v>
      </c>
      <c r="R51" s="114">
        <f>+R48+R50</f>
        <v>189.24397489739377</v>
      </c>
      <c r="S51" s="114">
        <f>SUM(S48:S50)</f>
        <v>2471.0154605316693</v>
      </c>
      <c r="W51" s="9" t="s">
        <v>236</v>
      </c>
      <c r="X51" s="114">
        <f>+X48+X50</f>
        <v>378.69805728354964</v>
      </c>
      <c r="Y51" s="114">
        <f>+Y48+Y50</f>
        <v>295.32815654898963</v>
      </c>
      <c r="Z51" s="114">
        <f>SUM(Z48:Z50)</f>
        <v>3877.4174815261154</v>
      </c>
      <c r="AD51" s="9" t="s">
        <v>236</v>
      </c>
      <c r="AE51" s="114">
        <f>+AE48+AE50</f>
        <v>30.117702420000004</v>
      </c>
      <c r="AF51" s="114">
        <f>+AF48+AF50</f>
        <v>30.117702420000004</v>
      </c>
      <c r="AG51" s="114">
        <f>SUM(AG48:AG50)</f>
        <v>361.41242904000006</v>
      </c>
      <c r="AK51" s="9" t="s">
        <v>236</v>
      </c>
      <c r="AL51" s="114">
        <f>+AL48+AL50</f>
        <v>30.117702420000004</v>
      </c>
      <c r="AM51" s="114">
        <f>+AM48+AM50</f>
        <v>30.117702420000004</v>
      </c>
      <c r="AN51" s="114">
        <f>SUM(AN48:AN50)</f>
        <v>361.41242904000006</v>
      </c>
      <c r="AR51" s="9" t="s">
        <v>236</v>
      </c>
      <c r="AS51" s="114">
        <f>+AS48+AS50</f>
        <v>30.117702420000004</v>
      </c>
      <c r="AT51" s="114">
        <f>+AT48+AT50</f>
        <v>30.117702420000004</v>
      </c>
      <c r="AU51" s="114">
        <f>SUM(AU48:AU50)</f>
        <v>361.41242904000006</v>
      </c>
      <c r="AY51" s="9" t="s">
        <v>236</v>
      </c>
      <c r="AZ51" s="114">
        <f>+AZ48+AZ50</f>
        <v>30.117702420000004</v>
      </c>
      <c r="BA51" s="114">
        <f>+BA48+BA50</f>
        <v>30.117702420000004</v>
      </c>
      <c r="BB51" s="114">
        <f>SUM(BB48:BB50)</f>
        <v>361.41242904000006</v>
      </c>
      <c r="BF51" s="9" t="s">
        <v>236</v>
      </c>
      <c r="BG51" s="114">
        <f>+BG48+BG50</f>
        <v>30.117702420000004</v>
      </c>
      <c r="BH51" s="114">
        <f>+BH48+BH50</f>
        <v>30.117702420000004</v>
      </c>
      <c r="BI51" s="114">
        <f>SUM(BI48:BI50)</f>
        <v>361.41242904000006</v>
      </c>
      <c r="BM51" s="9" t="s">
        <v>236</v>
      </c>
      <c r="BN51" s="114">
        <f>+BN48+BN50</f>
        <v>30.117702420000004</v>
      </c>
      <c r="BO51" s="114">
        <f>+BO48+BO50</f>
        <v>30.117702420000004</v>
      </c>
      <c r="BP51" s="114">
        <f>SUM(BP48:BP50)</f>
        <v>361.41242904000006</v>
      </c>
    </row>
    <row r="53" spans="2:69" x14ac:dyDescent="0.35">
      <c r="B53" s="88" t="s">
        <v>237</v>
      </c>
      <c r="I53" s="88" t="s">
        <v>237</v>
      </c>
      <c r="P53" s="88" t="s">
        <v>237</v>
      </c>
      <c r="W53" s="88" t="s">
        <v>237</v>
      </c>
      <c r="AD53" s="88" t="s">
        <v>237</v>
      </c>
      <c r="AK53" s="88" t="s">
        <v>237</v>
      </c>
      <c r="AR53" s="88" t="s">
        <v>237</v>
      </c>
      <c r="AY53" s="88" t="s">
        <v>237</v>
      </c>
      <c r="BF53" s="88" t="s">
        <v>237</v>
      </c>
      <c r="BM53" s="88" t="s">
        <v>237</v>
      </c>
    </row>
    <row r="54" spans="2:69" x14ac:dyDescent="0.35">
      <c r="B54" t="s">
        <v>184</v>
      </c>
      <c r="C54" s="246">
        <v>0</v>
      </c>
      <c r="D54" s="246">
        <v>0</v>
      </c>
      <c r="E54" s="115">
        <f t="shared" ref="E54:E60" si="10">(C54*4)+(D54*8)</f>
        <v>0</v>
      </c>
      <c r="F54" s="85"/>
      <c r="I54" t="s">
        <v>184</v>
      </c>
      <c r="J54" s="246">
        <v>0</v>
      </c>
      <c r="K54" s="246">
        <v>0</v>
      </c>
      <c r="L54" s="115">
        <f t="shared" ref="L54:L60" si="11">(J54*4)+(K54*8)</f>
        <v>0</v>
      </c>
      <c r="M54" s="85"/>
      <c r="P54" t="s">
        <v>184</v>
      </c>
      <c r="Q54" s="246">
        <v>0</v>
      </c>
      <c r="R54" s="246">
        <v>0</v>
      </c>
      <c r="S54" s="115">
        <f t="shared" ref="S54:S60" si="12">(Q54*4)+(R54*8)</f>
        <v>0</v>
      </c>
      <c r="T54" s="85"/>
      <c r="W54" t="s">
        <v>184</v>
      </c>
      <c r="X54" s="246">
        <v>0</v>
      </c>
      <c r="Y54" s="246">
        <v>0</v>
      </c>
      <c r="Z54" s="115">
        <f t="shared" ref="Z54:Z60" si="13">(X54*4)+(Y54*8)</f>
        <v>0</v>
      </c>
      <c r="AA54" s="85"/>
      <c r="AD54" t="s">
        <v>184</v>
      </c>
      <c r="AE54" s="246">
        <v>0</v>
      </c>
      <c r="AF54" s="246">
        <v>0</v>
      </c>
      <c r="AG54" s="115">
        <f t="shared" ref="AG54:AG60" si="14">(AE54*4)+(AF54*8)</f>
        <v>0</v>
      </c>
      <c r="AH54" s="85"/>
      <c r="AK54" t="s">
        <v>184</v>
      </c>
      <c r="AL54" s="246">
        <v>0</v>
      </c>
      <c r="AM54" s="246">
        <v>0</v>
      </c>
      <c r="AN54" s="115">
        <f t="shared" ref="AN54:AN60" si="15">(AL54*4)+(AM54*8)</f>
        <v>0</v>
      </c>
      <c r="AO54" s="85"/>
      <c r="AR54" t="s">
        <v>184</v>
      </c>
      <c r="AS54" s="246">
        <v>0</v>
      </c>
      <c r="AT54" s="246">
        <v>0</v>
      </c>
      <c r="AU54" s="115">
        <f t="shared" ref="AU54:AU60" si="16">(AS54*4)+(AT54*8)</f>
        <v>0</v>
      </c>
      <c r="AV54" s="85"/>
      <c r="AY54" t="s">
        <v>184</v>
      </c>
      <c r="AZ54" s="246">
        <v>0</v>
      </c>
      <c r="BA54" s="246">
        <v>0</v>
      </c>
      <c r="BB54" s="115">
        <f t="shared" ref="BB54:BB60" si="17">(AZ54*4)+(BA54*8)</f>
        <v>0</v>
      </c>
      <c r="BC54" s="85"/>
      <c r="BF54" t="s">
        <v>184</v>
      </c>
      <c r="BG54" s="246">
        <v>0</v>
      </c>
      <c r="BH54" s="246">
        <v>0</v>
      </c>
      <c r="BI54" s="115">
        <f t="shared" ref="BI54:BI60" si="18">(BG54*4)+(BH54*8)</f>
        <v>0</v>
      </c>
      <c r="BJ54" s="85"/>
      <c r="BM54" t="s">
        <v>184</v>
      </c>
      <c r="BN54" s="246">
        <v>0</v>
      </c>
      <c r="BO54" s="246">
        <v>0</v>
      </c>
      <c r="BP54" s="115">
        <f t="shared" ref="BP54:BP60" si="19">(BN54*4)+(BO54*8)</f>
        <v>0</v>
      </c>
      <c r="BQ54" s="85"/>
    </row>
    <row r="55" spans="2:69" x14ac:dyDescent="0.35">
      <c r="B55" t="s">
        <v>186</v>
      </c>
      <c r="C55" s="114">
        <f>F$17*Assumptions!$I112</f>
        <v>32.655440400000003</v>
      </c>
      <c r="D55" s="114">
        <f>F$17*Assumptions!$I112</f>
        <v>32.655440400000003</v>
      </c>
      <c r="E55" s="115">
        <f t="shared" si="10"/>
        <v>391.86528480000004</v>
      </c>
      <c r="F55" s="85"/>
      <c r="I55" t="s">
        <v>186</v>
      </c>
      <c r="J55" s="114">
        <f>M$17*Assumptions!$I112</f>
        <v>52.248704640000007</v>
      </c>
      <c r="K55" s="114">
        <f>M$17*Assumptions!$I112</f>
        <v>52.248704640000007</v>
      </c>
      <c r="L55" s="115">
        <f t="shared" si="11"/>
        <v>626.98445568000011</v>
      </c>
      <c r="M55" s="85"/>
      <c r="P55" t="s">
        <v>186</v>
      </c>
      <c r="Q55" s="114">
        <f>T$17*Assumptions!$I112</f>
        <v>78.37305696</v>
      </c>
      <c r="R55" s="114">
        <f>T$17*Assumptions!$I112</f>
        <v>78.37305696</v>
      </c>
      <c r="S55" s="115">
        <f t="shared" si="12"/>
        <v>940.47668352000005</v>
      </c>
      <c r="T55" s="85"/>
      <c r="W55" t="s">
        <v>186</v>
      </c>
      <c r="X55" s="114">
        <f>AA$17*Assumptions!$I112</f>
        <v>130.62176160000001</v>
      </c>
      <c r="Y55" s="114">
        <f>AA$17*Assumptions!$I112</f>
        <v>130.62176160000001</v>
      </c>
      <c r="Z55" s="115">
        <f t="shared" si="13"/>
        <v>1567.4611392000002</v>
      </c>
      <c r="AA55" s="85"/>
      <c r="AD55" t="s">
        <v>186</v>
      </c>
      <c r="AE55" s="114">
        <f>AH$17*Assumptions!$I112</f>
        <v>0</v>
      </c>
      <c r="AF55" s="114">
        <f>AH$17*Assumptions!$I112</f>
        <v>0</v>
      </c>
      <c r="AG55" s="115">
        <f t="shared" si="14"/>
        <v>0</v>
      </c>
      <c r="AH55" s="85"/>
      <c r="AK55" t="s">
        <v>186</v>
      </c>
      <c r="AL55" s="114">
        <f>AO$17*Assumptions!$I112</f>
        <v>0</v>
      </c>
      <c r="AM55" s="114">
        <f>AO$17*Assumptions!$I112</f>
        <v>0</v>
      </c>
      <c r="AN55" s="115">
        <f t="shared" si="15"/>
        <v>0</v>
      </c>
      <c r="AO55" s="85"/>
      <c r="AR55" t="s">
        <v>186</v>
      </c>
      <c r="AS55" s="114">
        <f>AV$17*Assumptions!$I112</f>
        <v>0</v>
      </c>
      <c r="AT55" s="114">
        <f>AV$17*Assumptions!$I112</f>
        <v>0</v>
      </c>
      <c r="AU55" s="115">
        <f t="shared" si="16"/>
        <v>0</v>
      </c>
      <c r="AV55" s="85"/>
      <c r="AY55" t="s">
        <v>186</v>
      </c>
      <c r="AZ55" s="114">
        <f>BC$17*Assumptions!$I112</f>
        <v>0</v>
      </c>
      <c r="BA55" s="114">
        <f>BC$17*Assumptions!$I112</f>
        <v>0</v>
      </c>
      <c r="BB55" s="115">
        <f t="shared" si="17"/>
        <v>0</v>
      </c>
      <c r="BC55" s="85"/>
      <c r="BF55" t="s">
        <v>186</v>
      </c>
      <c r="BG55" s="114">
        <f>BJ$17*Assumptions!$I112</f>
        <v>0</v>
      </c>
      <c r="BH55" s="114">
        <f>BJ$17*Assumptions!$I112</f>
        <v>0</v>
      </c>
      <c r="BI55" s="115">
        <f t="shared" si="18"/>
        <v>0</v>
      </c>
      <c r="BJ55" s="85"/>
      <c r="BM55" t="s">
        <v>186</v>
      </c>
      <c r="BN55" s="114">
        <f>BQ$17*Assumptions!$I112</f>
        <v>0</v>
      </c>
      <c r="BO55" s="114">
        <f>BQ$17*Assumptions!$I112</f>
        <v>0</v>
      </c>
      <c r="BP55" s="115">
        <f t="shared" si="19"/>
        <v>0</v>
      </c>
      <c r="BQ55" s="85"/>
    </row>
    <row r="56" spans="2:69" x14ac:dyDescent="0.35">
      <c r="B56" t="s">
        <v>187</v>
      </c>
      <c r="C56" s="114">
        <f>F$17*Assumptions!$C113</f>
        <v>-2.4338528500000005</v>
      </c>
      <c r="D56" s="114">
        <f>F$17*Assumptions!$C113</f>
        <v>-2.4338528500000005</v>
      </c>
      <c r="E56" s="115">
        <f t="shared" si="10"/>
        <v>-29.206234200000004</v>
      </c>
      <c r="F56" s="85"/>
      <c r="I56" t="s">
        <v>187</v>
      </c>
      <c r="J56" s="114">
        <f>M$17*Assumptions!$C113</f>
        <v>-3.8941645600000006</v>
      </c>
      <c r="K56" s="114">
        <f>M$17*Assumptions!$C113</f>
        <v>-3.8941645600000006</v>
      </c>
      <c r="L56" s="115">
        <f t="shared" si="11"/>
        <v>-46.729974720000008</v>
      </c>
      <c r="M56" s="85"/>
      <c r="P56" t="s">
        <v>187</v>
      </c>
      <c r="Q56" s="114">
        <f>T$17*Assumptions!$C113</f>
        <v>-5.8412468400000011</v>
      </c>
      <c r="R56" s="114">
        <f>T$17*Assumptions!$C113</f>
        <v>-5.8412468400000011</v>
      </c>
      <c r="S56" s="115">
        <f t="shared" si="12"/>
        <v>-70.094962080000016</v>
      </c>
      <c r="T56" s="85"/>
      <c r="W56" t="s">
        <v>187</v>
      </c>
      <c r="X56" s="114">
        <f>AA$17*Assumptions!$C113</f>
        <v>-9.735411400000002</v>
      </c>
      <c r="Y56" s="114">
        <f>AA$17*Assumptions!$C113</f>
        <v>-9.735411400000002</v>
      </c>
      <c r="Z56" s="115">
        <f t="shared" si="13"/>
        <v>-116.82493680000002</v>
      </c>
      <c r="AA56" s="85"/>
      <c r="AD56" t="s">
        <v>187</v>
      </c>
      <c r="AE56" s="114">
        <f>AH$17*Assumptions!$C113</f>
        <v>0</v>
      </c>
      <c r="AF56" s="114">
        <f>AH$17*Assumptions!$C113</f>
        <v>0</v>
      </c>
      <c r="AG56" s="115">
        <f t="shared" si="14"/>
        <v>0</v>
      </c>
      <c r="AH56" s="85"/>
      <c r="AK56" t="s">
        <v>187</v>
      </c>
      <c r="AL56" s="114">
        <f>AO$17*Assumptions!$C113</f>
        <v>0</v>
      </c>
      <c r="AM56" s="114">
        <f>AO$17*Assumptions!$C113</f>
        <v>0</v>
      </c>
      <c r="AN56" s="115">
        <f t="shared" si="15"/>
        <v>0</v>
      </c>
      <c r="AO56" s="85"/>
      <c r="AR56" t="s">
        <v>187</v>
      </c>
      <c r="AS56" s="114">
        <f>AV$17*Assumptions!$C113</f>
        <v>0</v>
      </c>
      <c r="AT56" s="114">
        <f>AV$17*Assumptions!$C113</f>
        <v>0</v>
      </c>
      <c r="AU56" s="115">
        <f t="shared" si="16"/>
        <v>0</v>
      </c>
      <c r="AV56" s="85"/>
      <c r="AY56" t="s">
        <v>187</v>
      </c>
      <c r="AZ56" s="114">
        <f>BC$17*Assumptions!$C113</f>
        <v>0</v>
      </c>
      <c r="BA56" s="114">
        <f>BC$17*Assumptions!$C113</f>
        <v>0</v>
      </c>
      <c r="BB56" s="115">
        <f t="shared" si="17"/>
        <v>0</v>
      </c>
      <c r="BC56" s="85"/>
      <c r="BF56" t="s">
        <v>187</v>
      </c>
      <c r="BG56" s="114">
        <f>BJ$17*Assumptions!$C113</f>
        <v>0</v>
      </c>
      <c r="BH56" s="114">
        <f>BJ$17*Assumptions!$C113</f>
        <v>0</v>
      </c>
      <c r="BI56" s="115">
        <f t="shared" si="18"/>
        <v>0</v>
      </c>
      <c r="BJ56" s="85"/>
      <c r="BM56" t="s">
        <v>187</v>
      </c>
      <c r="BN56" s="114">
        <f>BQ$17*Assumptions!$C113</f>
        <v>0</v>
      </c>
      <c r="BO56" s="114">
        <f>BQ$17*Assumptions!$C113</f>
        <v>0</v>
      </c>
      <c r="BP56" s="115">
        <f t="shared" si="19"/>
        <v>0</v>
      </c>
      <c r="BQ56" s="85"/>
    </row>
    <row r="57" spans="2:69" x14ac:dyDescent="0.35">
      <c r="B57" t="s">
        <v>188</v>
      </c>
      <c r="C57" s="114">
        <f>F$17*Assumptions!$C114</f>
        <v>4.3718130500000001</v>
      </c>
      <c r="D57" s="114">
        <f>F$17*Assumptions!$C114</f>
        <v>4.3718130500000001</v>
      </c>
      <c r="E57" s="115">
        <f t="shared" si="10"/>
        <v>52.461756600000001</v>
      </c>
      <c r="I57" t="s">
        <v>188</v>
      </c>
      <c r="J57" s="114">
        <f>M$17*Assumptions!$C114</f>
        <v>6.9949008799999994</v>
      </c>
      <c r="K57" s="114">
        <f>M$17*Assumptions!$C114</f>
        <v>6.9949008799999994</v>
      </c>
      <c r="L57" s="115">
        <f t="shared" si="11"/>
        <v>83.938810559999993</v>
      </c>
      <c r="P57" t="s">
        <v>188</v>
      </c>
      <c r="Q57" s="114">
        <f>T$17*Assumptions!$C114</f>
        <v>10.492351319999999</v>
      </c>
      <c r="R57" s="114">
        <f>T$17*Assumptions!$C114</f>
        <v>10.492351319999999</v>
      </c>
      <c r="S57" s="115">
        <f t="shared" si="12"/>
        <v>125.90821584</v>
      </c>
      <c r="W57" t="s">
        <v>188</v>
      </c>
      <c r="X57" s="114">
        <f>AA$17*Assumptions!$C114</f>
        <v>17.4872522</v>
      </c>
      <c r="Y57" s="114">
        <f>AA$17*Assumptions!$C114</f>
        <v>17.4872522</v>
      </c>
      <c r="Z57" s="115">
        <f t="shared" si="13"/>
        <v>209.8470264</v>
      </c>
      <c r="AD57" t="s">
        <v>188</v>
      </c>
      <c r="AE57" s="114">
        <f>AH$17*Assumptions!$C114</f>
        <v>0</v>
      </c>
      <c r="AF57" s="114">
        <f>AH$17*Assumptions!$C114</f>
        <v>0</v>
      </c>
      <c r="AG57" s="115">
        <f t="shared" si="14"/>
        <v>0</v>
      </c>
      <c r="AK57" t="s">
        <v>188</v>
      </c>
      <c r="AL57" s="114">
        <f>AO$17*Assumptions!$C114</f>
        <v>0</v>
      </c>
      <c r="AM57" s="114">
        <f>AO$17*Assumptions!$C114</f>
        <v>0</v>
      </c>
      <c r="AN57" s="115">
        <f t="shared" si="15"/>
        <v>0</v>
      </c>
      <c r="AR57" t="s">
        <v>188</v>
      </c>
      <c r="AS57" s="114">
        <f>AV$17*Assumptions!$C114</f>
        <v>0</v>
      </c>
      <c r="AT57" s="114">
        <f>AV$17*Assumptions!$C114</f>
        <v>0</v>
      </c>
      <c r="AU57" s="115">
        <f t="shared" si="16"/>
        <v>0</v>
      </c>
      <c r="AY57" t="s">
        <v>188</v>
      </c>
      <c r="AZ57" s="114">
        <f>BC$17*Assumptions!$C114</f>
        <v>0</v>
      </c>
      <c r="BA57" s="114">
        <f>BC$17*Assumptions!$C114</f>
        <v>0</v>
      </c>
      <c r="BB57" s="115">
        <f t="shared" si="17"/>
        <v>0</v>
      </c>
      <c r="BF57" t="s">
        <v>188</v>
      </c>
      <c r="BG57" s="114">
        <f>BJ$17*Assumptions!$C114</f>
        <v>0</v>
      </c>
      <c r="BH57" s="114">
        <f>BJ$17*Assumptions!$C114</f>
        <v>0</v>
      </c>
      <c r="BI57" s="115">
        <f t="shared" si="18"/>
        <v>0</v>
      </c>
      <c r="BM57" t="s">
        <v>188</v>
      </c>
      <c r="BN57" s="114">
        <f>BQ$17*Assumptions!$C114</f>
        <v>0</v>
      </c>
      <c r="BO57" s="114">
        <f>BQ$17*Assumptions!$C114</f>
        <v>0</v>
      </c>
      <c r="BP57" s="115">
        <f t="shared" si="19"/>
        <v>0</v>
      </c>
    </row>
    <row r="58" spans="2:69" x14ac:dyDescent="0.35">
      <c r="B58" t="s">
        <v>189</v>
      </c>
      <c r="C58" s="114">
        <f>F$17*Assumptions!$C115</f>
        <v>0.4244658</v>
      </c>
      <c r="D58" s="114">
        <f>F$17*Assumptions!$C115</f>
        <v>0.4244658</v>
      </c>
      <c r="E58" s="115">
        <f t="shared" si="10"/>
        <v>5.0935895999999996</v>
      </c>
      <c r="I58" t="s">
        <v>189</v>
      </c>
      <c r="J58" s="114">
        <f>M$17*Assumptions!$C115</f>
        <v>0.67914527999999996</v>
      </c>
      <c r="K58" s="114">
        <f>M$17*Assumptions!$C115</f>
        <v>0.67914527999999996</v>
      </c>
      <c r="L58" s="115">
        <f t="shared" si="11"/>
        <v>8.1497433599999987</v>
      </c>
      <c r="P58" t="s">
        <v>189</v>
      </c>
      <c r="Q58" s="114">
        <f>T$17*Assumptions!$C115</f>
        <v>1.0187179199999998</v>
      </c>
      <c r="R58" s="114">
        <f>T$17*Assumptions!$C115</f>
        <v>1.0187179199999998</v>
      </c>
      <c r="S58" s="115">
        <f t="shared" si="12"/>
        <v>12.224615039999998</v>
      </c>
      <c r="W58" t="s">
        <v>189</v>
      </c>
      <c r="X58" s="114">
        <f>AA$17*Assumptions!$C115</f>
        <v>1.6978632</v>
      </c>
      <c r="Y58" s="114">
        <f>AA$17*Assumptions!$C115</f>
        <v>1.6978632</v>
      </c>
      <c r="Z58" s="115">
        <f t="shared" si="13"/>
        <v>20.374358399999998</v>
      </c>
      <c r="AD58" t="s">
        <v>189</v>
      </c>
      <c r="AE58" s="114">
        <f>AH$17*Assumptions!$C115</f>
        <v>0</v>
      </c>
      <c r="AF58" s="114">
        <f>AH$17*Assumptions!$C115</f>
        <v>0</v>
      </c>
      <c r="AG58" s="115">
        <f t="shared" si="14"/>
        <v>0</v>
      </c>
      <c r="AK58" t="s">
        <v>189</v>
      </c>
      <c r="AL58" s="114">
        <f>AO$17*Assumptions!$C115</f>
        <v>0</v>
      </c>
      <c r="AM58" s="114">
        <f>AO$17*Assumptions!$C115</f>
        <v>0</v>
      </c>
      <c r="AN58" s="115">
        <f t="shared" si="15"/>
        <v>0</v>
      </c>
      <c r="AR58" t="s">
        <v>189</v>
      </c>
      <c r="AS58" s="114">
        <f>AV$17*Assumptions!$C115</f>
        <v>0</v>
      </c>
      <c r="AT58" s="114">
        <f>AV$17*Assumptions!$C115</f>
        <v>0</v>
      </c>
      <c r="AU58" s="115">
        <f t="shared" si="16"/>
        <v>0</v>
      </c>
      <c r="AY58" t="s">
        <v>189</v>
      </c>
      <c r="AZ58" s="114">
        <f>BC$17*Assumptions!$C115</f>
        <v>0</v>
      </c>
      <c r="BA58" s="114">
        <f>BC$17*Assumptions!$C115</f>
        <v>0</v>
      </c>
      <c r="BB58" s="115">
        <f t="shared" si="17"/>
        <v>0</v>
      </c>
      <c r="BF58" t="s">
        <v>189</v>
      </c>
      <c r="BG58" s="114">
        <f>BJ$17*Assumptions!$C115</f>
        <v>0</v>
      </c>
      <c r="BH58" s="114">
        <f>BJ$17*Assumptions!$C115</f>
        <v>0</v>
      </c>
      <c r="BI58" s="115">
        <f t="shared" si="18"/>
        <v>0</v>
      </c>
      <c r="BM58" t="s">
        <v>189</v>
      </c>
      <c r="BN58" s="114">
        <f>BQ$17*Assumptions!$C115</f>
        <v>0</v>
      </c>
      <c r="BO58" s="114">
        <f>BQ$17*Assumptions!$C115</f>
        <v>0</v>
      </c>
      <c r="BP58" s="115">
        <f t="shared" si="19"/>
        <v>0</v>
      </c>
    </row>
    <row r="59" spans="2:69" x14ac:dyDescent="0.35">
      <c r="B59" t="s">
        <v>190</v>
      </c>
      <c r="C59" s="114">
        <f>F$17*Assumptions!$C116</f>
        <v>1.8000048000000002</v>
      </c>
      <c r="D59" s="114">
        <f>F$17*Assumptions!$C116</f>
        <v>1.8000048000000002</v>
      </c>
      <c r="E59" s="115">
        <f t="shared" si="10"/>
        <v>21.600057600000003</v>
      </c>
      <c r="I59" t="s">
        <v>190</v>
      </c>
      <c r="J59" s="114">
        <f>M$17*Assumptions!$C116</f>
        <v>2.8800076800000003</v>
      </c>
      <c r="K59" s="114">
        <f>M$17*Assumptions!$C116</f>
        <v>2.8800076800000003</v>
      </c>
      <c r="L59" s="115">
        <f t="shared" si="11"/>
        <v>34.560092160000004</v>
      </c>
      <c r="P59" t="s">
        <v>190</v>
      </c>
      <c r="Q59" s="114">
        <f>T$17*Assumptions!$C116</f>
        <v>4.3200115199999995</v>
      </c>
      <c r="R59" s="114">
        <f>T$17*Assumptions!$C116</f>
        <v>4.3200115199999995</v>
      </c>
      <c r="S59" s="115">
        <f t="shared" si="12"/>
        <v>51.840138239999995</v>
      </c>
      <c r="W59" t="s">
        <v>190</v>
      </c>
      <c r="X59" s="114">
        <f>AA$17*Assumptions!$C116</f>
        <v>7.2000192000000007</v>
      </c>
      <c r="Y59" s="114">
        <f>AA$17*Assumptions!$C116</f>
        <v>7.2000192000000007</v>
      </c>
      <c r="Z59" s="115">
        <f t="shared" si="13"/>
        <v>86.400230400000012</v>
      </c>
      <c r="AD59" t="s">
        <v>190</v>
      </c>
      <c r="AE59" s="114">
        <f>AH$17*Assumptions!$C116</f>
        <v>0</v>
      </c>
      <c r="AF59" s="114">
        <f>AH$17*Assumptions!$C116</f>
        <v>0</v>
      </c>
      <c r="AG59" s="115">
        <f t="shared" si="14"/>
        <v>0</v>
      </c>
      <c r="AK59" t="s">
        <v>190</v>
      </c>
      <c r="AL59" s="114">
        <f>AO$17*Assumptions!$C116</f>
        <v>0</v>
      </c>
      <c r="AM59" s="114">
        <f>AO$17*Assumptions!$C116</f>
        <v>0</v>
      </c>
      <c r="AN59" s="115">
        <f t="shared" si="15"/>
        <v>0</v>
      </c>
      <c r="AR59" t="s">
        <v>190</v>
      </c>
      <c r="AS59" s="114">
        <f>AV$17*Assumptions!$C116</f>
        <v>0</v>
      </c>
      <c r="AT59" s="114">
        <f>AV$17*Assumptions!$C116</f>
        <v>0</v>
      </c>
      <c r="AU59" s="115">
        <f t="shared" si="16"/>
        <v>0</v>
      </c>
      <c r="AY59" t="s">
        <v>190</v>
      </c>
      <c r="AZ59" s="114">
        <f>BC$17*Assumptions!$C116</f>
        <v>0</v>
      </c>
      <c r="BA59" s="114">
        <f>BC$17*Assumptions!$C116</f>
        <v>0</v>
      </c>
      <c r="BB59" s="115">
        <f t="shared" si="17"/>
        <v>0</v>
      </c>
      <c r="BF59" t="s">
        <v>190</v>
      </c>
      <c r="BG59" s="114">
        <f>BJ$17*Assumptions!$C116</f>
        <v>0</v>
      </c>
      <c r="BH59" s="114">
        <f>BJ$17*Assumptions!$C116</f>
        <v>0</v>
      </c>
      <c r="BI59" s="115">
        <f t="shared" si="18"/>
        <v>0</v>
      </c>
      <c r="BM59" t="s">
        <v>190</v>
      </c>
      <c r="BN59" s="114">
        <f>BQ$17*Assumptions!$C116</f>
        <v>0</v>
      </c>
      <c r="BO59" s="114">
        <f>BQ$17*Assumptions!$C116</f>
        <v>0</v>
      </c>
      <c r="BP59" s="115">
        <f t="shared" si="19"/>
        <v>0</v>
      </c>
    </row>
    <row r="60" spans="2:69" x14ac:dyDescent="0.35">
      <c r="B60" t="s">
        <v>191</v>
      </c>
      <c r="C60" s="114">
        <f>F$17*Assumptions!$I118</f>
        <v>1.3634137000000002</v>
      </c>
      <c r="D60" s="114">
        <f>F$17*Assumptions!$I118</f>
        <v>1.3634137000000002</v>
      </c>
      <c r="E60" s="120">
        <f t="shared" si="10"/>
        <v>16.3609644</v>
      </c>
      <c r="I60" t="s">
        <v>191</v>
      </c>
      <c r="J60" s="114">
        <f>M$17*Assumptions!$I118</f>
        <v>2.1814619200000003</v>
      </c>
      <c r="K60" s="114">
        <f>M$17*Assumptions!$I118</f>
        <v>2.1814619200000003</v>
      </c>
      <c r="L60" s="120">
        <f t="shared" si="11"/>
        <v>26.177543040000003</v>
      </c>
      <c r="P60" t="s">
        <v>191</v>
      </c>
      <c r="Q60" s="114">
        <f>T$17*Assumptions!$I118</f>
        <v>3.27219288</v>
      </c>
      <c r="R60" s="114">
        <f>T$17*Assumptions!$I118</f>
        <v>3.27219288</v>
      </c>
      <c r="S60" s="120">
        <f t="shared" si="12"/>
        <v>39.266314559999998</v>
      </c>
      <c r="W60" t="s">
        <v>191</v>
      </c>
      <c r="X60" s="114">
        <f>AA$17*Assumptions!$I118</f>
        <v>5.4536548000000007</v>
      </c>
      <c r="Y60" s="114">
        <f>AA$17*Assumptions!$I118</f>
        <v>5.4536548000000007</v>
      </c>
      <c r="Z60" s="120">
        <f t="shared" si="13"/>
        <v>65.443857600000001</v>
      </c>
      <c r="AD60" t="s">
        <v>191</v>
      </c>
      <c r="AE60" s="114">
        <f>AH$17*Assumptions!$I118</f>
        <v>0</v>
      </c>
      <c r="AF60" s="114">
        <f>AH$17*Assumptions!$I118</f>
        <v>0</v>
      </c>
      <c r="AG60" s="120">
        <f t="shared" si="14"/>
        <v>0</v>
      </c>
      <c r="AK60" t="s">
        <v>191</v>
      </c>
      <c r="AL60" s="114">
        <f>AO$17*Assumptions!$I118</f>
        <v>0</v>
      </c>
      <c r="AM60" s="114">
        <f>AO$17*Assumptions!$I118</f>
        <v>0</v>
      </c>
      <c r="AN60" s="120">
        <f t="shared" si="15"/>
        <v>0</v>
      </c>
      <c r="AR60" t="s">
        <v>191</v>
      </c>
      <c r="AS60" s="114">
        <f>AV$17*Assumptions!$I118</f>
        <v>0</v>
      </c>
      <c r="AT60" s="114">
        <f>AV$17*Assumptions!$I118</f>
        <v>0</v>
      </c>
      <c r="AU60" s="120">
        <f t="shared" si="16"/>
        <v>0</v>
      </c>
      <c r="AY60" t="s">
        <v>191</v>
      </c>
      <c r="AZ60" s="114">
        <f>BC$17*Assumptions!$I118</f>
        <v>0</v>
      </c>
      <c r="BA60" s="114">
        <f>BC$17*Assumptions!$I118</f>
        <v>0</v>
      </c>
      <c r="BB60" s="120">
        <f t="shared" si="17"/>
        <v>0</v>
      </c>
      <c r="BF60" t="s">
        <v>191</v>
      </c>
      <c r="BG60" s="114">
        <f>BJ$17*Assumptions!$I118</f>
        <v>0</v>
      </c>
      <c r="BH60" s="114">
        <f>BJ$17*Assumptions!$I118</f>
        <v>0</v>
      </c>
      <c r="BI60" s="120">
        <f t="shared" si="18"/>
        <v>0</v>
      </c>
      <c r="BM60" t="s">
        <v>191</v>
      </c>
      <c r="BN60" s="114">
        <f>BQ$17*Assumptions!$I118</f>
        <v>0</v>
      </c>
      <c r="BO60" s="114">
        <f>BQ$17*Assumptions!$I118</f>
        <v>0</v>
      </c>
      <c r="BP60" s="120">
        <f t="shared" si="19"/>
        <v>0</v>
      </c>
    </row>
    <row r="61" spans="2:69" x14ac:dyDescent="0.35">
      <c r="B61" s="9" t="s">
        <v>233</v>
      </c>
      <c r="C61" s="89">
        <f>SUM(C54:C60)</f>
        <v>38.181284900000009</v>
      </c>
      <c r="D61" s="89">
        <f>SUM(D54:D60)</f>
        <v>38.181284900000009</v>
      </c>
      <c r="E61" s="89">
        <f>SUM(E54:E60)</f>
        <v>458.17541880000005</v>
      </c>
      <c r="I61" s="9" t="s">
        <v>233</v>
      </c>
      <c r="J61" s="89">
        <f>SUM(J54:J60)</f>
        <v>61.090055840000005</v>
      </c>
      <c r="K61" s="89">
        <f>SUM(K54:K60)</f>
        <v>61.090055840000005</v>
      </c>
      <c r="L61" s="89">
        <f>SUM(L54:L60)</f>
        <v>733.08067008000012</v>
      </c>
      <c r="P61" s="9" t="s">
        <v>233</v>
      </c>
      <c r="Q61" s="89">
        <f>SUM(Q54:Q60)</f>
        <v>91.635083760000001</v>
      </c>
      <c r="R61" s="89">
        <f>SUM(R54:R60)</f>
        <v>91.635083760000001</v>
      </c>
      <c r="S61" s="89">
        <f>SUM(S54:S60)</f>
        <v>1099.6210051200001</v>
      </c>
      <c r="W61" s="9" t="s">
        <v>233</v>
      </c>
      <c r="X61" s="89">
        <f>SUM(X54:X60)</f>
        <v>152.72513960000003</v>
      </c>
      <c r="Y61" s="89">
        <f>SUM(Y54:Y60)</f>
        <v>152.72513960000003</v>
      </c>
      <c r="Z61" s="89">
        <f>SUM(Z54:Z60)</f>
        <v>1832.7016752000002</v>
      </c>
      <c r="AD61" s="9" t="s">
        <v>233</v>
      </c>
      <c r="AE61" s="89">
        <f>SUM(AE54:AE60)</f>
        <v>0</v>
      </c>
      <c r="AF61" s="89">
        <f>SUM(AF54:AF60)</f>
        <v>0</v>
      </c>
      <c r="AG61" s="89">
        <f>SUM(AG54:AG60)</f>
        <v>0</v>
      </c>
      <c r="AK61" s="9" t="s">
        <v>233</v>
      </c>
      <c r="AL61" s="89">
        <f>SUM(AL54:AL60)</f>
        <v>0</v>
      </c>
      <c r="AM61" s="89">
        <f>SUM(AM54:AM60)</f>
        <v>0</v>
      </c>
      <c r="AN61" s="89">
        <f>SUM(AN54:AN60)</f>
        <v>0</v>
      </c>
      <c r="AR61" s="9" t="s">
        <v>233</v>
      </c>
      <c r="AS61" s="89">
        <f>SUM(AS54:AS60)</f>
        <v>0</v>
      </c>
      <c r="AT61" s="89">
        <f>SUM(AT54:AT60)</f>
        <v>0</v>
      </c>
      <c r="AU61" s="89">
        <f>SUM(AU54:AU60)</f>
        <v>0</v>
      </c>
      <c r="AY61" s="9" t="s">
        <v>233</v>
      </c>
      <c r="AZ61" s="89">
        <f>SUM(AZ54:AZ60)</f>
        <v>0</v>
      </c>
      <c r="BA61" s="89">
        <f>SUM(BA54:BA60)</f>
        <v>0</v>
      </c>
      <c r="BB61" s="89">
        <f>SUM(BB54:BB60)</f>
        <v>0</v>
      </c>
      <c r="BF61" s="9" t="s">
        <v>233</v>
      </c>
      <c r="BG61" s="89">
        <f>SUM(BG54:BG60)</f>
        <v>0</v>
      </c>
      <c r="BH61" s="89">
        <f>SUM(BH54:BH60)</f>
        <v>0</v>
      </c>
      <c r="BI61" s="89">
        <f>SUM(BI54:BI60)</f>
        <v>0</v>
      </c>
      <c r="BM61" s="9" t="s">
        <v>233</v>
      </c>
      <c r="BN61" s="89">
        <f>SUM(BN54:BN60)</f>
        <v>0</v>
      </c>
      <c r="BO61" s="89">
        <f>SUM(BO54:BO60)</f>
        <v>0</v>
      </c>
      <c r="BP61" s="89">
        <f>SUM(BP54:BP60)</f>
        <v>0</v>
      </c>
    </row>
    <row r="62" spans="2:69" x14ac:dyDescent="0.35">
      <c r="B62" s="9"/>
      <c r="C62" s="117" t="s">
        <v>192</v>
      </c>
      <c r="D62" s="118">
        <v>2.4066000000000001E-2</v>
      </c>
      <c r="E62" s="119" t="s">
        <v>235</v>
      </c>
      <c r="I62" s="9"/>
      <c r="J62" s="117" t="s">
        <v>192</v>
      </c>
      <c r="K62" s="118">
        <v>2.4066000000000001E-2</v>
      </c>
      <c r="L62" s="119" t="s">
        <v>235</v>
      </c>
      <c r="P62" s="9"/>
      <c r="Q62" s="117" t="s">
        <v>192</v>
      </c>
      <c r="R62" s="118">
        <v>2.4066000000000001E-2</v>
      </c>
      <c r="S62" s="119" t="s">
        <v>235</v>
      </c>
      <c r="W62" s="9"/>
      <c r="X62" s="117" t="s">
        <v>192</v>
      </c>
      <c r="Y62" s="118">
        <v>2.4066000000000001E-2</v>
      </c>
      <c r="Z62" s="119" t="s">
        <v>235</v>
      </c>
      <c r="AD62" s="9"/>
      <c r="AE62" s="117" t="s">
        <v>192</v>
      </c>
      <c r="AF62" s="118">
        <v>2.4066000000000001E-2</v>
      </c>
      <c r="AG62" s="119" t="s">
        <v>235</v>
      </c>
      <c r="AK62" s="9"/>
      <c r="AL62" s="117" t="s">
        <v>192</v>
      </c>
      <c r="AM62" s="118">
        <v>2.4066000000000001E-2</v>
      </c>
      <c r="AN62" s="119" t="s">
        <v>235</v>
      </c>
      <c r="AR62" s="9"/>
      <c r="AS62" s="117" t="s">
        <v>192</v>
      </c>
      <c r="AT62" s="118">
        <v>2.4066000000000001E-2</v>
      </c>
      <c r="AU62" s="119" t="s">
        <v>235</v>
      </c>
      <c r="AY62" s="9"/>
      <c r="AZ62" s="117" t="s">
        <v>192</v>
      </c>
      <c r="BA62" s="118">
        <v>2.4066000000000001E-2</v>
      </c>
      <c r="BB62" s="119" t="s">
        <v>235</v>
      </c>
      <c r="BF62" s="9"/>
      <c r="BG62" s="117" t="s">
        <v>192</v>
      </c>
      <c r="BH62" s="118">
        <v>2.4066000000000001E-2</v>
      </c>
      <c r="BI62" s="119" t="s">
        <v>235</v>
      </c>
      <c r="BM62" s="9"/>
      <c r="BN62" s="117" t="s">
        <v>192</v>
      </c>
      <c r="BO62" s="118">
        <v>2.4066000000000001E-2</v>
      </c>
      <c r="BP62" s="119" t="s">
        <v>235</v>
      </c>
    </row>
    <row r="63" spans="2:69" x14ac:dyDescent="0.35">
      <c r="B63" s="90" t="s">
        <v>238</v>
      </c>
      <c r="C63" s="121">
        <f>C61*$D$62</f>
        <v>0.91887080240340024</v>
      </c>
      <c r="D63" s="121">
        <f>D61*$D$62</f>
        <v>0.91887080240340024</v>
      </c>
      <c r="E63" s="120">
        <f>(C63*4)+(D63*8)</f>
        <v>11.026449628840803</v>
      </c>
      <c r="I63" s="90" t="s">
        <v>238</v>
      </c>
      <c r="J63" s="121">
        <f>J61*$D$62</f>
        <v>1.4701932838454401</v>
      </c>
      <c r="K63" s="121">
        <f>K61*$D$62</f>
        <v>1.4701932838454401</v>
      </c>
      <c r="L63" s="120">
        <f>(J63*4)+(K63*8)</f>
        <v>17.642319406145283</v>
      </c>
      <c r="P63" s="90" t="s">
        <v>238</v>
      </c>
      <c r="Q63" s="121">
        <f>Q61*$D$62</f>
        <v>2.20528992576816</v>
      </c>
      <c r="R63" s="121">
        <f>R61*$D$62</f>
        <v>2.20528992576816</v>
      </c>
      <c r="S63" s="120">
        <f>(Q63*4)+(R63*8)</f>
        <v>26.463479109217921</v>
      </c>
      <c r="W63" s="90" t="s">
        <v>238</v>
      </c>
      <c r="X63" s="121">
        <f>X61*$D$62</f>
        <v>3.675483209613601</v>
      </c>
      <c r="Y63" s="121">
        <f>Y61*$D$62</f>
        <v>3.675483209613601</v>
      </c>
      <c r="Z63" s="120">
        <f>(X63*4)+(Y63*8)</f>
        <v>44.105798515363212</v>
      </c>
      <c r="AD63" s="90" t="s">
        <v>238</v>
      </c>
      <c r="AE63" s="121">
        <f>AE61*$D$62</f>
        <v>0</v>
      </c>
      <c r="AF63" s="121">
        <f>AF61*$D$62</f>
        <v>0</v>
      </c>
      <c r="AG63" s="120">
        <f>(AE63*4)+(AF63*8)</f>
        <v>0</v>
      </c>
      <c r="AK63" s="90" t="s">
        <v>238</v>
      </c>
      <c r="AL63" s="121">
        <f>AL61*$D$62</f>
        <v>0</v>
      </c>
      <c r="AM63" s="121">
        <f>AM61*$D$62</f>
        <v>0</v>
      </c>
      <c r="AN63" s="120">
        <f>(AL63*4)+(AM63*8)</f>
        <v>0</v>
      </c>
      <c r="AR63" s="90" t="s">
        <v>238</v>
      </c>
      <c r="AS63" s="121">
        <f>AS61*$D$62</f>
        <v>0</v>
      </c>
      <c r="AT63" s="121">
        <f>AT61*$D$62</f>
        <v>0</v>
      </c>
      <c r="AU63" s="120">
        <f>(AS63*4)+(AT63*8)</f>
        <v>0</v>
      </c>
      <c r="AY63" s="90" t="s">
        <v>238</v>
      </c>
      <c r="AZ63" s="121">
        <f>AZ61*$D$62</f>
        <v>0</v>
      </c>
      <c r="BA63" s="121">
        <f>BA61*$D$62</f>
        <v>0</v>
      </c>
      <c r="BB63" s="120">
        <f>(AZ63*4)+(BA63*8)</f>
        <v>0</v>
      </c>
      <c r="BF63" s="90" t="s">
        <v>238</v>
      </c>
      <c r="BG63" s="121">
        <f>BG61*$D$62</f>
        <v>0</v>
      </c>
      <c r="BH63" s="121">
        <f>BH61*$D$62</f>
        <v>0</v>
      </c>
      <c r="BI63" s="120">
        <f>(BG63*4)+(BH63*8)</f>
        <v>0</v>
      </c>
      <c r="BM63" s="90" t="s">
        <v>238</v>
      </c>
      <c r="BN63" s="121">
        <f>BN61*$D$62</f>
        <v>0</v>
      </c>
      <c r="BO63" s="121">
        <f>BO61*$D$62</f>
        <v>0</v>
      </c>
      <c r="BP63" s="120">
        <f>(BN63*4)+(BO63*8)</f>
        <v>0</v>
      </c>
    </row>
    <row r="64" spans="2:69" x14ac:dyDescent="0.35">
      <c r="B64" s="9" t="s">
        <v>239</v>
      </c>
      <c r="C64" s="89">
        <f>+C61+C63</f>
        <v>39.100155702403406</v>
      </c>
      <c r="D64" s="89">
        <f>+D61+D63</f>
        <v>39.100155702403406</v>
      </c>
      <c r="E64" s="89">
        <f>+E61+E63</f>
        <v>469.20186842884084</v>
      </c>
      <c r="I64" s="9" t="s">
        <v>239</v>
      </c>
      <c r="J64" s="89">
        <f>+J61+J63</f>
        <v>62.560249123845445</v>
      </c>
      <c r="K64" s="89">
        <f>+K61+K63</f>
        <v>62.560249123845445</v>
      </c>
      <c r="L64" s="89">
        <f>+L61+L63</f>
        <v>750.72298948614537</v>
      </c>
      <c r="P64" s="9" t="s">
        <v>239</v>
      </c>
      <c r="Q64" s="89">
        <f>+Q61+Q63</f>
        <v>93.840373685768157</v>
      </c>
      <c r="R64" s="89">
        <f>+R61+R63</f>
        <v>93.840373685768157</v>
      </c>
      <c r="S64" s="89">
        <f>+S61+S63</f>
        <v>1126.0844842292179</v>
      </c>
      <c r="W64" s="9" t="s">
        <v>239</v>
      </c>
      <c r="X64" s="89">
        <f>+X61+X63</f>
        <v>156.40062280961362</v>
      </c>
      <c r="Y64" s="89">
        <f>+Y61+Y63</f>
        <v>156.40062280961362</v>
      </c>
      <c r="Z64" s="89">
        <f>+Z61+Z63</f>
        <v>1876.8074737153634</v>
      </c>
      <c r="AD64" s="9" t="s">
        <v>239</v>
      </c>
      <c r="AE64" s="89">
        <f>+AE61+AE63</f>
        <v>0</v>
      </c>
      <c r="AF64" s="89">
        <f>+AF61+AF63</f>
        <v>0</v>
      </c>
      <c r="AG64" s="89">
        <f>+AG61+AG63</f>
        <v>0</v>
      </c>
      <c r="AK64" s="9" t="s">
        <v>239</v>
      </c>
      <c r="AL64" s="89">
        <f>+AL61+AL63</f>
        <v>0</v>
      </c>
      <c r="AM64" s="89">
        <f>+AM61+AM63</f>
        <v>0</v>
      </c>
      <c r="AN64" s="89">
        <f>+AN61+AN63</f>
        <v>0</v>
      </c>
      <c r="AR64" s="9" t="s">
        <v>239</v>
      </c>
      <c r="AS64" s="89">
        <f>+AS61+AS63</f>
        <v>0</v>
      </c>
      <c r="AT64" s="89">
        <f>+AT61+AT63</f>
        <v>0</v>
      </c>
      <c r="AU64" s="89">
        <f>+AU61+AU63</f>
        <v>0</v>
      </c>
      <c r="AY64" s="9" t="s">
        <v>239</v>
      </c>
      <c r="AZ64" s="89">
        <f>+AZ61+AZ63</f>
        <v>0</v>
      </c>
      <c r="BA64" s="89">
        <f>+BA61+BA63</f>
        <v>0</v>
      </c>
      <c r="BB64" s="89">
        <f>+BB61+BB63</f>
        <v>0</v>
      </c>
      <c r="BF64" s="9" t="s">
        <v>239</v>
      </c>
      <c r="BG64" s="89">
        <f>+BG61+BG63</f>
        <v>0</v>
      </c>
      <c r="BH64" s="89">
        <f>+BH61+BH63</f>
        <v>0</v>
      </c>
      <c r="BI64" s="89">
        <f>+BI61+BI63</f>
        <v>0</v>
      </c>
      <c r="BM64" s="9" t="s">
        <v>239</v>
      </c>
      <c r="BN64" s="89">
        <f>+BN61+BN63</f>
        <v>0</v>
      </c>
      <c r="BO64" s="89">
        <f>+BO61+BO63</f>
        <v>0</v>
      </c>
      <c r="BP64" s="89">
        <f>+BP61+BP63</f>
        <v>0</v>
      </c>
    </row>
    <row r="65" spans="2:69" x14ac:dyDescent="0.35">
      <c r="C65" s="117" t="s">
        <v>193</v>
      </c>
      <c r="D65" s="118">
        <v>8.8749999999999996E-2</v>
      </c>
      <c r="E65" s="119" t="s">
        <v>194</v>
      </c>
      <c r="J65" s="117" t="s">
        <v>193</v>
      </c>
      <c r="K65" s="118">
        <v>8.8749999999999996E-2</v>
      </c>
      <c r="L65" s="119" t="s">
        <v>194</v>
      </c>
      <c r="Q65" s="117" t="s">
        <v>193</v>
      </c>
      <c r="R65" s="118">
        <v>8.8749999999999996E-2</v>
      </c>
      <c r="S65" s="119" t="s">
        <v>194</v>
      </c>
      <c r="X65" s="117" t="s">
        <v>193</v>
      </c>
      <c r="Y65" s="118">
        <v>8.8749999999999996E-2</v>
      </c>
      <c r="Z65" s="119" t="s">
        <v>194</v>
      </c>
      <c r="AE65" s="117" t="s">
        <v>193</v>
      </c>
      <c r="AF65" s="118">
        <v>8.8749999999999996E-2</v>
      </c>
      <c r="AG65" s="119" t="s">
        <v>194</v>
      </c>
      <c r="AL65" s="117" t="s">
        <v>193</v>
      </c>
      <c r="AM65" s="118">
        <v>8.8749999999999996E-2</v>
      </c>
      <c r="AN65" s="119" t="s">
        <v>194</v>
      </c>
      <c r="AS65" s="117" t="s">
        <v>193</v>
      </c>
      <c r="AT65" s="118">
        <v>8.8749999999999996E-2</v>
      </c>
      <c r="AU65" s="119" t="s">
        <v>194</v>
      </c>
      <c r="AZ65" s="117" t="s">
        <v>193</v>
      </c>
      <c r="BA65" s="118">
        <v>8.8749999999999996E-2</v>
      </c>
      <c r="BB65" s="119" t="s">
        <v>194</v>
      </c>
      <c r="BG65" s="117" t="s">
        <v>193</v>
      </c>
      <c r="BH65" s="118">
        <v>8.8749999999999996E-2</v>
      </c>
      <c r="BI65" s="119" t="s">
        <v>194</v>
      </c>
      <c r="BN65" s="117" t="s">
        <v>193</v>
      </c>
      <c r="BO65" s="118">
        <v>8.8749999999999996E-2</v>
      </c>
      <c r="BP65" s="119" t="s">
        <v>194</v>
      </c>
    </row>
    <row r="66" spans="2:69" x14ac:dyDescent="0.35">
      <c r="B66" s="9" t="s">
        <v>240</v>
      </c>
      <c r="C66" s="89">
        <f>+C51+C64</f>
        <v>156.36294683829081</v>
      </c>
      <c r="D66" s="89">
        <f>+D51+D64</f>
        <v>135.52047165465081</v>
      </c>
      <c r="E66" s="89">
        <f>+E51+E64</f>
        <v>1709.6155605903696</v>
      </c>
      <c r="I66" s="9" t="s">
        <v>240</v>
      </c>
      <c r="J66" s="89">
        <f>+J51+J64</f>
        <v>232.11009348926527</v>
      </c>
      <c r="K66" s="89">
        <f>+K51+K64</f>
        <v>198.76213319544129</v>
      </c>
      <c r="L66" s="89">
        <f>+L51+L64</f>
        <v>2518.5374395205918</v>
      </c>
      <c r="P66" s="9" t="s">
        <v>240</v>
      </c>
      <c r="Q66" s="89">
        <f>+Q51+Q64</f>
        <v>333.10628902389794</v>
      </c>
      <c r="R66" s="89">
        <f>+R51+R64</f>
        <v>283.08434858316195</v>
      </c>
      <c r="S66" s="89">
        <f>+S51+S64</f>
        <v>3597.0999447608874</v>
      </c>
      <c r="W66" s="9" t="s">
        <v>240</v>
      </c>
      <c r="X66" s="89">
        <f>+X51+X64</f>
        <v>535.09868009316324</v>
      </c>
      <c r="Y66" s="89">
        <f>+Y51+Y64</f>
        <v>451.72877935860322</v>
      </c>
      <c r="Z66" s="89">
        <f>+Z51+Z64</f>
        <v>5754.2249552414787</v>
      </c>
      <c r="AD66" s="9" t="s">
        <v>240</v>
      </c>
      <c r="AE66" s="89">
        <f>+AE51+AE64</f>
        <v>30.117702420000004</v>
      </c>
      <c r="AF66" s="89">
        <f>+AF51+AF64</f>
        <v>30.117702420000004</v>
      </c>
      <c r="AG66" s="89">
        <f>+AG51+AG64</f>
        <v>361.41242904000006</v>
      </c>
      <c r="AK66" s="9" t="s">
        <v>240</v>
      </c>
      <c r="AL66" s="89">
        <f>+AL51+AL64</f>
        <v>30.117702420000004</v>
      </c>
      <c r="AM66" s="89">
        <f>+AM51+AM64</f>
        <v>30.117702420000004</v>
      </c>
      <c r="AN66" s="89">
        <f>+AN51+AN64</f>
        <v>361.41242904000006</v>
      </c>
      <c r="AR66" s="9" t="s">
        <v>240</v>
      </c>
      <c r="AS66" s="89">
        <f>+AS51+AS64</f>
        <v>30.117702420000004</v>
      </c>
      <c r="AT66" s="89">
        <f>+AT51+AT64</f>
        <v>30.117702420000004</v>
      </c>
      <c r="AU66" s="89">
        <f>+AU51+AU64</f>
        <v>361.41242904000006</v>
      </c>
      <c r="AY66" s="9" t="s">
        <v>240</v>
      </c>
      <c r="AZ66" s="89">
        <f>+AZ51+AZ64</f>
        <v>30.117702420000004</v>
      </c>
      <c r="BA66" s="89">
        <f>+BA51+BA64</f>
        <v>30.117702420000004</v>
      </c>
      <c r="BB66" s="89">
        <f>+BB51+BB64</f>
        <v>361.41242904000006</v>
      </c>
      <c r="BF66" s="9" t="s">
        <v>240</v>
      </c>
      <c r="BG66" s="89">
        <f>+BG51+BG64</f>
        <v>30.117702420000004</v>
      </c>
      <c r="BH66" s="89">
        <f>+BH51+BH64</f>
        <v>30.117702420000004</v>
      </c>
      <c r="BI66" s="89">
        <f>+BI51+BI64</f>
        <v>361.41242904000006</v>
      </c>
      <c r="BM66" s="9" t="s">
        <v>240</v>
      </c>
      <c r="BN66" s="89">
        <f>+BN51+BN64</f>
        <v>30.117702420000004</v>
      </c>
      <c r="BO66" s="89">
        <f>+BO51+BO64</f>
        <v>30.117702420000004</v>
      </c>
      <c r="BP66" s="89">
        <f>+BP51+BP64</f>
        <v>361.41242904000006</v>
      </c>
    </row>
    <row r="67" spans="2:69" x14ac:dyDescent="0.35">
      <c r="B67" s="9" t="s">
        <v>241</v>
      </c>
      <c r="C67" s="121">
        <f>C66*$D$65</f>
        <v>13.877211531898309</v>
      </c>
      <c r="D67" s="121">
        <f>D66*$D$65</f>
        <v>12.027441859350258</v>
      </c>
      <c r="E67" s="120">
        <f>(C67*4)+(D67*8)</f>
        <v>151.72838100239531</v>
      </c>
      <c r="I67" s="9" t="s">
        <v>241</v>
      </c>
      <c r="J67" s="121">
        <f>J66*$D$65</f>
        <v>20.59977079717229</v>
      </c>
      <c r="K67" s="121">
        <f>K66*$D$65</f>
        <v>17.640139321095415</v>
      </c>
      <c r="L67" s="120">
        <f>(J67*4)+(K67*8)</f>
        <v>223.52019775745248</v>
      </c>
      <c r="P67" s="9" t="s">
        <v>241</v>
      </c>
      <c r="Q67" s="121">
        <f>Q66*$D$65</f>
        <v>29.563183150870941</v>
      </c>
      <c r="R67" s="121">
        <f>R66*$D$65</f>
        <v>25.123735936755622</v>
      </c>
      <c r="S67" s="120">
        <f>(Q67*4)+(R67*8)</f>
        <v>319.24262009752874</v>
      </c>
      <c r="W67" s="9" t="s">
        <v>241</v>
      </c>
      <c r="X67" s="121">
        <f>X66*$D$65</f>
        <v>47.490007858268235</v>
      </c>
      <c r="Y67" s="121">
        <f>Y66*$D$65</f>
        <v>40.09092916807603</v>
      </c>
      <c r="Z67" s="120">
        <f>(X67*4)+(Y67*8)</f>
        <v>510.68746477768116</v>
      </c>
      <c r="AD67" s="9" t="s">
        <v>241</v>
      </c>
      <c r="AE67" s="121">
        <f>AE66*$D$65</f>
        <v>2.6729460897750004</v>
      </c>
      <c r="AF67" s="121">
        <f>AF66*$D$65</f>
        <v>2.6729460897750004</v>
      </c>
      <c r="AG67" s="120">
        <f>(AE67*4)+(AF67*8)</f>
        <v>32.075353077300008</v>
      </c>
      <c r="AK67" s="9" t="s">
        <v>241</v>
      </c>
      <c r="AL67" s="121">
        <f>AL66*$D$65</f>
        <v>2.6729460897750004</v>
      </c>
      <c r="AM67" s="121">
        <f>AM66*$D$65</f>
        <v>2.6729460897750004</v>
      </c>
      <c r="AN67" s="120">
        <f>(AL67*4)+(AM67*8)</f>
        <v>32.075353077300008</v>
      </c>
      <c r="AR67" s="9" t="s">
        <v>241</v>
      </c>
      <c r="AS67" s="121">
        <f>AS66*$D$65</f>
        <v>2.6729460897750004</v>
      </c>
      <c r="AT67" s="121">
        <f>AT66*$D$65</f>
        <v>2.6729460897750004</v>
      </c>
      <c r="AU67" s="120">
        <f>(AS67*4)+(AT67*8)</f>
        <v>32.075353077300008</v>
      </c>
      <c r="AY67" s="9" t="s">
        <v>241</v>
      </c>
      <c r="AZ67" s="121">
        <f>AZ66*$D$65</f>
        <v>2.6729460897750004</v>
      </c>
      <c r="BA67" s="121">
        <f>BA66*$D$65</f>
        <v>2.6729460897750004</v>
      </c>
      <c r="BB67" s="120">
        <f>(AZ67*4)+(BA67*8)</f>
        <v>32.075353077300008</v>
      </c>
      <c r="BF67" s="9" t="s">
        <v>241</v>
      </c>
      <c r="BG67" s="121">
        <f>BG66*$D$65</f>
        <v>2.6729460897750004</v>
      </c>
      <c r="BH67" s="121">
        <f>BH66*$D$65</f>
        <v>2.6729460897750004</v>
      </c>
      <c r="BI67" s="120">
        <f>(BG67*4)+(BH67*8)</f>
        <v>32.075353077300008</v>
      </c>
      <c r="BM67" s="9" t="s">
        <v>241</v>
      </c>
      <c r="BN67" s="121">
        <f>BN66*$D$65</f>
        <v>2.6729460897750004</v>
      </c>
      <c r="BO67" s="121">
        <f>BO66*$D$65</f>
        <v>2.6729460897750004</v>
      </c>
      <c r="BP67" s="120">
        <f>(BN67*4)+(BO67*8)</f>
        <v>32.075353077300008</v>
      </c>
    </row>
    <row r="68" spans="2:69" x14ac:dyDescent="0.35">
      <c r="B68" s="9" t="s">
        <v>242</v>
      </c>
      <c r="C68" s="122">
        <f>SUM(C66:C67)</f>
        <v>170.24015837018911</v>
      </c>
      <c r="D68" s="122">
        <f>SUM(D66:D67)</f>
        <v>147.54791351400107</v>
      </c>
      <c r="E68" s="122">
        <f>SUM(E66:E67)</f>
        <v>1861.3439415927648</v>
      </c>
      <c r="I68" s="9" t="s">
        <v>242</v>
      </c>
      <c r="J68" s="122">
        <f>SUM(J66:J67)</f>
        <v>252.70986428643755</v>
      </c>
      <c r="K68" s="122">
        <f>SUM(K66:K67)</f>
        <v>216.4022725165367</v>
      </c>
      <c r="L68" s="122">
        <f>SUM(L66:L67)</f>
        <v>2742.0576372780442</v>
      </c>
      <c r="P68" s="9" t="s">
        <v>242</v>
      </c>
      <c r="Q68" s="122">
        <f>SUM(Q66:Q67)</f>
        <v>362.66947217476888</v>
      </c>
      <c r="R68" s="122">
        <f>SUM(R66:R67)</f>
        <v>308.20808451991758</v>
      </c>
      <c r="S68" s="122">
        <f>SUM(S66:S67)</f>
        <v>3916.3425648584162</v>
      </c>
      <c r="W68" s="9" t="s">
        <v>242</v>
      </c>
      <c r="X68" s="122">
        <f>SUM(X66:X67)</f>
        <v>582.58868795143144</v>
      </c>
      <c r="Y68" s="122">
        <f>SUM(Y66:Y67)</f>
        <v>491.81970852667928</v>
      </c>
      <c r="Z68" s="122">
        <f>SUM(Z66:Z67)</f>
        <v>6264.91242001916</v>
      </c>
      <c r="AD68" s="9" t="s">
        <v>242</v>
      </c>
      <c r="AE68" s="122">
        <f>SUM(AE66:AE67)</f>
        <v>32.790648509775004</v>
      </c>
      <c r="AF68" s="122">
        <f>SUM(AF66:AF67)</f>
        <v>32.790648509775004</v>
      </c>
      <c r="AG68" s="122">
        <f>SUM(AG66:AG67)</f>
        <v>393.48778211730007</v>
      </c>
      <c r="AK68" s="9" t="s">
        <v>242</v>
      </c>
      <c r="AL68" s="122">
        <f>SUM(AL66:AL67)</f>
        <v>32.790648509775004</v>
      </c>
      <c r="AM68" s="122">
        <f>SUM(AM66:AM67)</f>
        <v>32.790648509775004</v>
      </c>
      <c r="AN68" s="122">
        <f>SUM(AN66:AN67)</f>
        <v>393.48778211730007</v>
      </c>
      <c r="AR68" s="9" t="s">
        <v>242</v>
      </c>
      <c r="AS68" s="122">
        <f>SUM(AS66:AS67)</f>
        <v>32.790648509775004</v>
      </c>
      <c r="AT68" s="122">
        <f>SUM(AT66:AT67)</f>
        <v>32.790648509775004</v>
      </c>
      <c r="AU68" s="122">
        <f>SUM(AU66:AU67)</f>
        <v>393.48778211730007</v>
      </c>
      <c r="AY68" s="9" t="s">
        <v>242</v>
      </c>
      <c r="AZ68" s="122">
        <f>SUM(AZ66:AZ67)</f>
        <v>32.790648509775004</v>
      </c>
      <c r="BA68" s="122">
        <f>SUM(BA66:BA67)</f>
        <v>32.790648509775004</v>
      </c>
      <c r="BB68" s="122">
        <f>SUM(BB66:BB67)</f>
        <v>393.48778211730007</v>
      </c>
      <c r="BF68" s="9" t="s">
        <v>242</v>
      </c>
      <c r="BG68" s="122">
        <f>SUM(BG66:BG67)</f>
        <v>32.790648509775004</v>
      </c>
      <c r="BH68" s="122">
        <f>SUM(BH66:BH67)</f>
        <v>32.790648509775004</v>
      </c>
      <c r="BI68" s="122">
        <f>SUM(BI66:BI67)</f>
        <v>393.48778211730007</v>
      </c>
      <c r="BM68" s="9" t="s">
        <v>242</v>
      </c>
      <c r="BN68" s="122">
        <f>SUM(BN66:BN67)</f>
        <v>32.790648509775004</v>
      </c>
      <c r="BO68" s="122">
        <f>SUM(BO66:BO67)</f>
        <v>32.790648509775004</v>
      </c>
      <c r="BP68" s="122">
        <f>SUM(BP66:BP67)</f>
        <v>393.48778211730007</v>
      </c>
    </row>
    <row r="69" spans="2:69" x14ac:dyDescent="0.35">
      <c r="C69" s="91"/>
      <c r="D69" s="91"/>
      <c r="E69" s="91"/>
      <c r="F69" s="89"/>
      <c r="J69" s="91"/>
      <c r="K69" s="91"/>
      <c r="L69" s="91"/>
      <c r="M69" s="89"/>
      <c r="Q69" s="91"/>
      <c r="R69" s="91"/>
      <c r="S69" s="91"/>
      <c r="T69" s="89"/>
      <c r="X69" s="91"/>
      <c r="Y69" s="91"/>
      <c r="Z69" s="91"/>
      <c r="AA69" s="89"/>
      <c r="AE69" s="91"/>
      <c r="AF69" s="91"/>
      <c r="AG69" s="91"/>
      <c r="AH69" s="89"/>
      <c r="AL69" s="91"/>
      <c r="AM69" s="91"/>
      <c r="AN69" s="91"/>
      <c r="AO69" s="89"/>
      <c r="AS69" s="91"/>
      <c r="AT69" s="91"/>
      <c r="AU69" s="91"/>
      <c r="AV69" s="89"/>
      <c r="AZ69" s="91"/>
      <c r="BA69" s="91"/>
      <c r="BB69" s="91"/>
      <c r="BC69" s="89"/>
      <c r="BG69" s="91"/>
      <c r="BH69" s="91"/>
      <c r="BI69" s="91"/>
      <c r="BJ69" s="89"/>
      <c r="BN69" s="91"/>
      <c r="BO69" s="91"/>
      <c r="BP69" s="91"/>
      <c r="BQ69" s="89"/>
    </row>
    <row r="70" spans="2:69" x14ac:dyDescent="0.35">
      <c r="B70" t="s">
        <v>243</v>
      </c>
      <c r="C70" s="89">
        <f>+E68/12</f>
        <v>155.11199513273041</v>
      </c>
      <c r="D70" s="85"/>
      <c r="F70" s="92"/>
      <c r="I70" t="s">
        <v>243</v>
      </c>
      <c r="J70" s="89">
        <f>+L68/12</f>
        <v>228.50480310650369</v>
      </c>
      <c r="K70" s="85"/>
      <c r="M70" s="92"/>
      <c r="P70" t="s">
        <v>243</v>
      </c>
      <c r="Q70" s="89">
        <f>+S68/12</f>
        <v>326.36188040486803</v>
      </c>
      <c r="R70" s="85"/>
      <c r="T70" s="92"/>
      <c r="W70" t="s">
        <v>243</v>
      </c>
      <c r="X70" s="89">
        <f>+Z68/12</f>
        <v>522.07603500159667</v>
      </c>
      <c r="Y70" s="85"/>
      <c r="AA70" s="92"/>
      <c r="AD70" t="s">
        <v>243</v>
      </c>
      <c r="AE70" s="89">
        <f>+AG68/12</f>
        <v>32.790648509775004</v>
      </c>
      <c r="AF70" s="85"/>
      <c r="AH70" s="92"/>
      <c r="AK70" t="s">
        <v>243</v>
      </c>
      <c r="AL70" s="89">
        <f>+AN68/12</f>
        <v>32.790648509775004</v>
      </c>
      <c r="AM70" s="85"/>
      <c r="AO70" s="92"/>
      <c r="AR70" t="s">
        <v>243</v>
      </c>
      <c r="AS70" s="89">
        <f>+AU68/12</f>
        <v>32.790648509775004</v>
      </c>
      <c r="AT70" s="85"/>
      <c r="AV70" s="92"/>
      <c r="AY70" t="s">
        <v>243</v>
      </c>
      <c r="AZ70" s="89">
        <f>+BB68/12</f>
        <v>32.790648509775004</v>
      </c>
      <c r="BA70" s="85"/>
      <c r="BC70" s="92"/>
      <c r="BF70" t="s">
        <v>243</v>
      </c>
      <c r="BG70" s="89">
        <f>+BI68/12</f>
        <v>32.790648509775004</v>
      </c>
      <c r="BH70" s="85"/>
      <c r="BJ70" s="92"/>
      <c r="BM70" t="s">
        <v>243</v>
      </c>
      <c r="BN70" s="89">
        <f>+BP68/12</f>
        <v>32.790648509775004</v>
      </c>
      <c r="BO70" s="85"/>
      <c r="BQ70" s="92"/>
    </row>
    <row r="71" spans="2:69" x14ac:dyDescent="0.35">
      <c r="B71" s="9" t="s">
        <v>244</v>
      </c>
      <c r="C71" s="93">
        <f>F17</f>
        <v>481.8</v>
      </c>
      <c r="F71" s="87"/>
      <c r="I71" s="9" t="s">
        <v>244</v>
      </c>
      <c r="J71" s="93">
        <f>M17</f>
        <v>770.88</v>
      </c>
      <c r="M71" s="87"/>
      <c r="P71" s="9" t="s">
        <v>244</v>
      </c>
      <c r="Q71" s="93">
        <f>T17</f>
        <v>1156.32</v>
      </c>
      <c r="T71" s="87"/>
      <c r="W71" s="9" t="s">
        <v>244</v>
      </c>
      <c r="X71" s="93">
        <f>AA17</f>
        <v>1927.2</v>
      </c>
      <c r="AA71" s="87"/>
      <c r="AD71" s="9" t="s">
        <v>244</v>
      </c>
      <c r="AE71" s="93">
        <f>AH17</f>
        <v>0</v>
      </c>
      <c r="AH71" s="87"/>
      <c r="AK71" s="9" t="s">
        <v>244</v>
      </c>
      <c r="AL71" s="93">
        <f>AO17</f>
        <v>0</v>
      </c>
      <c r="AO71" s="87"/>
      <c r="AR71" s="9" t="s">
        <v>244</v>
      </c>
      <c r="AS71" s="93">
        <f>AV17</f>
        <v>0</v>
      </c>
      <c r="AV71" s="87"/>
      <c r="AY71" s="9" t="s">
        <v>244</v>
      </c>
      <c r="AZ71" s="93">
        <f>BC17</f>
        <v>0</v>
      </c>
      <c r="BC71" s="87"/>
      <c r="BF71" s="9" t="s">
        <v>244</v>
      </c>
      <c r="BG71" s="93">
        <f>BJ17</f>
        <v>0</v>
      </c>
      <c r="BJ71" s="87"/>
      <c r="BM71" s="9" t="s">
        <v>244</v>
      </c>
      <c r="BN71" s="93">
        <f>BQ17</f>
        <v>0</v>
      </c>
      <c r="BQ71" s="87"/>
    </row>
    <row r="72" spans="2:69" x14ac:dyDescent="0.35">
      <c r="B72" s="9" t="s">
        <v>245</v>
      </c>
      <c r="C72" s="94">
        <f>(C70/C71)*100</f>
        <v>32.194270471716564</v>
      </c>
      <c r="F72" s="94"/>
      <c r="I72" s="9" t="s">
        <v>245</v>
      </c>
      <c r="J72" s="94">
        <f>(J70/J71)*100</f>
        <v>29.642071801902205</v>
      </c>
      <c r="M72" s="94"/>
      <c r="P72" s="9" t="s">
        <v>245</v>
      </c>
      <c r="Q72" s="94">
        <f>(Q70/Q71)*100</f>
        <v>28.22418365200533</v>
      </c>
      <c r="T72" s="94"/>
      <c r="W72" s="9" t="s">
        <v>245</v>
      </c>
      <c r="X72" s="94">
        <f>(X70/X71)*100</f>
        <v>27.089873132087828</v>
      </c>
      <c r="AA72" s="94"/>
      <c r="AD72" s="9" t="s">
        <v>245</v>
      </c>
      <c r="AE72" s="94" t="e">
        <f>(AE70/AE71)*100</f>
        <v>#DIV/0!</v>
      </c>
      <c r="AH72" s="94"/>
      <c r="AK72" s="9" t="s">
        <v>245</v>
      </c>
      <c r="AL72" s="94" t="e">
        <f>(AL70/AL71)*100</f>
        <v>#DIV/0!</v>
      </c>
      <c r="AO72" s="94"/>
      <c r="AR72" s="9" t="s">
        <v>245</v>
      </c>
      <c r="AS72" s="94" t="e">
        <f>(AS70/AS71)*100</f>
        <v>#DIV/0!</v>
      </c>
      <c r="AV72" s="94"/>
      <c r="AY72" s="9" t="s">
        <v>245</v>
      </c>
      <c r="AZ72" s="94" t="e">
        <f>(AZ70/AZ71)*100</f>
        <v>#DIV/0!</v>
      </c>
      <c r="BC72" s="94"/>
      <c r="BF72" s="9" t="s">
        <v>245</v>
      </c>
      <c r="BG72" s="94" t="e">
        <f>(BG70/BG71)*100</f>
        <v>#DIV/0!</v>
      </c>
      <c r="BJ72" s="94"/>
      <c r="BM72" s="9" t="s">
        <v>245</v>
      </c>
      <c r="BN72" s="94" t="e">
        <f>(BN70/BN71)*100</f>
        <v>#DIV/0!</v>
      </c>
      <c r="BQ72" s="94"/>
    </row>
    <row r="73" spans="2:69" x14ac:dyDescent="0.35">
      <c r="B73" s="9" t="s">
        <v>246</v>
      </c>
      <c r="C73" s="104">
        <f>E64/F17</f>
        <v>0.97385194775600004</v>
      </c>
      <c r="D73" s="89"/>
      <c r="I73" s="9" t="s">
        <v>246</v>
      </c>
      <c r="J73" s="104">
        <f>L64/M17</f>
        <v>0.97385194775600015</v>
      </c>
      <c r="K73" s="89"/>
      <c r="P73" s="9" t="s">
        <v>246</v>
      </c>
      <c r="Q73" s="104">
        <f>S64/T17</f>
        <v>0.97385194775600004</v>
      </c>
      <c r="R73" s="89"/>
      <c r="W73" s="9" t="s">
        <v>246</v>
      </c>
      <c r="X73" s="104">
        <f>Z64/AA17</f>
        <v>0.97385194775600004</v>
      </c>
      <c r="Y73" s="89"/>
      <c r="AD73" s="9" t="s">
        <v>246</v>
      </c>
      <c r="AE73" s="104" t="e">
        <f>AG64/AH17</f>
        <v>#DIV/0!</v>
      </c>
      <c r="AF73" s="89"/>
      <c r="AK73" s="9" t="s">
        <v>246</v>
      </c>
      <c r="AL73" s="104" t="e">
        <f>AN64/AO17</f>
        <v>#DIV/0!</v>
      </c>
      <c r="AM73" s="89"/>
      <c r="AR73" s="9" t="s">
        <v>246</v>
      </c>
      <c r="AS73" s="104" t="e">
        <f>AU64/AV17</f>
        <v>#DIV/0!</v>
      </c>
      <c r="AT73" s="89"/>
      <c r="AY73" s="9" t="s">
        <v>246</v>
      </c>
      <c r="AZ73" s="104" t="e">
        <f>BB64/BC17</f>
        <v>#DIV/0!</v>
      </c>
      <c r="BA73" s="89"/>
      <c r="BF73" s="9" t="s">
        <v>246</v>
      </c>
      <c r="BG73" s="104" t="e">
        <f>BI64/BJ17</f>
        <v>#DIV/0!</v>
      </c>
      <c r="BH73" s="89"/>
      <c r="BM73" s="9" t="s">
        <v>246</v>
      </c>
      <c r="BN73" s="104" t="e">
        <f>BP64/BQ17</f>
        <v>#DIV/0!</v>
      </c>
      <c r="BO73" s="89"/>
    </row>
    <row r="74" spans="2:69" x14ac:dyDescent="0.35">
      <c r="B74" s="9" t="s">
        <v>247</v>
      </c>
      <c r="C74" s="104">
        <f>E51/F17</f>
        <v>2.5745406645112676</v>
      </c>
      <c r="D74" s="85"/>
      <c r="I74" s="9" t="s">
        <v>247</v>
      </c>
      <c r="J74" s="104">
        <f>L51/M17</f>
        <v>2.2932420740380426</v>
      </c>
      <c r="K74" s="85"/>
      <c r="P74" s="9" t="s">
        <v>247</v>
      </c>
      <c r="Q74" s="104">
        <f>S51/T17</f>
        <v>2.1369650793306953</v>
      </c>
      <c r="R74" s="85"/>
      <c r="W74" s="9" t="s">
        <v>247</v>
      </c>
      <c r="X74" s="104">
        <f>Z51/AA17</f>
        <v>2.0119434835648171</v>
      </c>
      <c r="Y74" s="85"/>
      <c r="AD74" s="9" t="s">
        <v>247</v>
      </c>
      <c r="AE74" s="104" t="e">
        <f>AG51/AH17</f>
        <v>#DIV/0!</v>
      </c>
      <c r="AF74" s="85"/>
      <c r="AK74" s="9" t="s">
        <v>247</v>
      </c>
      <c r="AL74" s="104" t="e">
        <f>AN51/AO17</f>
        <v>#DIV/0!</v>
      </c>
      <c r="AM74" s="85"/>
      <c r="AR74" s="9" t="s">
        <v>247</v>
      </c>
      <c r="AS74" s="104" t="e">
        <f>AU51/AV17</f>
        <v>#DIV/0!</v>
      </c>
      <c r="AT74" s="85"/>
      <c r="AY74" s="9" t="s">
        <v>247</v>
      </c>
      <c r="AZ74" s="104" t="e">
        <f>BB51/BC17</f>
        <v>#DIV/0!</v>
      </c>
      <c r="BA74" s="85"/>
      <c r="BF74" s="9" t="s">
        <v>247</v>
      </c>
      <c r="BG74" s="104" t="e">
        <f>BI51/BJ17</f>
        <v>#DIV/0!</v>
      </c>
      <c r="BH74" s="85"/>
      <c r="BM74" s="9" t="s">
        <v>247</v>
      </c>
      <c r="BN74" s="104" t="e">
        <f>BP51/BQ17</f>
        <v>#DIV/0!</v>
      </c>
      <c r="BO74" s="85"/>
    </row>
    <row r="75" spans="2:69" x14ac:dyDescent="0.35">
      <c r="C75" s="85"/>
      <c r="J75" s="85"/>
      <c r="Q75" s="85"/>
      <c r="X75" s="85"/>
      <c r="AE75" s="85"/>
      <c r="AL75" s="85"/>
      <c r="AS75" s="85"/>
      <c r="AZ75" s="85"/>
      <c r="BG75" s="85"/>
      <c r="BN75" s="85"/>
    </row>
    <row r="76" spans="2:69" x14ac:dyDescent="0.35">
      <c r="B76" s="9"/>
      <c r="D76" s="89"/>
      <c r="I76" s="9"/>
      <c r="K76" s="89"/>
      <c r="P76" s="9"/>
      <c r="R76" s="89"/>
      <c r="W76" s="9"/>
      <c r="Y76" s="89"/>
      <c r="AD76" s="9"/>
      <c r="AF76" s="89"/>
      <c r="AK76" s="9"/>
      <c r="AM76" s="89"/>
      <c r="AR76" s="9"/>
      <c r="AT76" s="89"/>
      <c r="AY76" s="9"/>
      <c r="BA76" s="89"/>
      <c r="BF76" s="9"/>
      <c r="BH76" s="89"/>
      <c r="BM76" s="9"/>
      <c r="BO76" s="89"/>
    </row>
  </sheetData>
  <mergeCells count="20">
    <mergeCell ref="AL34:AM34"/>
    <mergeCell ref="C27:D27"/>
    <mergeCell ref="J27:K27"/>
    <mergeCell ref="Q27:R27"/>
    <mergeCell ref="X27:Y27"/>
    <mergeCell ref="AE27:AF27"/>
    <mergeCell ref="AL27:AM27"/>
    <mergeCell ref="C34:D34"/>
    <mergeCell ref="J34:K34"/>
    <mergeCell ref="Q34:R34"/>
    <mergeCell ref="X34:Y34"/>
    <mergeCell ref="AE34:AF34"/>
    <mergeCell ref="AS34:AT34"/>
    <mergeCell ref="AZ34:BA34"/>
    <mergeCell ref="BG34:BH34"/>
    <mergeCell ref="BN34:BO34"/>
    <mergeCell ref="AS27:AT27"/>
    <mergeCell ref="AZ27:BA27"/>
    <mergeCell ref="BG27:BH27"/>
    <mergeCell ref="BN27:BO27"/>
  </mergeCells>
  <pageMargins left="0.7" right="0.7" top="0.75" bottom="0.75" header="0.3" footer="0.3"/>
  <pageSetup scale="48" orientation="landscape" r:id="rId1"/>
  <headerFooter>
    <oddFooter>&amp;L&amp;Z&amp;F&amp;A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workbookViewId="0">
      <selection activeCell="B12" sqref="B12"/>
    </sheetView>
  </sheetViews>
  <sheetFormatPr defaultRowHeight="14.5" x14ac:dyDescent="0.35"/>
  <cols>
    <col min="1" max="1" width="9.7265625" customWidth="1"/>
    <col min="2" max="5" width="12.81640625" customWidth="1"/>
    <col min="6" max="11" width="12.81640625" style="319" customWidth="1"/>
  </cols>
  <sheetData>
    <row r="1" spans="1:14" x14ac:dyDescent="0.35">
      <c r="A1" s="117" t="s">
        <v>201</v>
      </c>
      <c r="B1" s="203">
        <v>2</v>
      </c>
      <c r="L1" t="s">
        <v>92</v>
      </c>
      <c r="M1" s="205" t="s">
        <v>202</v>
      </c>
      <c r="N1" s="205">
        <f>+HLOOKUP(B$6,'Utility Bills Public SC9'!$1:$10,10,TRUE)</f>
        <v>19749.682533654504</v>
      </c>
    </row>
    <row r="2" spans="1:14" x14ac:dyDescent="0.35">
      <c r="A2" s="130"/>
      <c r="L2" t="s">
        <v>99</v>
      </c>
      <c r="M2" s="205" t="s">
        <v>202</v>
      </c>
      <c r="N2" s="205">
        <f>+HLOOKUP(B$11,'Utility Bills City SC9'!$1:$10,10,TRUE)</f>
        <v>25180.298760462829</v>
      </c>
    </row>
    <row r="4" spans="1:14" x14ac:dyDescent="0.35">
      <c r="A4" s="64" t="s">
        <v>203</v>
      </c>
    </row>
    <row r="5" spans="1:14" x14ac:dyDescent="0.35">
      <c r="A5" t="s">
        <v>204</v>
      </c>
      <c r="M5" s="8"/>
    </row>
    <row r="6" spans="1:14" x14ac:dyDescent="0.35">
      <c r="A6" s="132" t="s">
        <v>73</v>
      </c>
      <c r="B6" s="138">
        <v>1</v>
      </c>
      <c r="C6" s="138">
        <v>2</v>
      </c>
      <c r="D6" s="138">
        <v>3</v>
      </c>
      <c r="E6" s="138">
        <v>4</v>
      </c>
      <c r="F6" s="320">
        <v>5</v>
      </c>
      <c r="G6" s="320">
        <v>6</v>
      </c>
      <c r="H6" s="320">
        <v>7</v>
      </c>
      <c r="I6" s="320">
        <v>8</v>
      </c>
      <c r="J6" s="320">
        <v>9</v>
      </c>
      <c r="K6" s="320">
        <v>10</v>
      </c>
    </row>
    <row r="7" spans="1:14" x14ac:dyDescent="0.35">
      <c r="A7" s="130">
        <v>2</v>
      </c>
      <c r="B7" s="205">
        <f>IF($A7=$B$1,HLOOKUP(B$6,'Utility Bills Public SC2'!1:10,10,TRUE))</f>
        <v>2742.0576372780438</v>
      </c>
      <c r="C7" s="205">
        <f>IF($A7=$B$1,HLOOKUP(C$6,'Utility Bills Public SC2'!1:10,10,TRUE))</f>
        <v>3329.2001010682302</v>
      </c>
      <c r="D7" s="205">
        <f>IF($A7=$B$1,HLOOKUP(D$6,'Utility Bills Public SC2'!1:10,10,TRUE))</f>
        <v>3916.3425648584152</v>
      </c>
      <c r="E7" s="205">
        <f>IF($A7=$B$1,HLOOKUP(E$6,'Utility Bills Public SC2'!1:10,10,TRUE))</f>
        <v>4503.4850286486017</v>
      </c>
      <c r="F7" s="321">
        <f>IF($A7=$B$1,HLOOKUP(F$6,'Utility Bills Public SC2'!1:10,10,TRUE))</f>
        <v>393.48778211730007</v>
      </c>
      <c r="G7" s="321">
        <f>IF($A7=$B$1,HLOOKUP(G$6,'Utility Bills Public SC2'!1:10,10,TRUE))</f>
        <v>393.48778211730007</v>
      </c>
      <c r="H7" s="321">
        <f>IF($A7=$B$1,HLOOKUP(H$6,'Utility Bills Public SC2'!1:10,10,TRUE))</f>
        <v>393.48778211730007</v>
      </c>
      <c r="I7" s="321">
        <f>IF($A7=$B$1,HLOOKUP(I$6,'Utility Bills Public SC2'!1:10,10,TRUE))</f>
        <v>393.48778211730007</v>
      </c>
      <c r="J7" s="321">
        <f>IF($A7=$B$1,HLOOKUP(J$6,'Utility Bills Public SC2'!1:10,10,TRUE))</f>
        <v>393.48778211730007</v>
      </c>
      <c r="K7" s="321">
        <f>IF($A7=$B$1,HLOOKUP(K$6,'Utility Bills Public SC2'!1:10,10,TRUE))</f>
        <v>393.48778211730007</v>
      </c>
    </row>
    <row r="8" spans="1:14" x14ac:dyDescent="0.35">
      <c r="A8" s="130"/>
      <c r="B8" s="205"/>
      <c r="C8" s="205"/>
      <c r="D8" s="205"/>
      <c r="E8" s="205"/>
      <c r="F8" s="321"/>
      <c r="G8" s="321"/>
      <c r="H8" s="321"/>
      <c r="I8" s="321"/>
      <c r="J8" s="321"/>
      <c r="K8" s="321"/>
    </row>
    <row r="9" spans="1:14" x14ac:dyDescent="0.35">
      <c r="A9" s="64" t="s">
        <v>205</v>
      </c>
    </row>
    <row r="10" spans="1:14" x14ac:dyDescent="0.35">
      <c r="A10" t="s">
        <v>204</v>
      </c>
    </row>
    <row r="11" spans="1:14" x14ac:dyDescent="0.35">
      <c r="A11" s="132" t="s">
        <v>73</v>
      </c>
      <c r="B11" s="138">
        <v>1</v>
      </c>
      <c r="C11" s="138">
        <v>2</v>
      </c>
      <c r="D11" s="138">
        <v>3</v>
      </c>
      <c r="E11" s="138">
        <v>4</v>
      </c>
      <c r="F11" s="320">
        <v>5</v>
      </c>
      <c r="G11" s="320">
        <v>6</v>
      </c>
      <c r="H11" s="320">
        <v>7</v>
      </c>
      <c r="I11" s="320">
        <v>8</v>
      </c>
      <c r="J11" s="320">
        <v>9</v>
      </c>
      <c r="K11" s="320">
        <v>10</v>
      </c>
    </row>
    <row r="12" spans="1:14" x14ac:dyDescent="0.35">
      <c r="A12" s="206">
        <v>2</v>
      </c>
      <c r="B12" s="205">
        <f>IF($A12=$B$1,HLOOKUP(B$11,'Utility Bills City SC2'!1:10,10,TRUE))</f>
        <v>1861.3439415927651</v>
      </c>
      <c r="C12" s="205">
        <f>IF($A12=$B$1,HLOOKUP(C$11,'Utility Bills City SC2'!1:10,10,TRUE))</f>
        <v>2742.0576372780438</v>
      </c>
      <c r="D12" s="205">
        <f>IF($A12=$B$1,HLOOKUP(D$11,'Utility Bills City SC2'!1:10,10,TRUE))</f>
        <v>3916.3425648584152</v>
      </c>
      <c r="E12" s="205">
        <f>IF($A12=$B$1,HLOOKUP(E$11,'Utility Bills City SC2'!1:10,10,TRUE))</f>
        <v>6264.91242001916</v>
      </c>
      <c r="F12" s="321">
        <f>IF($A12=$B$1,HLOOKUP(F$11,'Utility Bills City SC2'!1:10,10,TRUE))</f>
        <v>393.48778211730007</v>
      </c>
      <c r="G12" s="321">
        <f>IF($A12=$B$1,HLOOKUP(G$11,'Utility Bills City SC2'!1:10,10,TRUE))</f>
        <v>393.48778211730007</v>
      </c>
      <c r="H12" s="321">
        <f>IF($A12=$B$1,HLOOKUP(H$11,'Utility Bills City SC2'!1:10,10,TRUE))</f>
        <v>393.48778211730007</v>
      </c>
      <c r="I12" s="321">
        <f>IF($A12=$B$1,HLOOKUP(I$11,'Utility Bills City SC2'!1:10,10,TRUE))</f>
        <v>393.48778211730007</v>
      </c>
      <c r="J12" s="321">
        <f>IF($A12=$B$1,HLOOKUP(J$11,'Utility Bills City SC2'!1:10,10,TRUE))</f>
        <v>393.48778211730007</v>
      </c>
      <c r="K12" s="321">
        <f>IF($A12=$B$1,HLOOKUP(K$11,'Utility Bills City SC2'!1:10,10,TRUE))</f>
        <v>393.48778211730007</v>
      </c>
    </row>
    <row r="14" spans="1:14" x14ac:dyDescent="0.35">
      <c r="A14" s="117" t="s">
        <v>201</v>
      </c>
      <c r="B14" s="203">
        <v>6</v>
      </c>
    </row>
    <row r="15" spans="1:14" x14ac:dyDescent="0.35">
      <c r="A15" s="130"/>
    </row>
    <row r="17" spans="1:11" x14ac:dyDescent="0.35">
      <c r="A17" s="64" t="s">
        <v>203</v>
      </c>
    </row>
    <row r="18" spans="1:11" x14ac:dyDescent="0.35">
      <c r="A18" t="s">
        <v>204</v>
      </c>
    </row>
    <row r="19" spans="1:11" x14ac:dyDescent="0.35">
      <c r="A19" s="132" t="s">
        <v>73</v>
      </c>
      <c r="B19" s="138">
        <v>1</v>
      </c>
      <c r="C19" s="138">
        <v>2</v>
      </c>
      <c r="D19" s="138">
        <v>3</v>
      </c>
      <c r="E19" s="138">
        <v>4</v>
      </c>
      <c r="F19" s="320">
        <v>5</v>
      </c>
      <c r="G19" s="320">
        <v>6</v>
      </c>
      <c r="H19" s="320">
        <v>7</v>
      </c>
      <c r="I19" s="320">
        <v>8</v>
      </c>
      <c r="J19" s="320">
        <v>9</v>
      </c>
      <c r="K19" s="320">
        <v>10</v>
      </c>
    </row>
    <row r="20" spans="1:11" x14ac:dyDescent="0.35">
      <c r="A20" s="130">
        <v>6</v>
      </c>
      <c r="B20" s="205">
        <f>IF($A20=$B$14,HLOOKUP(B$19,'Utility Bills Public SC9'!1:10,10,TRUE))</f>
        <v>19749.682533654504</v>
      </c>
      <c r="C20" s="205">
        <f>IF($A20=$B$14,HLOOKUP(C$19,'Utility Bills Public SC9'!1:10,10,TRUE))</f>
        <v>20477.04270207302</v>
      </c>
      <c r="D20" s="205">
        <f>IF($A20=$B$14,HLOOKUP(D$19,'Utility Bills Public SC9'!1:10,10,TRUE))</f>
        <v>21204.402870491536</v>
      </c>
      <c r="E20" s="205">
        <f>IF($A20=$B$14,HLOOKUP(E$19,'Utility Bills Public SC9'!1:10,10,TRUE))</f>
        <v>21931.763038910049</v>
      </c>
      <c r="F20" s="321">
        <f>IF($A20=$B$14,HLOOKUP(F$19,'Utility Bills Public SC9'!1:10,10,TRUE))</f>
        <v>16840.241859980444</v>
      </c>
      <c r="G20" s="321">
        <f>IF($A20=$B$14,HLOOKUP(G$19,'Utility Bills Public SC9'!1:10,10,TRUE))</f>
        <v>16840.241859980444</v>
      </c>
      <c r="H20" s="321">
        <f>IF($A20=$B$14,HLOOKUP(H$19,'Utility Bills Public SC9'!1:10,10,TRUE))</f>
        <v>16840.241859980444</v>
      </c>
      <c r="I20" s="321">
        <f>IF($A20=$B$14,HLOOKUP(I$19,'Utility Bills Public SC9'!1:10,10,TRUE))</f>
        <v>16840.241859980444</v>
      </c>
      <c r="J20" s="321">
        <f>IF($A20=$B$14,HLOOKUP(J$19,'Utility Bills Public SC9'!1:10,10,TRUE))</f>
        <v>16840.241859980444</v>
      </c>
      <c r="K20" s="321">
        <f>IF($A20=$B$14,HLOOKUP(K$19,'Utility Bills Public SC9'!1:10,10,TRUE))</f>
        <v>16840.241859980444</v>
      </c>
    </row>
    <row r="22" spans="1:11" x14ac:dyDescent="0.35">
      <c r="A22" s="64" t="s">
        <v>205</v>
      </c>
    </row>
    <row r="23" spans="1:11" x14ac:dyDescent="0.35">
      <c r="A23" t="s">
        <v>204</v>
      </c>
    </row>
    <row r="24" spans="1:11" x14ac:dyDescent="0.35">
      <c r="A24" s="132" t="s">
        <v>73</v>
      </c>
      <c r="B24" s="138">
        <v>1</v>
      </c>
      <c r="C24" s="138">
        <v>2</v>
      </c>
      <c r="D24" s="138">
        <v>3</v>
      </c>
      <c r="E24" s="138">
        <v>4</v>
      </c>
      <c r="F24" s="320">
        <v>5</v>
      </c>
      <c r="G24" s="320">
        <v>6</v>
      </c>
      <c r="H24" s="320">
        <v>7</v>
      </c>
      <c r="I24" s="320">
        <v>8</v>
      </c>
      <c r="J24" s="320">
        <v>9</v>
      </c>
      <c r="K24" s="320">
        <v>10</v>
      </c>
    </row>
    <row r="25" spans="1:11" x14ac:dyDescent="0.35">
      <c r="A25" s="206">
        <v>6</v>
      </c>
      <c r="B25" s="205">
        <f>IF($A25=$B$14,HLOOKUP(B$24,'Utility Bills City SC9'!1:10,10,TRUE))</f>
        <v>25180.298760462829</v>
      </c>
      <c r="C25" s="205">
        <f>IF($A25=$B$14,HLOOKUP(C$24,'Utility Bills City SC9'!1:10,10,TRUE))</f>
        <v>26271.339013090605</v>
      </c>
      <c r="D25" s="205">
        <f>IF($A25=$B$14,HLOOKUP(D$24,'Utility Bills City SC9'!1:10,10,TRUE))</f>
        <v>27726.059349927629</v>
      </c>
      <c r="E25" s="205">
        <f>IF($A25=$B$14,HLOOKUP(E$24,'Utility Bills City SC9'!1:10,10,TRUE))</f>
        <v>30635.500023601693</v>
      </c>
      <c r="F25" s="321">
        <f>IF($A25=$B$14,HLOOKUP(F$24,'Utility Bills City SC9'!1:10,10,TRUE))</f>
        <v>23361.898339416544</v>
      </c>
      <c r="G25" s="321">
        <f>IF($A25=$B$14,HLOOKUP(G$24,'Utility Bills City SC9'!1:10,10,TRUE))</f>
        <v>23361.898339416544</v>
      </c>
      <c r="H25" s="321">
        <f>IF($A25=$B$14,HLOOKUP(H$24,'Utility Bills City SC9'!1:10,10,TRUE))</f>
        <v>23361.898339416544</v>
      </c>
      <c r="I25" s="321">
        <f>IF($A25=$B$14,HLOOKUP(I$24,'Utility Bills City SC9'!1:10,10,TRUE))</f>
        <v>23361.898339416544</v>
      </c>
      <c r="J25" s="321">
        <f>IF($A25=$B$14,HLOOKUP(J$24,'Utility Bills City SC9'!1:10,10,TRUE))</f>
        <v>23361.898339416544</v>
      </c>
      <c r="K25" s="321">
        <f>IF($A25=$B$14,HLOOKUP(K$24,'Utility Bills City SC9'!1:10,10,TRUE))</f>
        <v>23361.898339416544</v>
      </c>
    </row>
    <row r="26" spans="1:11" x14ac:dyDescent="0.35">
      <c r="A26" s="206"/>
      <c r="B26" s="205"/>
      <c r="C26" s="205"/>
      <c r="D26" s="205"/>
      <c r="E26" s="205"/>
      <c r="F26" s="321"/>
      <c r="G26" s="321"/>
      <c r="H26" s="321"/>
      <c r="I26" s="321"/>
      <c r="J26" s="321"/>
      <c r="K26" s="3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fitToPage="1"/>
  </sheetPr>
  <dimension ref="A1:W133"/>
  <sheetViews>
    <sheetView tabSelected="1" topLeftCell="A86" zoomScaleNormal="100" workbookViewId="0">
      <selection activeCell="C26" sqref="C26"/>
    </sheetView>
  </sheetViews>
  <sheetFormatPr defaultRowHeight="14.5" x14ac:dyDescent="0.35"/>
  <cols>
    <col min="1" max="1" width="3.453125" style="2" customWidth="1"/>
    <col min="2" max="2" width="25.7265625" customWidth="1"/>
    <col min="3" max="3" width="13.453125" style="16" customWidth="1"/>
    <col min="4" max="4" width="13.453125" customWidth="1"/>
    <col min="5" max="5" width="10.1796875" customWidth="1"/>
    <col min="7" max="8" width="11.81640625" bestFit="1" customWidth="1"/>
    <col min="9" max="9" width="32.81640625" bestFit="1" customWidth="1"/>
    <col min="10" max="10" width="12.81640625" bestFit="1" customWidth="1"/>
    <col min="11" max="11" width="13.54296875" bestFit="1" customWidth="1"/>
    <col min="12" max="13" width="11.81640625" bestFit="1" customWidth="1"/>
    <col min="14" max="14" width="11.7265625" customWidth="1"/>
    <col min="15" max="15" width="13.453125" bestFit="1" customWidth="1"/>
    <col min="16" max="16" width="11.81640625" bestFit="1" customWidth="1"/>
    <col min="17" max="20" width="13.453125" bestFit="1" customWidth="1"/>
    <col min="22" max="22" width="8.81640625" bestFit="1" customWidth="1"/>
    <col min="23" max="31" width="13.453125" bestFit="1" customWidth="1"/>
    <col min="32" max="32" width="10.81640625" bestFit="1" customWidth="1"/>
  </cols>
  <sheetData>
    <row r="1" spans="1:14" x14ac:dyDescent="0.35">
      <c r="A1" s="293" t="s">
        <v>0</v>
      </c>
      <c r="C1"/>
      <c r="M1" s="64"/>
    </row>
    <row r="2" spans="1:14" x14ac:dyDescent="0.35">
      <c r="A2" s="293" t="s">
        <v>1</v>
      </c>
      <c r="C2"/>
      <c r="M2" s="64"/>
    </row>
    <row r="3" spans="1:14" x14ac:dyDescent="0.35">
      <c r="A3" s="294" t="s">
        <v>339</v>
      </c>
      <c r="C3" s="259"/>
      <c r="M3" s="64"/>
    </row>
    <row r="4" spans="1:14" x14ac:dyDescent="0.35">
      <c r="A4" s="259" t="s">
        <v>2</v>
      </c>
      <c r="C4"/>
      <c r="M4" s="64"/>
    </row>
    <row r="5" spans="1:14" x14ac:dyDescent="0.35">
      <c r="J5" s="181" t="s">
        <v>68</v>
      </c>
      <c r="K5" s="182"/>
      <c r="L5" s="182"/>
      <c r="M5" s="182"/>
      <c r="N5" s="182"/>
    </row>
    <row r="6" spans="1:14" x14ac:dyDescent="0.35">
      <c r="J6" s="132" t="s">
        <v>69</v>
      </c>
      <c r="L6" s="129" t="s">
        <v>70</v>
      </c>
    </row>
    <row r="7" spans="1:14" x14ac:dyDescent="0.35">
      <c r="J7" s="132"/>
      <c r="K7" s="132"/>
      <c r="L7" s="132"/>
      <c r="M7" s="132"/>
      <c r="N7" s="132"/>
    </row>
    <row r="8" spans="1:14" x14ac:dyDescent="0.35">
      <c r="A8" s="2" t="s">
        <v>71</v>
      </c>
      <c r="B8" s="8" t="s">
        <v>72</v>
      </c>
      <c r="J8" s="132" t="s">
        <v>73</v>
      </c>
      <c r="K8" s="138">
        <v>1</v>
      </c>
      <c r="L8" s="138">
        <v>2</v>
      </c>
      <c r="M8" s="138">
        <v>3</v>
      </c>
      <c r="N8" s="138">
        <v>4</v>
      </c>
    </row>
    <row r="9" spans="1:14" x14ac:dyDescent="0.35">
      <c r="J9" s="132" t="s">
        <v>74</v>
      </c>
      <c r="K9" s="165">
        <f t="shared" ref="K9:N10" si="0">+IF($L$6="Hi",K20,K14)</f>
        <v>0.08</v>
      </c>
      <c r="L9" s="165">
        <f t="shared" si="0"/>
        <v>0.1</v>
      </c>
      <c r="M9" s="165">
        <f t="shared" si="0"/>
        <v>0.12</v>
      </c>
      <c r="N9" s="165">
        <f t="shared" si="0"/>
        <v>0.14000000000000001</v>
      </c>
    </row>
    <row r="10" spans="1:14" x14ac:dyDescent="0.35">
      <c r="B10" s="189" t="s">
        <v>75</v>
      </c>
      <c r="C10" s="208">
        <v>6.6</v>
      </c>
      <c r="J10" s="132" t="s">
        <v>76</v>
      </c>
      <c r="K10" s="165">
        <f t="shared" si="0"/>
        <v>0.35</v>
      </c>
      <c r="L10" s="165">
        <f t="shared" si="0"/>
        <v>0.35</v>
      </c>
      <c r="M10" s="165">
        <f t="shared" si="0"/>
        <v>0.35</v>
      </c>
      <c r="N10" s="165">
        <f t="shared" si="0"/>
        <v>0.35</v>
      </c>
    </row>
    <row r="11" spans="1:14" x14ac:dyDescent="0.35">
      <c r="B11" s="9" t="s">
        <v>77</v>
      </c>
      <c r="C11" s="208">
        <v>365</v>
      </c>
      <c r="K11" s="131"/>
      <c r="L11" s="131"/>
      <c r="M11" s="131"/>
      <c r="N11" s="131"/>
    </row>
    <row r="12" spans="1:14" x14ac:dyDescent="0.35">
      <c r="B12" s="9" t="s">
        <v>78</v>
      </c>
      <c r="C12" s="208">
        <v>365</v>
      </c>
      <c r="D12" s="130"/>
      <c r="J12" s="132" t="s">
        <v>79</v>
      </c>
      <c r="K12" s="166"/>
      <c r="L12" s="166"/>
      <c r="M12" s="166"/>
      <c r="N12" s="166"/>
    </row>
    <row r="13" spans="1:14" x14ac:dyDescent="0.35">
      <c r="A13"/>
      <c r="C13"/>
      <c r="J13" s="132" t="s">
        <v>73</v>
      </c>
      <c r="K13" s="167">
        <v>1</v>
      </c>
      <c r="L13" s="167">
        <v>2</v>
      </c>
      <c r="M13" s="167">
        <v>3</v>
      </c>
      <c r="N13" s="167">
        <v>4</v>
      </c>
    </row>
    <row r="14" spans="1:14" x14ac:dyDescent="0.35">
      <c r="J14" s="132" t="s">
        <v>74</v>
      </c>
      <c r="K14" s="164">
        <v>0.08</v>
      </c>
      <c r="L14" s="164">
        <v>0.1</v>
      </c>
      <c r="M14" s="164">
        <v>0.12</v>
      </c>
      <c r="N14" s="164">
        <v>0.14000000000000001</v>
      </c>
    </row>
    <row r="15" spans="1:14" x14ac:dyDescent="0.35">
      <c r="A15" s="2" t="s">
        <v>80</v>
      </c>
      <c r="B15" s="8" t="s">
        <v>81</v>
      </c>
      <c r="J15" s="132" t="s">
        <v>76</v>
      </c>
      <c r="K15" s="168">
        <f>+K21/2</f>
        <v>0.35</v>
      </c>
      <c r="L15" s="168">
        <f>+L21/2</f>
        <v>0.35</v>
      </c>
      <c r="M15" s="168">
        <f>+M21/2</f>
        <v>0.35</v>
      </c>
      <c r="N15" s="168">
        <f>+N21/2</f>
        <v>0.35</v>
      </c>
    </row>
    <row r="16" spans="1:14" x14ac:dyDescent="0.35">
      <c r="C16" s="248" t="s">
        <v>82</v>
      </c>
      <c r="D16" s="249"/>
      <c r="E16" s="248" t="s">
        <v>83</v>
      </c>
      <c r="F16" s="250"/>
    </row>
    <row r="17" spans="1:23" x14ac:dyDescent="0.35">
      <c r="B17" s="232" t="s">
        <v>84</v>
      </c>
      <c r="C17" s="242" t="s">
        <v>85</v>
      </c>
      <c r="D17" s="243" t="s">
        <v>86</v>
      </c>
      <c r="E17" s="242" t="s">
        <v>85</v>
      </c>
      <c r="F17" s="243" t="s">
        <v>86</v>
      </c>
      <c r="J17" s="132" t="s">
        <v>87</v>
      </c>
    </row>
    <row r="18" spans="1:23" x14ac:dyDescent="0.35">
      <c r="B18" s="233">
        <v>2</v>
      </c>
      <c r="C18" s="234">
        <v>10</v>
      </c>
      <c r="D18" s="237">
        <v>0</v>
      </c>
      <c r="E18" s="234">
        <v>2</v>
      </c>
      <c r="F18" s="235">
        <v>0</v>
      </c>
      <c r="J18" s="132"/>
      <c r="K18" s="132"/>
      <c r="L18" s="132"/>
      <c r="M18" s="132"/>
      <c r="N18" s="132"/>
    </row>
    <row r="19" spans="1:23" x14ac:dyDescent="0.35">
      <c r="B19" s="233">
        <v>4</v>
      </c>
      <c r="C19" s="234">
        <v>20</v>
      </c>
      <c r="D19" s="237">
        <f>+C19</f>
        <v>20</v>
      </c>
      <c r="E19" s="234">
        <v>4</v>
      </c>
      <c r="F19" s="235">
        <f>+E19</f>
        <v>4</v>
      </c>
      <c r="J19" s="132" t="s">
        <v>73</v>
      </c>
      <c r="K19" s="138">
        <v>1</v>
      </c>
      <c r="L19" s="138">
        <v>2</v>
      </c>
      <c r="M19" s="138">
        <v>3</v>
      </c>
      <c r="N19" s="138">
        <v>4</v>
      </c>
    </row>
    <row r="20" spans="1:23" x14ac:dyDescent="0.35">
      <c r="B20" s="233">
        <v>6</v>
      </c>
      <c r="C20" s="236">
        <v>0</v>
      </c>
      <c r="D20" s="238">
        <f>+B20*C20</f>
        <v>0</v>
      </c>
      <c r="E20" s="236">
        <v>0</v>
      </c>
      <c r="F20" s="187">
        <f t="shared" ref="F20" si="1">B20*E20</f>
        <v>0</v>
      </c>
      <c r="J20" s="132" t="s">
        <v>74</v>
      </c>
      <c r="K20" s="168">
        <f>+K14*1.5</f>
        <v>0.12</v>
      </c>
      <c r="L20" s="168">
        <f t="shared" ref="L20:N20" si="2">+L14*1.5</f>
        <v>0.15000000000000002</v>
      </c>
      <c r="M20" s="168">
        <f t="shared" si="2"/>
        <v>0.18</v>
      </c>
      <c r="N20" s="168">
        <f t="shared" si="2"/>
        <v>0.21000000000000002</v>
      </c>
    </row>
    <row r="21" spans="1:23" ht="15" thickBot="1" x14ac:dyDescent="0.4">
      <c r="C21" s="22">
        <f>+SUM(C18:C20)</f>
        <v>30</v>
      </c>
      <c r="D21" s="22">
        <f>+SUM(D18:D20)</f>
        <v>20</v>
      </c>
      <c r="E21" s="22">
        <f>+SUM(E18:E20)</f>
        <v>6</v>
      </c>
      <c r="F21" s="22">
        <f>+SUM(F18:F20)</f>
        <v>4</v>
      </c>
      <c r="J21" s="132" t="s">
        <v>76</v>
      </c>
      <c r="K21" s="207">
        <v>0.7</v>
      </c>
      <c r="L21" s="207">
        <v>0.7</v>
      </c>
      <c r="M21" s="207">
        <v>0.7</v>
      </c>
      <c r="N21" s="207">
        <v>0.7</v>
      </c>
    </row>
    <row r="22" spans="1:23" ht="15" thickBot="1" x14ac:dyDescent="0.4">
      <c r="B22" s="228" t="s">
        <v>88</v>
      </c>
      <c r="C22" s="64">
        <f>+C21*2</f>
        <v>60</v>
      </c>
      <c r="D22" s="64">
        <f t="shared" ref="D22:F22" si="3">+D21*2</f>
        <v>40</v>
      </c>
      <c r="E22" s="64">
        <f t="shared" si="3"/>
        <v>12</v>
      </c>
      <c r="F22" s="64">
        <f t="shared" si="3"/>
        <v>8</v>
      </c>
      <c r="G22" s="251">
        <f>+SUM(C22:F22)</f>
        <v>120</v>
      </c>
      <c r="K22" s="247"/>
      <c r="L22" s="247"/>
      <c r="M22" s="247"/>
      <c r="N22" s="247"/>
    </row>
    <row r="23" spans="1:23" x14ac:dyDescent="0.35">
      <c r="B23" s="8"/>
      <c r="C23"/>
      <c r="K23" s="247"/>
      <c r="L23" s="247"/>
      <c r="M23" s="247"/>
      <c r="N23" s="247"/>
    </row>
    <row r="24" spans="1:23" x14ac:dyDescent="0.35">
      <c r="A24" s="2" t="s">
        <v>89</v>
      </c>
      <c r="B24" s="8" t="s">
        <v>90</v>
      </c>
      <c r="J24" s="181" t="s">
        <v>91</v>
      </c>
      <c r="K24" s="182"/>
      <c r="L24" s="182"/>
      <c r="M24" s="182"/>
      <c r="N24" s="182"/>
      <c r="W24" s="130"/>
    </row>
    <row r="25" spans="1:23" x14ac:dyDescent="0.35">
      <c r="B25" s="297" t="s">
        <v>92</v>
      </c>
      <c r="C25" s="298"/>
      <c r="J25" s="132" t="s">
        <v>69</v>
      </c>
      <c r="L25" s="129" t="s">
        <v>70</v>
      </c>
      <c r="W25" s="130"/>
    </row>
    <row r="26" spans="1:23" x14ac:dyDescent="0.35">
      <c r="B26" t="s">
        <v>93</v>
      </c>
      <c r="C26" s="231">
        <v>2.5</v>
      </c>
      <c r="D26" s="130"/>
      <c r="F26" s="8"/>
      <c r="J26" s="132"/>
      <c r="K26" s="132"/>
      <c r="L26" s="132"/>
      <c r="M26" s="132"/>
      <c r="N26" s="132"/>
      <c r="W26" s="130"/>
    </row>
    <row r="27" spans="1:23" x14ac:dyDescent="0.35">
      <c r="B27" t="s">
        <v>94</v>
      </c>
      <c r="C27" s="148">
        <v>1</v>
      </c>
      <c r="G27" s="16"/>
      <c r="H27" s="16"/>
      <c r="J27" s="132" t="s">
        <v>73</v>
      </c>
      <c r="K27" s="138">
        <v>1</v>
      </c>
      <c r="L27" s="138">
        <v>2</v>
      </c>
      <c r="M27" s="138">
        <v>3</v>
      </c>
      <c r="N27" s="138">
        <v>4</v>
      </c>
      <c r="W27" s="130"/>
    </row>
    <row r="28" spans="1:23" x14ac:dyDescent="0.35">
      <c r="B28" t="s">
        <v>95</v>
      </c>
      <c r="C28" s="16">
        <f>+C27*C10</f>
        <v>6.6</v>
      </c>
      <c r="I28" s="16"/>
      <c r="J28" s="132" t="s">
        <v>74</v>
      </c>
      <c r="K28" s="165">
        <f>+IF($L$25="Hi",K39,K33)</f>
        <v>0.05</v>
      </c>
      <c r="L28" s="165">
        <f>+IF($L$25="Hi",L39,L33)</f>
        <v>0.08</v>
      </c>
      <c r="M28" s="165">
        <f>+IF($L$25="Hi",M39,M33)</f>
        <v>0.12</v>
      </c>
      <c r="N28" s="165">
        <f>+IF($L$25="Hi",N39,N33)</f>
        <v>0.2</v>
      </c>
    </row>
    <row r="29" spans="1:23" x14ac:dyDescent="0.35">
      <c r="B29" t="s">
        <v>96</v>
      </c>
      <c r="C29" s="230">
        <f>+C26/C28</f>
        <v>0.37878787878787878</v>
      </c>
      <c r="I29" s="16"/>
      <c r="J29" s="132" t="s">
        <v>76</v>
      </c>
      <c r="K29" s="165">
        <f>+IF($L$25="Hi",K40,K34)</f>
        <v>0.7</v>
      </c>
      <c r="L29" s="165">
        <f>+IF($L$6="Hi",L40,L34)</f>
        <v>0.7</v>
      </c>
      <c r="M29" s="165">
        <f>+IF($L$6="Hi",M40,M34)</f>
        <v>0.7</v>
      </c>
      <c r="N29" s="165">
        <f>+IF($L$6="Hi",N40,N34)</f>
        <v>0.7</v>
      </c>
    </row>
    <row r="30" spans="1:23" x14ac:dyDescent="0.35">
      <c r="B30" s="6" t="s">
        <v>97</v>
      </c>
      <c r="C30" s="209">
        <f>+C29*(31/4)</f>
        <v>2.9356060606060606</v>
      </c>
      <c r="D30" s="210" t="s">
        <v>98</v>
      </c>
      <c r="I30" s="16"/>
      <c r="K30" s="131"/>
      <c r="L30" s="131"/>
      <c r="M30" s="131"/>
      <c r="N30" s="131"/>
    </row>
    <row r="31" spans="1:23" x14ac:dyDescent="0.35">
      <c r="C31"/>
      <c r="J31" s="132" t="s">
        <v>79</v>
      </c>
      <c r="K31" s="166"/>
      <c r="L31" s="166"/>
      <c r="M31" s="166"/>
      <c r="N31" s="166"/>
    </row>
    <row r="32" spans="1:23" x14ac:dyDescent="0.35">
      <c r="B32" s="297" t="s">
        <v>99</v>
      </c>
      <c r="C32" s="298"/>
      <c r="J32" s="132" t="s">
        <v>73</v>
      </c>
      <c r="K32" s="167">
        <v>1</v>
      </c>
      <c r="L32" s="167">
        <v>2</v>
      </c>
      <c r="M32" s="167">
        <v>3</v>
      </c>
      <c r="N32" s="167">
        <v>4</v>
      </c>
      <c r="U32" s="206"/>
    </row>
    <row r="33" spans="1:21" x14ac:dyDescent="0.35">
      <c r="B33" t="s">
        <v>93</v>
      </c>
      <c r="C33" s="231">
        <v>2.5</v>
      </c>
      <c r="D33" s="130"/>
      <c r="J33" s="132" t="s">
        <v>74</v>
      </c>
      <c r="K33" s="164">
        <v>0.05</v>
      </c>
      <c r="L33" s="164">
        <v>0.08</v>
      </c>
      <c r="M33" s="164">
        <v>0.12</v>
      </c>
      <c r="N33" s="164">
        <v>0.2</v>
      </c>
      <c r="U33" s="206"/>
    </row>
    <row r="34" spans="1:21" x14ac:dyDescent="0.35">
      <c r="B34" t="s">
        <v>94</v>
      </c>
      <c r="C34" s="148">
        <v>1</v>
      </c>
      <c r="J34" s="132" t="s">
        <v>76</v>
      </c>
      <c r="K34" s="164">
        <v>0.7</v>
      </c>
      <c r="L34" s="164">
        <v>0.7</v>
      </c>
      <c r="M34" s="164">
        <v>0.7</v>
      </c>
      <c r="N34" s="164">
        <v>0.7</v>
      </c>
      <c r="U34" s="206"/>
    </row>
    <row r="35" spans="1:21" x14ac:dyDescent="0.35">
      <c r="B35" t="s">
        <v>95</v>
      </c>
      <c r="C35" s="16">
        <f>+C34*C10</f>
        <v>6.6</v>
      </c>
      <c r="J35" s="226"/>
      <c r="K35" s="229"/>
      <c r="L35" s="229"/>
      <c r="M35" s="229"/>
      <c r="N35" s="229"/>
      <c r="U35" s="206"/>
    </row>
    <row r="36" spans="1:21" x14ac:dyDescent="0.35">
      <c r="B36" t="s">
        <v>96</v>
      </c>
      <c r="C36" s="230">
        <f>+C33/C35</f>
        <v>0.37878787878787878</v>
      </c>
      <c r="J36" s="132" t="s">
        <v>87</v>
      </c>
      <c r="U36" s="206"/>
    </row>
    <row r="37" spans="1:21" x14ac:dyDescent="0.35">
      <c r="B37" s="6" t="s">
        <v>97</v>
      </c>
      <c r="C37" s="209">
        <f>+C36*(31/4)</f>
        <v>2.9356060606060606</v>
      </c>
      <c r="D37" s="210" t="s">
        <v>98</v>
      </c>
      <c r="J37" s="132"/>
      <c r="K37" s="132"/>
      <c r="L37" s="132"/>
      <c r="M37" s="132"/>
      <c r="N37" s="132"/>
      <c r="U37" s="206"/>
    </row>
    <row r="38" spans="1:21" x14ac:dyDescent="0.35">
      <c r="F38" s="130"/>
      <c r="J38" s="132" t="s">
        <v>73</v>
      </c>
      <c r="K38" s="138">
        <v>1</v>
      </c>
      <c r="L38" s="138">
        <v>2</v>
      </c>
      <c r="M38" s="138">
        <v>3</v>
      </c>
      <c r="N38" s="138">
        <v>4</v>
      </c>
      <c r="U38" s="206"/>
    </row>
    <row r="39" spans="1:21" x14ac:dyDescent="0.35">
      <c r="B39" s="214" t="s">
        <v>100</v>
      </c>
      <c r="C39" s="213">
        <v>0.5</v>
      </c>
      <c r="J39" s="132" t="s">
        <v>74</v>
      </c>
      <c r="K39" s="168">
        <v>0.17</v>
      </c>
      <c r="L39" s="168">
        <v>0.17</v>
      </c>
      <c r="M39" s="168">
        <v>0.17</v>
      </c>
      <c r="N39" s="168">
        <v>0.17</v>
      </c>
    </row>
    <row r="40" spans="1:21" x14ac:dyDescent="0.35">
      <c r="B40" s="214"/>
      <c r="C40" s="213"/>
      <c r="J40" s="132" t="s">
        <v>76</v>
      </c>
      <c r="K40" s="164">
        <v>0.9</v>
      </c>
      <c r="L40" s="164">
        <v>0.9</v>
      </c>
      <c r="M40" s="164">
        <v>0.9</v>
      </c>
      <c r="N40" s="164">
        <v>0.9</v>
      </c>
    </row>
    <row r="41" spans="1:21" x14ac:dyDescent="0.35">
      <c r="A41" s="2" t="s">
        <v>101</v>
      </c>
      <c r="B41" s="2" t="s">
        <v>102</v>
      </c>
      <c r="C41"/>
      <c r="K41" s="247"/>
      <c r="L41" s="247"/>
      <c r="M41" s="247"/>
      <c r="N41" s="247"/>
    </row>
    <row r="42" spans="1:21" x14ac:dyDescent="0.35">
      <c r="B42" s="2"/>
      <c r="C42"/>
      <c r="K42" s="184">
        <f>4/24</f>
        <v>0.16666666666666666</v>
      </c>
    </row>
    <row r="43" spans="1:21" x14ac:dyDescent="0.35">
      <c r="B43" s="228" t="s">
        <v>103</v>
      </c>
      <c r="C43" t="s">
        <v>85</v>
      </c>
      <c r="D43" t="s">
        <v>86</v>
      </c>
      <c r="K43" s="184">
        <f>8/24</f>
        <v>0.33333333333333331</v>
      </c>
    </row>
    <row r="44" spans="1:21" x14ac:dyDescent="0.35">
      <c r="B44" t="s">
        <v>104</v>
      </c>
      <c r="C44" s="147">
        <f>+C21+E21</f>
        <v>36</v>
      </c>
      <c r="D44" s="147">
        <f>+D21+F21</f>
        <v>24</v>
      </c>
      <c r="E44" s="130"/>
    </row>
    <row r="45" spans="1:21" x14ac:dyDescent="0.35">
      <c r="B45" t="s">
        <v>105</v>
      </c>
      <c r="C45" s="145">
        <v>11000</v>
      </c>
      <c r="D45" s="145">
        <v>9000</v>
      </c>
      <c r="E45" s="130" t="s">
        <v>106</v>
      </c>
      <c r="J45" s="226">
        <v>5900000</v>
      </c>
      <c r="K45" s="227"/>
      <c r="L45" s="227"/>
      <c r="M45" s="227"/>
      <c r="N45" s="227"/>
    </row>
    <row r="46" spans="1:21" x14ac:dyDescent="0.35">
      <c r="B46" s="134" t="s">
        <v>107</v>
      </c>
      <c r="C46" s="146">
        <f>+C44*C45</f>
        <v>396000</v>
      </c>
      <c r="D46" s="146">
        <f>+D44*D45</f>
        <v>216000</v>
      </c>
      <c r="J46" s="226">
        <v>60</v>
      </c>
      <c r="K46" s="227"/>
      <c r="L46" s="227"/>
      <c r="M46" s="227"/>
      <c r="N46" s="227"/>
    </row>
    <row r="47" spans="1:21" x14ac:dyDescent="0.35">
      <c r="C47" s="145"/>
      <c r="D47" s="145">
        <f>+C46+D46</f>
        <v>612000</v>
      </c>
      <c r="E47" s="136"/>
      <c r="J47" s="226">
        <f>+J45/J46</f>
        <v>98333.333333333328</v>
      </c>
      <c r="K47" s="227"/>
      <c r="L47" s="227"/>
      <c r="M47" s="227"/>
      <c r="N47" s="227"/>
    </row>
    <row r="48" spans="1:21" x14ac:dyDescent="0.35">
      <c r="B48" t="s">
        <v>108</v>
      </c>
      <c r="C48" s="296">
        <v>12500</v>
      </c>
      <c r="D48" s="296">
        <v>5000</v>
      </c>
      <c r="E48" s="130" t="s">
        <v>109</v>
      </c>
      <c r="J48" s="226"/>
      <c r="K48" s="227"/>
      <c r="L48" s="227"/>
      <c r="M48" s="227"/>
      <c r="N48" s="227"/>
    </row>
    <row r="49" spans="2:14" x14ac:dyDescent="0.35">
      <c r="B49" s="2"/>
      <c r="C49"/>
      <c r="J49" s="226"/>
      <c r="K49" s="227"/>
      <c r="L49" s="227"/>
      <c r="M49" s="227"/>
      <c r="N49" s="227"/>
    </row>
    <row r="50" spans="2:14" x14ac:dyDescent="0.35">
      <c r="B50" s="2"/>
      <c r="C50"/>
      <c r="J50" s="2" t="s">
        <v>110</v>
      </c>
      <c r="L50" s="227"/>
      <c r="M50" s="227"/>
      <c r="N50" s="227"/>
    </row>
    <row r="51" spans="2:14" x14ac:dyDescent="0.35">
      <c r="B51" s="2"/>
      <c r="C51" t="s">
        <v>111</v>
      </c>
      <c r="J51" s="2" t="s">
        <v>112</v>
      </c>
      <c r="K51" s="2" t="s">
        <v>113</v>
      </c>
      <c r="L51" s="227"/>
      <c r="M51" s="227"/>
      <c r="N51" s="227"/>
    </row>
    <row r="52" spans="2:14" x14ac:dyDescent="0.35">
      <c r="B52" t="s">
        <v>114</v>
      </c>
      <c r="C52" s="133">
        <v>1000000</v>
      </c>
      <c r="D52" s="130" t="s">
        <v>115</v>
      </c>
      <c r="I52" s="9" t="s">
        <v>114</v>
      </c>
      <c r="J52" s="133">
        <f>+C52/SUM($C$44:$D$44)</f>
        <v>16666.666666666668</v>
      </c>
      <c r="K52" s="133">
        <f>+J52</f>
        <v>16666.666666666668</v>
      </c>
      <c r="L52" s="227"/>
      <c r="M52" s="227"/>
      <c r="N52" s="227"/>
    </row>
    <row r="53" spans="2:14" x14ac:dyDescent="0.35">
      <c r="B53" t="s">
        <v>116</v>
      </c>
      <c r="C53" s="133">
        <f>38400*SUM(C21,E21)</f>
        <v>1382400</v>
      </c>
      <c r="D53" s="130" t="s">
        <v>117</v>
      </c>
      <c r="I53" s="9" t="s">
        <v>116</v>
      </c>
      <c r="J53" s="133">
        <f t="shared" ref="J53:J55" si="4">+C53/SUM($C$44:$D$44)</f>
        <v>23040</v>
      </c>
      <c r="K53" s="133">
        <f t="shared" ref="K53:K59" si="5">+J53</f>
        <v>23040</v>
      </c>
      <c r="L53" s="227"/>
      <c r="M53" s="227"/>
      <c r="N53" s="227"/>
    </row>
    <row r="54" spans="2:14" x14ac:dyDescent="0.35">
      <c r="B54" t="s">
        <v>118</v>
      </c>
      <c r="C54" s="133">
        <f>+C53*0.5</f>
        <v>691200</v>
      </c>
      <c r="D54" s="130" t="s">
        <v>119</v>
      </c>
      <c r="I54" s="9" t="s">
        <v>118</v>
      </c>
      <c r="J54" s="133">
        <f t="shared" si="4"/>
        <v>11520</v>
      </c>
      <c r="K54" s="133">
        <f t="shared" si="5"/>
        <v>11520</v>
      </c>
    </row>
    <row r="55" spans="2:14" x14ac:dyDescent="0.35">
      <c r="B55" t="s">
        <v>120</v>
      </c>
      <c r="C55" s="133">
        <v>50000</v>
      </c>
      <c r="D55" s="130" t="s">
        <v>115</v>
      </c>
      <c r="I55" s="9" t="s">
        <v>120</v>
      </c>
      <c r="J55" s="133">
        <f t="shared" si="4"/>
        <v>833.33333333333337</v>
      </c>
      <c r="K55" s="133">
        <f t="shared" si="5"/>
        <v>833.33333333333337</v>
      </c>
    </row>
    <row r="56" spans="2:14" x14ac:dyDescent="0.35">
      <c r="B56" t="s">
        <v>121</v>
      </c>
      <c r="C56" s="133">
        <v>200000</v>
      </c>
      <c r="D56" s="130" t="s">
        <v>117</v>
      </c>
      <c r="I56" s="9" t="s">
        <v>121</v>
      </c>
      <c r="J56" s="133">
        <f>+C56/SUM($C$44:$D$44)</f>
        <v>3333.3333333333335</v>
      </c>
      <c r="K56" s="133">
        <f t="shared" si="5"/>
        <v>3333.3333333333335</v>
      </c>
    </row>
    <row r="57" spans="2:14" x14ac:dyDescent="0.35">
      <c r="B57" t="s">
        <v>122</v>
      </c>
      <c r="C57" s="133">
        <f>3000*SUM(C44:D44)</f>
        <v>180000</v>
      </c>
      <c r="D57" s="130" t="s">
        <v>117</v>
      </c>
      <c r="I57" s="9" t="s">
        <v>122</v>
      </c>
      <c r="J57" s="133">
        <f>+C57/C44</f>
        <v>5000</v>
      </c>
      <c r="K57" s="133" t="s">
        <v>123</v>
      </c>
    </row>
    <row r="58" spans="2:14" x14ac:dyDescent="0.35">
      <c r="B58" t="s">
        <v>124</v>
      </c>
      <c r="C58" s="169" t="s">
        <v>125</v>
      </c>
      <c r="D58" s="133"/>
      <c r="I58" s="9" t="s">
        <v>124</v>
      </c>
      <c r="J58" s="133">
        <f>+C48</f>
        <v>12500</v>
      </c>
      <c r="K58" s="133">
        <f>+D48</f>
        <v>5000</v>
      </c>
    </row>
    <row r="59" spans="2:14" x14ac:dyDescent="0.35">
      <c r="B59" t="s">
        <v>126</v>
      </c>
      <c r="C59" s="133">
        <f>+D59*SUM(C52:C57)</f>
        <v>1051080</v>
      </c>
      <c r="D59" s="184">
        <v>0.3</v>
      </c>
      <c r="E59" s="185" t="s">
        <v>127</v>
      </c>
      <c r="I59" s="9" t="s">
        <v>126</v>
      </c>
      <c r="J59" s="309">
        <f>+C59/60</f>
        <v>17518</v>
      </c>
      <c r="K59" s="309">
        <f t="shared" si="5"/>
        <v>17518</v>
      </c>
    </row>
    <row r="60" spans="2:14" x14ac:dyDescent="0.35">
      <c r="B60" s="134" t="s">
        <v>107</v>
      </c>
      <c r="C60" s="135">
        <f>+SUM(C52:C59)</f>
        <v>4554680</v>
      </c>
      <c r="E60" s="136"/>
      <c r="I60" s="310" t="s">
        <v>107</v>
      </c>
      <c r="J60" s="135">
        <f>+SUM(J52:J59)</f>
        <v>90411.333333333343</v>
      </c>
      <c r="K60" s="135">
        <f>+SUM(K52:K59)</f>
        <v>77911.333333333343</v>
      </c>
    </row>
    <row r="61" spans="2:14" x14ac:dyDescent="0.35">
      <c r="B61" s="254"/>
      <c r="C61" s="253"/>
      <c r="E61" s="136"/>
    </row>
    <row r="62" spans="2:14" x14ac:dyDescent="0.35">
      <c r="B62" s="254" t="s">
        <v>128</v>
      </c>
      <c r="C62" s="253">
        <f>IF(D62="ON",4000,0)</f>
        <v>0</v>
      </c>
      <c r="D62" s="103" t="s">
        <v>336</v>
      </c>
      <c r="E62" s="130" t="s">
        <v>337</v>
      </c>
    </row>
    <row r="63" spans="2:14" x14ac:dyDescent="0.35">
      <c r="B63" s="254"/>
      <c r="C63" s="253"/>
      <c r="E63" s="136"/>
    </row>
    <row r="64" spans="2:14" x14ac:dyDescent="0.35">
      <c r="B64" s="239" t="s">
        <v>129</v>
      </c>
      <c r="C64" s="240">
        <f>(D21/($D$21+$F$21))</f>
        <v>0.83333333333333337</v>
      </c>
    </row>
    <row r="65" spans="1:9" x14ac:dyDescent="0.35">
      <c r="B65" s="239" t="s">
        <v>130</v>
      </c>
      <c r="C65" s="241">
        <f>1-C64</f>
        <v>0.16666666666666663</v>
      </c>
    </row>
    <row r="66" spans="1:9" x14ac:dyDescent="0.35">
      <c r="B66" s="2"/>
      <c r="C66"/>
    </row>
    <row r="67" spans="1:9" x14ac:dyDescent="0.35">
      <c r="A67" s="2" t="s">
        <v>131</v>
      </c>
      <c r="B67" s="2" t="s">
        <v>132</v>
      </c>
    </row>
    <row r="68" spans="1:9" x14ac:dyDescent="0.35">
      <c r="B68" s="215" t="s">
        <v>133</v>
      </c>
      <c r="C68" s="303">
        <v>200</v>
      </c>
      <c r="D68" s="130"/>
    </row>
    <row r="69" spans="1:9" x14ac:dyDescent="0.35">
      <c r="B69" s="215"/>
      <c r="C69" s="303"/>
      <c r="D69" s="130"/>
    </row>
    <row r="70" spans="1:9" x14ac:dyDescent="0.35">
      <c r="B70" s="215" t="s">
        <v>21</v>
      </c>
      <c r="C70" s="304">
        <v>0.15</v>
      </c>
      <c r="D70" s="130"/>
    </row>
    <row r="71" spans="1:9" x14ac:dyDescent="0.35">
      <c r="B71" s="215"/>
      <c r="C71" s="303"/>
      <c r="D71" s="130"/>
    </row>
    <row r="72" spans="1:9" ht="15" thickBot="1" x14ac:dyDescent="0.4">
      <c r="B72" s="215" t="s">
        <v>134</v>
      </c>
      <c r="C72" s="303">
        <v>120</v>
      </c>
      <c r="D72" s="130"/>
    </row>
    <row r="73" spans="1:9" x14ac:dyDescent="0.35">
      <c r="B73" s="215" t="s">
        <v>135</v>
      </c>
      <c r="C73" s="303">
        <v>120</v>
      </c>
      <c r="D73" s="130"/>
      <c r="H73" s="2" t="s">
        <v>136</v>
      </c>
      <c r="I73" s="313" t="s">
        <v>137</v>
      </c>
    </row>
    <row r="74" spans="1:9" x14ac:dyDescent="0.35">
      <c r="D74" s="130"/>
      <c r="H74" s="2"/>
      <c r="I74" s="314"/>
    </row>
    <row r="75" spans="1:9" x14ac:dyDescent="0.35">
      <c r="B75" s="215" t="s">
        <v>138</v>
      </c>
      <c r="C75" s="303">
        <f>+I85/G22</f>
        <v>208.33333333333334</v>
      </c>
      <c r="D75" t="s">
        <v>139</v>
      </c>
      <c r="E75" s="354" t="s">
        <v>140</v>
      </c>
      <c r="F75" s="355"/>
      <c r="G75" s="356"/>
      <c r="H75">
        <v>2</v>
      </c>
      <c r="I75" s="315">
        <v>11000</v>
      </c>
    </row>
    <row r="76" spans="1:9" x14ac:dyDescent="0.35">
      <c r="B76" s="215" t="s">
        <v>141</v>
      </c>
      <c r="C76" s="295">
        <f>+C82/$G$22</f>
        <v>333.33333333333331</v>
      </c>
      <c r="D76" s="360" t="s">
        <v>142</v>
      </c>
      <c r="E76" s="357"/>
      <c r="F76" s="358"/>
      <c r="G76" s="359"/>
      <c r="H76">
        <v>4</v>
      </c>
      <c r="I76" s="315">
        <v>9000</v>
      </c>
    </row>
    <row r="77" spans="1:9" x14ac:dyDescent="0.35">
      <c r="B77" s="215" t="s">
        <v>31</v>
      </c>
      <c r="C77" s="295">
        <f>+C80/$G$22+C75</f>
        <v>1541.6666666666665</v>
      </c>
      <c r="D77" s="360"/>
      <c r="E77" s="357"/>
      <c r="F77" s="358"/>
      <c r="G77" s="359"/>
      <c r="H77">
        <v>2</v>
      </c>
      <c r="I77" s="315">
        <v>2000</v>
      </c>
    </row>
    <row r="78" spans="1:9" x14ac:dyDescent="0.35">
      <c r="B78" s="214" t="s">
        <v>143</v>
      </c>
      <c r="C78" s="295">
        <f>+C81/$G$22</f>
        <v>833.33333333333337</v>
      </c>
      <c r="D78" s="360"/>
      <c r="E78" s="357"/>
      <c r="F78" s="358"/>
      <c r="G78" s="359"/>
      <c r="H78">
        <v>5</v>
      </c>
      <c r="I78" s="315">
        <v>3250</v>
      </c>
    </row>
    <row r="79" spans="1:9" x14ac:dyDescent="0.35">
      <c r="E79" s="357"/>
      <c r="F79" s="358"/>
      <c r="G79" s="359"/>
      <c r="H79">
        <v>25</v>
      </c>
      <c r="I79" s="315">
        <v>50</v>
      </c>
    </row>
    <row r="80" spans="1:9" x14ac:dyDescent="0.35">
      <c r="B80" s="215" t="s">
        <v>144</v>
      </c>
      <c r="C80" s="303">
        <v>160000</v>
      </c>
      <c r="D80" s="130" t="s">
        <v>145</v>
      </c>
      <c r="E80" s="357"/>
      <c r="F80" s="358"/>
      <c r="G80" s="359"/>
      <c r="H80">
        <v>25</v>
      </c>
      <c r="I80" s="315">
        <v>320</v>
      </c>
    </row>
    <row r="81" spans="1:13" x14ac:dyDescent="0.35">
      <c r="B81" s="214" t="s">
        <v>143</v>
      </c>
      <c r="C81" s="303">
        <v>100000</v>
      </c>
      <c r="D81" s="130" t="s">
        <v>146</v>
      </c>
      <c r="E81" s="357"/>
      <c r="F81" s="358"/>
      <c r="G81" s="359"/>
      <c r="H81">
        <v>25</v>
      </c>
      <c r="I81" s="315">
        <v>100</v>
      </c>
    </row>
    <row r="82" spans="1:13" x14ac:dyDescent="0.35">
      <c r="B82" s="215" t="s">
        <v>141</v>
      </c>
      <c r="C82" s="303">
        <v>40000</v>
      </c>
      <c r="E82" s="357"/>
      <c r="F82" s="358"/>
      <c r="G82" s="359"/>
      <c r="H82">
        <v>10</v>
      </c>
      <c r="I82" s="315">
        <v>1000</v>
      </c>
    </row>
    <row r="83" spans="1:13" x14ac:dyDescent="0.35">
      <c r="B83" s="305" t="s">
        <v>147</v>
      </c>
      <c r="C83" s="16">
        <v>2.5</v>
      </c>
      <c r="D83" s="361" t="s">
        <v>148</v>
      </c>
      <c r="E83" s="357"/>
      <c r="F83" s="358"/>
      <c r="G83" s="359"/>
      <c r="I83" s="315">
        <f>+SUMPRODUCT(H75:H82,I75:I82)</f>
        <v>100000</v>
      </c>
    </row>
    <row r="84" spans="1:13" x14ac:dyDescent="0.35">
      <c r="B84" s="305" t="s">
        <v>149</v>
      </c>
      <c r="C84" s="16">
        <v>2</v>
      </c>
      <c r="D84" s="361"/>
      <c r="E84" s="252"/>
      <c r="F84" s="311"/>
      <c r="G84" s="252"/>
      <c r="H84" s="9" t="s">
        <v>150</v>
      </c>
      <c r="I84" s="316">
        <v>4</v>
      </c>
    </row>
    <row r="85" spans="1:13" ht="15" thickBot="1" x14ac:dyDescent="0.4">
      <c r="D85" s="306"/>
      <c r="E85" s="252"/>
      <c r="F85" s="311"/>
      <c r="G85" s="252"/>
      <c r="I85" s="317">
        <f>+I83/I84</f>
        <v>25000</v>
      </c>
    </row>
    <row r="86" spans="1:13" s="220" customFormat="1" x14ac:dyDescent="0.35">
      <c r="A86" s="335"/>
      <c r="C86" s="336"/>
      <c r="E86" s="337"/>
      <c r="F86" s="338"/>
      <c r="G86" s="337"/>
      <c r="I86" s="339"/>
    </row>
    <row r="87" spans="1:13" x14ac:dyDescent="0.35">
      <c r="A87" s="335" t="s">
        <v>151</v>
      </c>
      <c r="B87" s="8" t="s">
        <v>152</v>
      </c>
      <c r="C87"/>
      <c r="D87" s="105"/>
      <c r="H87" s="8" t="s">
        <v>153</v>
      </c>
      <c r="J87" t="s">
        <v>154</v>
      </c>
      <c r="M87" s="220"/>
    </row>
    <row r="88" spans="1:13" x14ac:dyDescent="0.35">
      <c r="A88" s="335"/>
      <c r="B88" s="88" t="s">
        <v>155</v>
      </c>
      <c r="C88" s="105"/>
      <c r="D88" s="97" t="s">
        <v>156</v>
      </c>
      <c r="E88" s="97" t="s">
        <v>136</v>
      </c>
      <c r="H88" s="88" t="s">
        <v>155</v>
      </c>
      <c r="M88" s="220"/>
    </row>
    <row r="89" spans="1:13" x14ac:dyDescent="0.35">
      <c r="A89" s="335"/>
      <c r="B89" t="s">
        <v>157</v>
      </c>
      <c r="C89" s="322">
        <f>+[14]BPP!$B$8</f>
        <v>1.28</v>
      </c>
      <c r="D89" t="s">
        <v>158</v>
      </c>
      <c r="E89" t="s">
        <v>159</v>
      </c>
      <c r="H89" t="s">
        <v>157</v>
      </c>
      <c r="J89" s="324">
        <f>+[14]BPP!$B$8</f>
        <v>1.28</v>
      </c>
      <c r="M89" s="220"/>
    </row>
    <row r="90" spans="1:13" x14ac:dyDescent="0.35">
      <c r="A90" s="335"/>
      <c r="B90" t="s">
        <v>160</v>
      </c>
      <c r="C90" s="322">
        <v>0</v>
      </c>
      <c r="D90" t="s">
        <v>158</v>
      </c>
      <c r="E90" t="s">
        <v>159</v>
      </c>
      <c r="H90" t="s">
        <v>161</v>
      </c>
      <c r="J90" s="105"/>
      <c r="M90" s="220"/>
    </row>
    <row r="91" spans="1:13" x14ac:dyDescent="0.35">
      <c r="A91" s="335"/>
      <c r="C91"/>
      <c r="J91" s="105"/>
      <c r="K91" s="97" t="s">
        <v>156</v>
      </c>
      <c r="L91" s="97" t="s">
        <v>136</v>
      </c>
      <c r="M91" s="220"/>
    </row>
    <row r="92" spans="1:13" x14ac:dyDescent="0.35">
      <c r="A92" s="335"/>
      <c r="B92" s="88" t="s">
        <v>162</v>
      </c>
      <c r="C92" s="187" t="s">
        <v>163</v>
      </c>
      <c r="D92" s="187" t="s">
        <v>164</v>
      </c>
      <c r="H92" s="88" t="s">
        <v>162</v>
      </c>
      <c r="I92" s="187" t="s">
        <v>163</v>
      </c>
      <c r="J92" s="91">
        <v>0</v>
      </c>
      <c r="K92" t="s">
        <v>158</v>
      </c>
      <c r="L92" t="s">
        <v>159</v>
      </c>
      <c r="M92" s="220"/>
    </row>
    <row r="93" spans="1:13" x14ac:dyDescent="0.35">
      <c r="A93" s="335"/>
      <c r="B93" s="11" t="s">
        <v>165</v>
      </c>
      <c r="C93" s="130">
        <v>205.19</v>
      </c>
      <c r="D93" s="130">
        <v>165.25</v>
      </c>
      <c r="H93" s="340" t="s">
        <v>165</v>
      </c>
      <c r="J93" s="322">
        <v>28.1</v>
      </c>
      <c r="K93" t="s">
        <v>158</v>
      </c>
      <c r="L93" t="s">
        <v>159</v>
      </c>
      <c r="M93" s="220"/>
    </row>
    <row r="94" spans="1:13" x14ac:dyDescent="0.35">
      <c r="A94" s="335"/>
      <c r="B94" t="s">
        <v>166</v>
      </c>
      <c r="C94" s="130">
        <v>29.06</v>
      </c>
      <c r="D94" s="130">
        <v>22.95</v>
      </c>
      <c r="H94" t="s">
        <v>166</v>
      </c>
      <c r="M94" s="220"/>
    </row>
    <row r="95" spans="1:13" x14ac:dyDescent="0.35">
      <c r="A95" s="335"/>
      <c r="C95"/>
      <c r="J95" s="187" t="s">
        <v>164</v>
      </c>
      <c r="M95" s="220"/>
    </row>
    <row r="96" spans="1:13" x14ac:dyDescent="0.35">
      <c r="A96" s="335"/>
      <c r="B96" s="188" t="s">
        <v>167</v>
      </c>
      <c r="C96" s="73">
        <v>2.1000000000000001E-2</v>
      </c>
      <c r="D96" s="22"/>
      <c r="H96" s="341" t="s">
        <v>351</v>
      </c>
      <c r="I96" s="342">
        <f>14.68/100</f>
        <v>0.14679999999999999</v>
      </c>
      <c r="M96" s="220"/>
    </row>
    <row r="97" spans="1:13" x14ac:dyDescent="0.35">
      <c r="A97" s="335"/>
      <c r="C97"/>
      <c r="H97" s="130" t="s">
        <v>352</v>
      </c>
      <c r="I97" s="130">
        <f>12.32/100</f>
        <v>0.1232</v>
      </c>
      <c r="M97" s="220"/>
    </row>
    <row r="98" spans="1:13" x14ac:dyDescent="0.35">
      <c r="A98" s="335"/>
      <c r="B98" s="88" t="s">
        <v>168</v>
      </c>
      <c r="C98"/>
      <c r="H98" s="88" t="s">
        <v>168</v>
      </c>
      <c r="M98" s="220"/>
    </row>
    <row r="99" spans="1:13" x14ac:dyDescent="0.35">
      <c r="A99" s="335"/>
      <c r="B99" t="s">
        <v>169</v>
      </c>
      <c r="C99" s="323">
        <v>1.523E-2</v>
      </c>
      <c r="D99" s="130" t="s">
        <v>340</v>
      </c>
      <c r="H99" t="s">
        <v>169</v>
      </c>
      <c r="I99" s="325">
        <v>1.128E-2</v>
      </c>
      <c r="J99" s="244">
        <v>0.1046</v>
      </c>
      <c r="K99" s="130" t="s">
        <v>340</v>
      </c>
      <c r="M99" s="220"/>
    </row>
    <row r="100" spans="1:13" x14ac:dyDescent="0.35">
      <c r="A100" s="335"/>
      <c r="B100" t="s">
        <v>171</v>
      </c>
      <c r="C100" s="323">
        <v>9.8900000000000008E-4</v>
      </c>
      <c r="D100" s="130" t="s">
        <v>340</v>
      </c>
      <c r="H100" t="s">
        <v>171</v>
      </c>
      <c r="I100" s="323">
        <v>1.5870000000000001E-3</v>
      </c>
      <c r="K100" s="130" t="s">
        <v>340</v>
      </c>
      <c r="M100" s="220"/>
    </row>
    <row r="101" spans="1:13" x14ac:dyDescent="0.35">
      <c r="A101" s="335"/>
      <c r="B101" t="s">
        <v>172</v>
      </c>
      <c r="C101" s="325">
        <f>AVERAGE([15]SC9!$DU$15:$EF$15)</f>
        <v>6.7383333333333323E-3</v>
      </c>
      <c r="D101" s="130" t="s">
        <v>341</v>
      </c>
      <c r="E101" t="s">
        <v>174</v>
      </c>
      <c r="H101" t="s">
        <v>172</v>
      </c>
      <c r="I101" s="325">
        <f>AVERAGE([16]SC2!$DU$17:$EF$17)</f>
        <v>6.7383333333333323E-3</v>
      </c>
      <c r="J101" s="130" t="s">
        <v>341</v>
      </c>
      <c r="M101" s="220"/>
    </row>
    <row r="102" spans="1:13" x14ac:dyDescent="0.35">
      <c r="A102" s="335"/>
      <c r="B102" t="s">
        <v>175</v>
      </c>
      <c r="C102" s="323">
        <f>AVERAGE([15]SC9!$DT$25:$EE$25)</f>
        <v>1.5484166666666667E-3</v>
      </c>
      <c r="D102" s="130" t="s">
        <v>342</v>
      </c>
      <c r="E102" t="s">
        <v>174</v>
      </c>
      <c r="H102" t="s">
        <v>175</v>
      </c>
      <c r="I102" s="323">
        <f>AVERAGE([16]SC2!$DT$28:$EE$28)</f>
        <v>1.5484166666666667E-3</v>
      </c>
      <c r="J102" s="130" t="s">
        <v>342</v>
      </c>
      <c r="M102" s="220"/>
    </row>
    <row r="103" spans="1:13" x14ac:dyDescent="0.35">
      <c r="A103" s="335"/>
      <c r="B103" t="s">
        <v>176</v>
      </c>
      <c r="C103" s="323">
        <f>AVERAGE([15]SC9!$DT$16:$EE$16)</f>
        <v>3.7250000000000004E-5</v>
      </c>
      <c r="D103" s="130" t="s">
        <v>342</v>
      </c>
      <c r="E103" t="s">
        <v>174</v>
      </c>
      <c r="H103" t="s">
        <v>176</v>
      </c>
      <c r="I103" s="323">
        <f>AVERAGE([16]SC2!$DT$18:$EE$18)</f>
        <v>3.7250000000000004E-5</v>
      </c>
      <c r="J103" s="130" t="s">
        <v>342</v>
      </c>
      <c r="M103" s="220"/>
    </row>
    <row r="104" spans="1:13" x14ac:dyDescent="0.35">
      <c r="A104" s="335"/>
      <c r="B104" t="s">
        <v>177</v>
      </c>
      <c r="C104" s="327">
        <f>AVERAGE([15]SC9!$DT$17:$EE$17)</f>
        <v>6.666666666666666E-7</v>
      </c>
      <c r="D104" s="130" t="s">
        <v>342</v>
      </c>
      <c r="E104" t="s">
        <v>174</v>
      </c>
      <c r="H104" t="s">
        <v>177</v>
      </c>
      <c r="I104" s="327">
        <f>AVERAGE([16]SC2!$DT$19:$EE$19)</f>
        <v>6.666666666666666E-7</v>
      </c>
      <c r="J104" s="130" t="s">
        <v>342</v>
      </c>
      <c r="K104" t="s">
        <v>174</v>
      </c>
      <c r="M104" s="220"/>
    </row>
    <row r="105" spans="1:13" x14ac:dyDescent="0.35">
      <c r="A105" s="335"/>
      <c r="B105" t="s">
        <v>178</v>
      </c>
      <c r="C105" s="326">
        <v>0</v>
      </c>
      <c r="D105" s="130" t="s">
        <v>343</v>
      </c>
      <c r="E105" t="s">
        <v>174</v>
      </c>
      <c r="H105" t="s">
        <v>178</v>
      </c>
      <c r="I105" s="326">
        <v>0</v>
      </c>
      <c r="J105" s="130" t="s">
        <v>343</v>
      </c>
      <c r="K105" t="s">
        <v>174</v>
      </c>
      <c r="M105" s="220"/>
    </row>
    <row r="106" spans="1:13" x14ac:dyDescent="0.35">
      <c r="A106" s="335"/>
      <c r="B106" t="s">
        <v>180</v>
      </c>
      <c r="C106" s="326">
        <f>AVERAGE([15]SC9!$DU$23:$EF$23)</f>
        <v>5.1000000000000004E-3</v>
      </c>
      <c r="D106" s="130" t="s">
        <v>340</v>
      </c>
      <c r="E106" t="s">
        <v>174</v>
      </c>
      <c r="H106" t="s">
        <v>180</v>
      </c>
      <c r="I106" s="326">
        <f>AVERAGE([16]SC2!$DU$20:$EF$20)</f>
        <v>5.1000000000000004E-3</v>
      </c>
      <c r="J106" s="130" t="s">
        <v>340</v>
      </c>
      <c r="K106" t="s">
        <v>174</v>
      </c>
      <c r="M106" s="220"/>
    </row>
    <row r="107" spans="1:13" x14ac:dyDescent="0.35">
      <c r="A107" s="335"/>
      <c r="B107" t="s">
        <v>181</v>
      </c>
      <c r="C107" s="102">
        <v>0</v>
      </c>
      <c r="D107" t="s">
        <v>170</v>
      </c>
      <c r="H107" t="s">
        <v>181</v>
      </c>
      <c r="I107" s="102">
        <v>0</v>
      </c>
      <c r="J107" t="s">
        <v>173</v>
      </c>
      <c r="K107" t="s">
        <v>174</v>
      </c>
      <c r="M107" s="220"/>
    </row>
    <row r="108" spans="1:13" x14ac:dyDescent="0.35">
      <c r="A108" s="335"/>
      <c r="B108" t="s">
        <v>182</v>
      </c>
      <c r="C108" s="328">
        <f>AVERAGE([15]SC9!$DU$33:$EF$33)</f>
        <v>2.5281999999999999E-2</v>
      </c>
      <c r="D108" s="130" t="s">
        <v>340</v>
      </c>
      <c r="H108" t="s">
        <v>182</v>
      </c>
      <c r="I108" s="328">
        <f>AVERAGE([16]SC2!$DU$27:$EF$27)</f>
        <v>2.5281999999999999E-2</v>
      </c>
      <c r="J108" s="130" t="s">
        <v>340</v>
      </c>
      <c r="K108" t="s">
        <v>174</v>
      </c>
      <c r="M108" s="220"/>
    </row>
    <row r="109" spans="1:13" x14ac:dyDescent="0.35">
      <c r="A109" s="335"/>
      <c r="C109"/>
      <c r="J109" t="s">
        <v>179</v>
      </c>
      <c r="K109" t="s">
        <v>174</v>
      </c>
      <c r="M109" s="220"/>
    </row>
    <row r="110" spans="1:13" x14ac:dyDescent="0.35">
      <c r="A110" s="335"/>
      <c r="B110" s="88" t="s">
        <v>183</v>
      </c>
      <c r="C110"/>
      <c r="H110" s="88" t="s">
        <v>183</v>
      </c>
      <c r="J110" t="s">
        <v>170</v>
      </c>
      <c r="M110" s="220"/>
    </row>
    <row r="111" spans="1:13" x14ac:dyDescent="0.35">
      <c r="A111" s="335"/>
      <c r="B111" t="s">
        <v>184</v>
      </c>
      <c r="C111" s="329">
        <f>AVERAGE([15]SC9!$DU$36:$EF$36)</f>
        <v>10.156666666666665</v>
      </c>
      <c r="D111" s="130" t="s">
        <v>341</v>
      </c>
      <c r="E111" t="s">
        <v>185</v>
      </c>
      <c r="G111" s="220"/>
      <c r="H111" t="s">
        <v>184</v>
      </c>
      <c r="I111" s="143">
        <v>0</v>
      </c>
      <c r="J111" s="130" t="s">
        <v>344</v>
      </c>
      <c r="M111" s="220"/>
    </row>
    <row r="112" spans="1:13" x14ac:dyDescent="0.35">
      <c r="A112" s="335"/>
      <c r="B112" t="s">
        <v>186</v>
      </c>
      <c r="C112" s="326">
        <f>AVERAGE([15]SC9!$DT$35:$EE$35)</f>
        <v>3.1865083333333336E-2</v>
      </c>
      <c r="D112" s="130" t="s">
        <v>342</v>
      </c>
      <c r="E112" t="s">
        <v>174</v>
      </c>
      <c r="H112" t="s">
        <v>186</v>
      </c>
      <c r="I112" s="326">
        <f>AVERAGE([16]SC2!$DT$24:$EE$24)</f>
        <v>6.7778000000000005E-2</v>
      </c>
      <c r="J112" s="130" t="s">
        <v>342</v>
      </c>
      <c r="M112" s="220"/>
    </row>
    <row r="113" spans="1:13" x14ac:dyDescent="0.35">
      <c r="A113" s="335"/>
      <c r="B113" t="s">
        <v>347</v>
      </c>
      <c r="C113" s="326">
        <f>AVERAGE([15]SC9!$DT$38:$EE$38)</f>
        <v>-5.0515833333333341E-3</v>
      </c>
      <c r="D113" s="130" t="s">
        <v>342</v>
      </c>
      <c r="E113" t="s">
        <v>174</v>
      </c>
      <c r="H113" t="s">
        <v>187</v>
      </c>
      <c r="I113" s="326">
        <f>AVERAGE([16]SC2!$DT$29:$EE$29)</f>
        <v>-5.0515833333333341E-3</v>
      </c>
      <c r="J113" s="130" t="s">
        <v>342</v>
      </c>
      <c r="K113" s="130" t="s">
        <v>174</v>
      </c>
      <c r="M113" s="220"/>
    </row>
    <row r="114" spans="1:13" x14ac:dyDescent="0.35">
      <c r="A114" s="335"/>
      <c r="B114" t="s">
        <v>348</v>
      </c>
      <c r="C114" s="326">
        <f>AVERAGE([15]SC9!$DT$39:$EE$39)</f>
        <v>9.0739166666666659E-3</v>
      </c>
      <c r="D114" s="130" t="s">
        <v>173</v>
      </c>
      <c r="E114" t="s">
        <v>174</v>
      </c>
      <c r="H114" t="s">
        <v>188</v>
      </c>
      <c r="I114" s="326">
        <f>AVERAGE([16]SC2!$DT$30:$EE$30)</f>
        <v>9.0739166666666659E-3</v>
      </c>
      <c r="J114" s="130" t="s">
        <v>173</v>
      </c>
      <c r="K114" s="130" t="s">
        <v>174</v>
      </c>
      <c r="M114" s="220"/>
    </row>
    <row r="115" spans="1:13" x14ac:dyDescent="0.35">
      <c r="A115" s="335"/>
      <c r="B115" s="220" t="s">
        <v>189</v>
      </c>
      <c r="C115" s="332">
        <v>8.8099999999999995E-4</v>
      </c>
      <c r="D115" s="331" t="s">
        <v>340</v>
      </c>
      <c r="E115" s="220" t="s">
        <v>174</v>
      </c>
      <c r="F115" s="220"/>
      <c r="G115" s="220"/>
      <c r="H115" s="220" t="s">
        <v>189</v>
      </c>
      <c r="I115" s="332">
        <v>8.8099999999999995E-4</v>
      </c>
      <c r="J115" s="331" t="s">
        <v>340</v>
      </c>
      <c r="K115" s="220" t="s">
        <v>174</v>
      </c>
      <c r="M115" s="220"/>
    </row>
    <row r="116" spans="1:13" x14ac:dyDescent="0.35">
      <c r="A116" s="335"/>
      <c r="B116" s="220" t="s">
        <v>190</v>
      </c>
      <c r="C116" s="332">
        <v>3.7360000000000002E-3</v>
      </c>
      <c r="D116" s="130" t="s">
        <v>340</v>
      </c>
      <c r="E116" s="220" t="s">
        <v>174</v>
      </c>
      <c r="F116" s="220"/>
      <c r="G116" s="220"/>
      <c r="H116" s="220" t="s">
        <v>190</v>
      </c>
      <c r="I116" s="333">
        <v>3.7360000000000002E-3</v>
      </c>
      <c r="J116" s="331" t="s">
        <v>340</v>
      </c>
      <c r="K116" s="220" t="s">
        <v>174</v>
      </c>
      <c r="M116" s="220"/>
    </row>
    <row r="117" spans="1:13" x14ac:dyDescent="0.35">
      <c r="A117" s="335"/>
      <c r="B117" s="103" t="s">
        <v>349</v>
      </c>
      <c r="C117" s="334">
        <v>1.0000000000000001E-5</v>
      </c>
      <c r="D117" s="129" t="s">
        <v>340</v>
      </c>
      <c r="E117" s="103"/>
      <c r="F117" s="103"/>
      <c r="G117" s="103"/>
      <c r="H117" s="103" t="s">
        <v>346</v>
      </c>
      <c r="I117" s="334">
        <v>1.0000000000000001E-5</v>
      </c>
      <c r="J117" s="129" t="s">
        <v>340</v>
      </c>
      <c r="K117" s="103"/>
      <c r="L117" s="220"/>
      <c r="M117" s="220"/>
    </row>
    <row r="118" spans="1:13" x14ac:dyDescent="0.35">
      <c r="A118" s="335"/>
      <c r="B118" t="s">
        <v>191</v>
      </c>
      <c r="C118" s="330">
        <f>AVERAGE([16]SC2!$DU$25:$EF$25)</f>
        <v>2.8298333333333335E-3</v>
      </c>
      <c r="D118" s="130" t="s">
        <v>340</v>
      </c>
      <c r="E118" t="s">
        <v>174</v>
      </c>
      <c r="H118" t="s">
        <v>191</v>
      </c>
      <c r="I118" s="330">
        <f>AVERAGE([16]SC2!$DU$25:$EF$25)</f>
        <v>2.8298333333333335E-3</v>
      </c>
      <c r="J118" s="130" t="s">
        <v>340</v>
      </c>
      <c r="K118" t="s">
        <v>174</v>
      </c>
      <c r="M118" s="220"/>
    </row>
    <row r="119" spans="1:13" x14ac:dyDescent="0.35">
      <c r="A119" s="335"/>
      <c r="B119" t="s">
        <v>192</v>
      </c>
      <c r="C119" s="328">
        <f>AVERAGE([15]SC9!$DU$42:$EF$42)</f>
        <v>2.4066000000000001E-2</v>
      </c>
      <c r="D119" s="130" t="s">
        <v>340</v>
      </c>
      <c r="H119" t="s">
        <v>192</v>
      </c>
      <c r="I119" s="328">
        <f>AVERAGE([16]SC2!$DU$26:$EF$26)</f>
        <v>2.4066000000000001E-2</v>
      </c>
      <c r="J119" s="130" t="s">
        <v>340</v>
      </c>
      <c r="K119" t="s">
        <v>174</v>
      </c>
      <c r="M119" s="220"/>
    </row>
    <row r="120" spans="1:13" x14ac:dyDescent="0.35">
      <c r="A120" s="335"/>
      <c r="C120" s="101"/>
      <c r="I120" s="101"/>
      <c r="J120" t="s">
        <v>179</v>
      </c>
      <c r="K120" t="s">
        <v>174</v>
      </c>
      <c r="M120" s="220"/>
    </row>
    <row r="121" spans="1:13" x14ac:dyDescent="0.35">
      <c r="A121" s="335"/>
      <c r="B121" t="s">
        <v>193</v>
      </c>
      <c r="C121" s="328">
        <v>8.8749999999999996E-2</v>
      </c>
      <c r="D121" s="130" t="s">
        <v>345</v>
      </c>
      <c r="H121" t="s">
        <v>193</v>
      </c>
      <c r="I121" s="328">
        <v>8.8749999999999996E-2</v>
      </c>
      <c r="J121" s="130" t="s">
        <v>345</v>
      </c>
      <c r="K121" t="s">
        <v>174</v>
      </c>
      <c r="M121" s="220"/>
    </row>
    <row r="122" spans="1:13" x14ac:dyDescent="0.35">
      <c r="A122" s="335"/>
      <c r="C122"/>
      <c r="J122" t="s">
        <v>179</v>
      </c>
      <c r="M122" s="220"/>
    </row>
    <row r="123" spans="1:13" x14ac:dyDescent="0.35">
      <c r="A123" s="335" t="s">
        <v>195</v>
      </c>
      <c r="B123" s="2" t="s">
        <v>196</v>
      </c>
      <c r="C123"/>
      <c r="M123" s="220"/>
    </row>
    <row r="124" spans="1:13" x14ac:dyDescent="0.35">
      <c r="A124" s="335"/>
      <c r="B124" s="6"/>
      <c r="C124" s="40" t="s">
        <v>197</v>
      </c>
      <c r="D124" s="40" t="s">
        <v>198</v>
      </c>
      <c r="J124" t="s">
        <v>194</v>
      </c>
      <c r="M124" s="220"/>
    </row>
    <row r="125" spans="1:13" x14ac:dyDescent="0.35">
      <c r="A125" s="335"/>
      <c r="B125" s="1" t="s">
        <v>199</v>
      </c>
      <c r="C125" s="349">
        <v>0.4637</v>
      </c>
      <c r="D125" s="348">
        <v>8.5000000000000006E-2</v>
      </c>
      <c r="F125" s="351">
        <v>0.19295919237346379</v>
      </c>
      <c r="M125" s="220"/>
    </row>
    <row r="126" spans="1:13" x14ac:dyDescent="0.35">
      <c r="A126" s="335"/>
      <c r="B126" s="1" t="s">
        <v>200</v>
      </c>
      <c r="C126" s="348">
        <f>1-C125</f>
        <v>0.5363</v>
      </c>
      <c r="D126" s="348">
        <f>4.41%+0.97%</f>
        <v>5.3800000000000001E-2</v>
      </c>
      <c r="M126" s="220"/>
    </row>
    <row r="127" spans="1:13" x14ac:dyDescent="0.35">
      <c r="A127" s="335"/>
      <c r="B127" s="220"/>
      <c r="C127" s="336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</row>
    <row r="128" spans="1:13" x14ac:dyDescent="0.35">
      <c r="A128" s="335"/>
      <c r="B128" s="331" t="s">
        <v>350</v>
      </c>
      <c r="C128" s="336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</row>
    <row r="129" spans="1:13" x14ac:dyDescent="0.35">
      <c r="A129" s="335"/>
      <c r="B129" s="130" t="s">
        <v>353</v>
      </c>
      <c r="M129" s="220"/>
    </row>
    <row r="133" spans="1:13" x14ac:dyDescent="0.35">
      <c r="D133" s="350">
        <f>(C125*D125)+(C126*D126)*(1-F125)</f>
        <v>6.2699999999999992E-2</v>
      </c>
    </row>
  </sheetData>
  <mergeCells count="3">
    <mergeCell ref="E75:G83"/>
    <mergeCell ref="D76:D78"/>
    <mergeCell ref="D83:D84"/>
  </mergeCells>
  <dataValidations count="2">
    <dataValidation type="list" allowBlank="1" showInputMessage="1" showErrorMessage="1" sqref="L6 L25" xr:uid="{00000000-0002-0000-0200-000000000000}">
      <formula1>"Hi,Lo"</formula1>
    </dataValidation>
    <dataValidation type="list" allowBlank="1" showInputMessage="1" showErrorMessage="1" sqref="D62" xr:uid="{00000000-0002-0000-0200-000001000000}">
      <formula1>"ON,OFF"</formula1>
    </dataValidation>
  </dataValidations>
  <pageMargins left="0.7" right="0.7" top="0.75" bottom="0.75" header="0.3" footer="0.3"/>
  <pageSetup scale="84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S156"/>
  <sheetViews>
    <sheetView zoomScale="90" zoomScaleNormal="90" workbookViewId="0">
      <pane ySplit="10" topLeftCell="A75" activePane="bottomLeft" state="frozen"/>
      <selection pane="bottomLeft" activeCell="B14" sqref="B14"/>
    </sheetView>
  </sheetViews>
  <sheetFormatPr defaultColWidth="0" defaultRowHeight="0" customHeight="1" zeroHeight="1" x14ac:dyDescent="0.35"/>
  <cols>
    <col min="1" max="1" width="25.7265625" style="1" bestFit="1" customWidth="1"/>
    <col min="2" max="2" width="13.1796875" style="3" bestFit="1" customWidth="1"/>
    <col min="3" max="3" width="11.7265625" style="3" bestFit="1" customWidth="1"/>
    <col min="4" max="4" width="10.26953125" style="3" customWidth="1"/>
    <col min="5" max="5" width="11.1796875" style="3" customWidth="1"/>
    <col min="6" max="6" width="11.54296875" style="3" customWidth="1"/>
    <col min="7" max="7" width="11.7265625" style="3" customWidth="1"/>
    <col min="8" max="8" width="14.54296875" style="3" customWidth="1"/>
    <col min="9" max="11" width="11.54296875" style="3" customWidth="1"/>
    <col min="12" max="21" width="10.26953125" customWidth="1"/>
    <col min="22" max="22" width="4.453125" customWidth="1"/>
    <col min="23" max="23" width="15.81640625" customWidth="1"/>
    <col min="24" max="24" width="13.1796875" style="6" customWidth="1"/>
    <col min="25" max="25" width="16.1796875" style="6" customWidth="1"/>
    <col min="26" max="26" width="12.81640625" style="6" customWidth="1"/>
    <col min="27" max="27" width="13.54296875" style="6" customWidth="1"/>
    <col min="28" max="28" width="4.1796875" style="1" bestFit="1" customWidth="1"/>
    <col min="29" max="29" width="12.81640625" style="6" customWidth="1"/>
    <col min="30" max="30" width="10.54296875" style="6" bestFit="1" customWidth="1"/>
    <col min="31" max="31" width="9.1796875" style="6" customWidth="1"/>
    <col min="32" max="32" width="4.1796875" style="6" hidden="1" customWidth="1"/>
    <col min="33" max="34" width="9.1796875" style="6" hidden="1" customWidth="1"/>
    <col min="35" max="36" width="9.7265625" style="6" hidden="1" customWidth="1"/>
    <col min="37" max="41" width="9.1796875" style="6" hidden="1" customWidth="1"/>
    <col min="42" max="45" width="10.26953125" style="6" hidden="1" customWidth="1"/>
    <col min="46" max="16384" width="9.1796875" style="6" hidden="1"/>
  </cols>
  <sheetData>
    <row r="1" spans="1:41" ht="14.25" customHeight="1" x14ac:dyDescent="0.35">
      <c r="A1"/>
      <c r="C1"/>
      <c r="D1" s="53" t="s">
        <v>196</v>
      </c>
      <c r="E1" s="54"/>
      <c r="F1" s="54"/>
      <c r="G1" s="54"/>
      <c r="H1" s="54"/>
      <c r="I1" s="55"/>
      <c r="AB1" s="6"/>
    </row>
    <row r="2" spans="1:41" ht="14.25" customHeight="1" x14ac:dyDescent="0.35">
      <c r="A2" s="71"/>
      <c r="D2" s="4"/>
      <c r="E2" s="61" t="s">
        <v>197</v>
      </c>
      <c r="F2" s="61" t="s">
        <v>198</v>
      </c>
      <c r="G2" s="6" t="s">
        <v>249</v>
      </c>
      <c r="H2" s="6"/>
      <c r="I2" s="62">
        <v>0.26100000000000001</v>
      </c>
      <c r="J2" s="353">
        <f>Assumptions!F125</f>
        <v>0.19295919237346379</v>
      </c>
      <c r="L2" s="307"/>
      <c r="M2" s="307"/>
      <c r="AB2" s="6"/>
    </row>
    <row r="3" spans="1:41" ht="14.25" customHeight="1" x14ac:dyDescent="0.35">
      <c r="D3" s="12" t="s">
        <v>199</v>
      </c>
      <c r="E3" s="139">
        <f>+Assumptions!C125</f>
        <v>0.4637</v>
      </c>
      <c r="F3" s="139">
        <f>+Assumptions!D125</f>
        <v>8.5000000000000006E-2</v>
      </c>
      <c r="G3" s="140" t="s">
        <v>250</v>
      </c>
      <c r="H3" s="140"/>
      <c r="I3" s="142">
        <f>+SUMPRODUCT(E3:E4,F3:F4)</f>
        <v>6.8267440000000013E-2</v>
      </c>
      <c r="J3" s="352">
        <f>(E3*F3)+(E4*F4)*(1-J2)</f>
        <v>6.2699999999999992E-2</v>
      </c>
      <c r="AB3" s="6"/>
    </row>
    <row r="4" spans="1:41" ht="14.25" customHeight="1" x14ac:dyDescent="0.35">
      <c r="A4" s="71"/>
      <c r="B4" s="6"/>
      <c r="D4" s="14" t="s">
        <v>200</v>
      </c>
      <c r="E4" s="139">
        <f>+Assumptions!C126</f>
        <v>0.5363</v>
      </c>
      <c r="F4" s="139">
        <f>+Assumptions!D126</f>
        <v>5.3800000000000001E-2</v>
      </c>
      <c r="G4" s="141" t="s">
        <v>251</v>
      </c>
      <c r="H4" s="141"/>
      <c r="I4" s="56">
        <v>1.5</v>
      </c>
      <c r="J4" s="11"/>
      <c r="K4" s="73"/>
      <c r="AB4" s="6"/>
    </row>
    <row r="5" spans="1:41" ht="14.25" customHeight="1" x14ac:dyDescent="0.35">
      <c r="A5" s="71"/>
      <c r="B5" s="6"/>
      <c r="D5" s="53" t="s">
        <v>252</v>
      </c>
      <c r="E5" s="54"/>
      <c r="F5" s="6"/>
      <c r="J5" s="6"/>
      <c r="K5" s="6"/>
    </row>
    <row r="6" spans="1:41" ht="14.25" customHeight="1" x14ac:dyDescent="0.35">
      <c r="A6" s="71"/>
      <c r="B6" s="6"/>
      <c r="D6" s="58" t="s">
        <v>253</v>
      </c>
      <c r="E6" s="70" t="e">
        <f ca="1">+IRR(B128:K128)</f>
        <v>#NUM!</v>
      </c>
      <c r="G6"/>
      <c r="H6"/>
      <c r="I6"/>
      <c r="J6"/>
      <c r="K6" s="6"/>
    </row>
    <row r="7" spans="1:41" ht="14.25" customHeight="1" x14ac:dyDescent="0.35">
      <c r="C7" s="6"/>
      <c r="D7" s="59" t="s">
        <v>254</v>
      </c>
      <c r="E7" s="60">
        <f ca="1">+NPV(I3,B128:K128)</f>
        <v>-5714663.368842178</v>
      </c>
      <c r="F7" s="6"/>
      <c r="G7" s="6"/>
      <c r="J7" s="60"/>
      <c r="K7" s="6"/>
    </row>
    <row r="8" spans="1:41" ht="14.25" customHeight="1" x14ac:dyDescent="0.35">
      <c r="B8" s="3">
        <v>1</v>
      </c>
      <c r="C8" s="6">
        <f>+B8+1</f>
        <v>2</v>
      </c>
      <c r="D8" s="6">
        <f t="shared" ref="D8:K8" si="0">+C8+1</f>
        <v>3</v>
      </c>
      <c r="E8" s="6">
        <f t="shared" si="0"/>
        <v>4</v>
      </c>
      <c r="F8" s="6">
        <f t="shared" si="0"/>
        <v>5</v>
      </c>
      <c r="G8" s="6">
        <f t="shared" si="0"/>
        <v>6</v>
      </c>
      <c r="H8" s="6">
        <f t="shared" si="0"/>
        <v>7</v>
      </c>
      <c r="I8" s="6">
        <f t="shared" si="0"/>
        <v>8</v>
      </c>
      <c r="J8" s="6">
        <f t="shared" si="0"/>
        <v>9</v>
      </c>
      <c r="K8" s="6">
        <f t="shared" si="0"/>
        <v>10</v>
      </c>
    </row>
    <row r="9" spans="1:41" ht="14.25" customHeight="1" x14ac:dyDescent="0.35">
      <c r="A9" s="74"/>
      <c r="B9" s="61" t="str">
        <f>"YR"&amp;B8</f>
        <v>YR1</v>
      </c>
      <c r="C9" s="61" t="str">
        <f t="shared" ref="C9:K9" si="1">"YR"&amp;C8</f>
        <v>YR2</v>
      </c>
      <c r="D9" s="61" t="str">
        <f t="shared" si="1"/>
        <v>YR3</v>
      </c>
      <c r="E9" s="61" t="str">
        <f t="shared" si="1"/>
        <v>YR4</v>
      </c>
      <c r="F9" s="61" t="str">
        <f t="shared" si="1"/>
        <v>YR5</v>
      </c>
      <c r="G9" s="61" t="str">
        <f t="shared" si="1"/>
        <v>YR6</v>
      </c>
      <c r="H9" s="61" t="str">
        <f t="shared" si="1"/>
        <v>YR7</v>
      </c>
      <c r="I9" s="61" t="str">
        <f t="shared" si="1"/>
        <v>YR8</v>
      </c>
      <c r="J9" s="61" t="str">
        <f t="shared" si="1"/>
        <v>YR9</v>
      </c>
      <c r="K9" s="61" t="str">
        <f t="shared" si="1"/>
        <v>YR10</v>
      </c>
      <c r="Y9" s="37"/>
      <c r="Z9" s="37"/>
      <c r="AA9" s="37"/>
    </row>
    <row r="10" spans="1:41" s="17" customFormat="1" ht="14.25" customHeight="1" x14ac:dyDescent="0.35">
      <c r="A10" s="72"/>
      <c r="B10" s="40">
        <v>2019</v>
      </c>
      <c r="C10" s="40">
        <f t="shared" ref="C10:K10" si="2">+B10+1</f>
        <v>2020</v>
      </c>
      <c r="D10" s="40">
        <f t="shared" si="2"/>
        <v>2021</v>
      </c>
      <c r="E10" s="40">
        <f t="shared" si="2"/>
        <v>2022</v>
      </c>
      <c r="F10" s="40">
        <f t="shared" si="2"/>
        <v>2023</v>
      </c>
      <c r="G10" s="40">
        <f t="shared" si="2"/>
        <v>2024</v>
      </c>
      <c r="H10" s="40">
        <f t="shared" si="2"/>
        <v>2025</v>
      </c>
      <c r="I10" s="40">
        <f t="shared" si="2"/>
        <v>2026</v>
      </c>
      <c r="J10" s="40">
        <f t="shared" si="2"/>
        <v>2027</v>
      </c>
      <c r="K10" s="40">
        <f t="shared" si="2"/>
        <v>2028</v>
      </c>
      <c r="L10"/>
      <c r="M10"/>
      <c r="N10"/>
      <c r="O10"/>
      <c r="P10"/>
      <c r="Q10"/>
      <c r="R10"/>
      <c r="S10"/>
      <c r="T10"/>
      <c r="U10"/>
      <c r="V10"/>
      <c r="W10"/>
      <c r="X10" s="6"/>
      <c r="Y10" s="37"/>
      <c r="Z10" s="37"/>
      <c r="AA10" s="37"/>
      <c r="AB10" s="1"/>
    </row>
    <row r="11" spans="1:41" ht="14.25" customHeight="1" x14ac:dyDescent="0.35">
      <c r="A11" s="25"/>
      <c r="B11" s="38"/>
      <c r="C11" s="38"/>
      <c r="D11" s="38"/>
      <c r="E11" s="38"/>
      <c r="F11" s="38"/>
      <c r="G11" s="38"/>
      <c r="H11" s="38"/>
      <c r="I11" s="38"/>
      <c r="J11" s="38"/>
      <c r="K11" s="38"/>
      <c r="AB11" s="6"/>
    </row>
    <row r="12" spans="1:41" ht="14.25" customHeight="1" x14ac:dyDescent="0.35">
      <c r="A12" s="51" t="s">
        <v>255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X12" s="5"/>
      <c r="Y12" s="5"/>
      <c r="Z12" s="5"/>
      <c r="AA12" s="5"/>
      <c r="AB12" s="6"/>
      <c r="AD12" s="5"/>
      <c r="AE12" s="5"/>
      <c r="AF12" s="5"/>
      <c r="AG12" s="5"/>
      <c r="AO12" s="5"/>
    </row>
    <row r="13" spans="1:41" ht="14.25" customHeight="1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X13" s="5"/>
      <c r="Y13" s="5"/>
      <c r="Z13" s="5"/>
      <c r="AA13" s="5"/>
      <c r="AB13" s="6"/>
      <c r="AD13" s="5"/>
      <c r="AE13" s="5"/>
      <c r="AG13" s="5"/>
      <c r="AO13" s="5"/>
    </row>
    <row r="14" spans="1:41" ht="14.25" customHeight="1" x14ac:dyDescent="0.35">
      <c r="A14" s="24" t="s">
        <v>256</v>
      </c>
      <c r="B14" s="158">
        <f>+'Demo financial pro forma'!C45</f>
        <v>-821123.10997090733</v>
      </c>
      <c r="C14" s="158">
        <f>+'Demo financial pro forma'!D45</f>
        <v>-779268.32637906121</v>
      </c>
      <c r="D14" s="158">
        <f>+'Demo financial pro forma'!E45</f>
        <v>-715732.40558784222</v>
      </c>
      <c r="E14" s="158">
        <f>+'Demo financial pro forma'!F45</f>
        <v>-685471.93599913199</v>
      </c>
      <c r="F14" s="158">
        <f>+'Demo financial pro forma'!G45</f>
        <v>-713774.28394268267</v>
      </c>
      <c r="G14" s="158">
        <f>+'Demo financial pro forma'!H45</f>
        <v>-713774.28394268267</v>
      </c>
      <c r="H14" s="158">
        <f>+'Demo financial pro forma'!I45</f>
        <v>-713774.28394268267</v>
      </c>
      <c r="I14" s="158">
        <f>+'Demo financial pro forma'!J45</f>
        <v>-713774.28394268267</v>
      </c>
      <c r="J14" s="158">
        <f>+'Demo financial pro forma'!K45</f>
        <v>-713774.28394268267</v>
      </c>
      <c r="K14" s="158">
        <f>+'Demo financial pro forma'!L45</f>
        <v>-713774.28394268267</v>
      </c>
      <c r="X14" s="5"/>
      <c r="AB14" s="6"/>
      <c r="AD14" s="5"/>
      <c r="AE14" s="5"/>
      <c r="AF14" s="5"/>
      <c r="AG14" s="5"/>
      <c r="AO14" s="5"/>
    </row>
    <row r="15" spans="1:41" ht="14.25" customHeight="1" x14ac:dyDescent="0.35">
      <c r="A15" s="24" t="s">
        <v>257</v>
      </c>
      <c r="B15" s="34">
        <f t="shared" ref="B15:K15" si="3">$I$2</f>
        <v>0.26100000000000001</v>
      </c>
      <c r="C15" s="34">
        <f t="shared" si="3"/>
        <v>0.26100000000000001</v>
      </c>
      <c r="D15" s="34">
        <f t="shared" si="3"/>
        <v>0.26100000000000001</v>
      </c>
      <c r="E15" s="34">
        <f t="shared" si="3"/>
        <v>0.26100000000000001</v>
      </c>
      <c r="F15" s="34">
        <f t="shared" si="3"/>
        <v>0.26100000000000001</v>
      </c>
      <c r="G15" s="34">
        <f t="shared" si="3"/>
        <v>0.26100000000000001</v>
      </c>
      <c r="H15" s="34">
        <f t="shared" si="3"/>
        <v>0.26100000000000001</v>
      </c>
      <c r="I15" s="34">
        <f t="shared" si="3"/>
        <v>0.26100000000000001</v>
      </c>
      <c r="J15" s="34">
        <f t="shared" si="3"/>
        <v>0.26100000000000001</v>
      </c>
      <c r="K15" s="34">
        <f t="shared" si="3"/>
        <v>0.26100000000000001</v>
      </c>
      <c r="X15" s="5"/>
      <c r="AB15" s="6"/>
      <c r="AD15" s="5"/>
      <c r="AE15" s="5"/>
      <c r="AF15" s="5"/>
      <c r="AG15" s="5"/>
      <c r="AO15" s="5"/>
    </row>
    <row r="16" spans="1:41" ht="14.25" customHeight="1" x14ac:dyDescent="0.35">
      <c r="A16" s="27" t="s">
        <v>258</v>
      </c>
      <c r="B16" s="170">
        <f>B14*B15</f>
        <v>-214313.13170240683</v>
      </c>
      <c r="C16" s="170">
        <f t="shared" ref="C16:K16" si="4">C14*C15</f>
        <v>-203389.03318493499</v>
      </c>
      <c r="D16" s="170">
        <f t="shared" si="4"/>
        <v>-186806.15785842683</v>
      </c>
      <c r="E16" s="170">
        <f t="shared" si="4"/>
        <v>-178908.17529577346</v>
      </c>
      <c r="F16" s="170">
        <f t="shared" si="4"/>
        <v>-186295.0881090402</v>
      </c>
      <c r="G16" s="170">
        <f t="shared" si="4"/>
        <v>-186295.0881090402</v>
      </c>
      <c r="H16" s="170">
        <f t="shared" si="4"/>
        <v>-186295.0881090402</v>
      </c>
      <c r="I16" s="170">
        <f t="shared" si="4"/>
        <v>-186295.0881090402</v>
      </c>
      <c r="J16" s="170">
        <f t="shared" si="4"/>
        <v>-186295.0881090402</v>
      </c>
      <c r="K16" s="170">
        <f t="shared" si="4"/>
        <v>-186295.0881090402</v>
      </c>
      <c r="X16" s="5"/>
      <c r="Y16" s="5"/>
      <c r="Z16" s="5"/>
      <c r="AA16" s="5"/>
      <c r="AE16" s="5"/>
      <c r="AG16" s="5"/>
      <c r="AO16" s="5"/>
    </row>
    <row r="17" spans="1:41" ht="14.25" customHeight="1" x14ac:dyDescent="0.35">
      <c r="A17" s="24"/>
      <c r="B17" s="30"/>
      <c r="C17" s="30"/>
      <c r="D17" s="30"/>
      <c r="E17" s="30"/>
      <c r="F17" s="30"/>
      <c r="G17" s="30"/>
      <c r="H17" s="30"/>
      <c r="I17" s="30"/>
      <c r="J17" s="30"/>
      <c r="K17" s="30"/>
      <c r="X17" s="5"/>
      <c r="Y17" s="5"/>
      <c r="Z17" s="5"/>
      <c r="AA17" s="5"/>
      <c r="AB17" s="15"/>
      <c r="AC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35">
      <c r="A18" s="24" t="s">
        <v>35</v>
      </c>
      <c r="B18" s="158">
        <f>+B14</f>
        <v>-821123.10997090733</v>
      </c>
      <c r="C18" s="158">
        <f t="shared" ref="C18:K18" si="5">+C14</f>
        <v>-779268.32637906121</v>
      </c>
      <c r="D18" s="158">
        <f t="shared" si="5"/>
        <v>-715732.40558784222</v>
      </c>
      <c r="E18" s="158">
        <f t="shared" si="5"/>
        <v>-685471.93599913199</v>
      </c>
      <c r="F18" s="158">
        <f t="shared" si="5"/>
        <v>-713774.28394268267</v>
      </c>
      <c r="G18" s="158">
        <f t="shared" si="5"/>
        <v>-713774.28394268267</v>
      </c>
      <c r="H18" s="158">
        <f t="shared" si="5"/>
        <v>-713774.28394268267</v>
      </c>
      <c r="I18" s="158">
        <f t="shared" si="5"/>
        <v>-713774.28394268267</v>
      </c>
      <c r="J18" s="158">
        <f t="shared" si="5"/>
        <v>-713774.28394268267</v>
      </c>
      <c r="K18" s="158">
        <f t="shared" si="5"/>
        <v>-713774.28394268267</v>
      </c>
      <c r="X18" s="5"/>
      <c r="Y18" s="5"/>
      <c r="Z18" s="5"/>
      <c r="AA18" s="5"/>
      <c r="AB18" s="1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35">
      <c r="A19" s="24" t="s">
        <v>259</v>
      </c>
      <c r="B19" s="158">
        <f ca="1">-Depreciation!D66</f>
        <v>-1755424.08</v>
      </c>
      <c r="C19" s="158">
        <f ca="1">-Depreciation!E66</f>
        <v>-1248301.5680000002</v>
      </c>
      <c r="D19" s="158">
        <f ca="1">-Depreciation!F66</f>
        <v>-748980.9408000001</v>
      </c>
      <c r="E19" s="158">
        <f ca="1">-Depreciation!G66</f>
        <v>-449388.56448000006</v>
      </c>
      <c r="F19" s="158">
        <f ca="1">-Depreciation!H66</f>
        <v>-449388.56448000006</v>
      </c>
      <c r="G19" s="158">
        <f ca="1">-Depreciation!I66</f>
        <v>-224694.28224000003</v>
      </c>
      <c r="H19" s="158">
        <f ca="1">-Depreciation!J66</f>
        <v>0</v>
      </c>
      <c r="I19" s="158">
        <f ca="1">-Depreciation!K66</f>
        <v>0</v>
      </c>
      <c r="J19" s="158">
        <f ca="1">-Depreciation!L66</f>
        <v>0</v>
      </c>
      <c r="K19" s="158">
        <f ca="1">-Depreciation!M66</f>
        <v>0</v>
      </c>
      <c r="X19" s="5"/>
      <c r="Y19" s="5"/>
      <c r="Z19" s="5"/>
      <c r="AA19" s="5"/>
      <c r="AB19" s="1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35">
      <c r="A20" s="24" t="s">
        <v>260</v>
      </c>
      <c r="B20" s="158">
        <f>-B61</f>
        <v>0</v>
      </c>
      <c r="C20" s="158">
        <f t="shared" ref="C20:K20" ca="1" si="6">-C61</f>
        <v>-177786.13542380399</v>
      </c>
      <c r="D20" s="158">
        <f t="shared" ca="1" si="6"/>
        <v>-205399.97038693435</v>
      </c>
      <c r="E20" s="158">
        <f t="shared" ca="1" si="6"/>
        <v>-231977.34756299201</v>
      </c>
      <c r="F20" s="158">
        <f t="shared" ca="1" si="6"/>
        <v>-258448.456694653</v>
      </c>
      <c r="G20" s="158">
        <f t="shared" ca="1" si="6"/>
        <v>-286499.94109689759</v>
      </c>
      <c r="H20" s="158">
        <f t="shared" ca="1" si="6"/>
        <v>-315360.7932955111</v>
      </c>
      <c r="I20" s="158">
        <f t="shared" ca="1" si="6"/>
        <v>-345054.36593096011</v>
      </c>
      <c r="J20" s="158">
        <f t="shared" ca="1" si="6"/>
        <v>-375604.68543604534</v>
      </c>
      <c r="K20" s="158">
        <f t="shared" ca="1" si="6"/>
        <v>-407036.4714767916</v>
      </c>
      <c r="X20" s="5"/>
      <c r="Y20" s="5"/>
      <c r="Z20" s="5"/>
      <c r="AA20" s="5"/>
      <c r="AB20" s="1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35">
      <c r="A21" s="24" t="s">
        <v>39</v>
      </c>
      <c r="B21" s="162">
        <f ca="1">SUM(B18:B20)</f>
        <v>-2576547.1899709073</v>
      </c>
      <c r="C21" s="162">
        <f t="shared" ref="C21:K21" ca="1" si="7">SUM(C18:C20)</f>
        <v>-2205356.0298028653</v>
      </c>
      <c r="D21" s="162">
        <f t="shared" ca="1" si="7"/>
        <v>-1670113.3167747767</v>
      </c>
      <c r="E21" s="162">
        <f t="shared" ca="1" si="7"/>
        <v>-1366837.848042124</v>
      </c>
      <c r="F21" s="162">
        <f t="shared" ca="1" si="7"/>
        <v>-1421611.3051173359</v>
      </c>
      <c r="G21" s="162">
        <f t="shared" ca="1" si="7"/>
        <v>-1224968.5072795805</v>
      </c>
      <c r="H21" s="162">
        <f t="shared" ca="1" si="7"/>
        <v>-1029135.0772381937</v>
      </c>
      <c r="I21" s="162">
        <f t="shared" ca="1" si="7"/>
        <v>-1058828.6498736427</v>
      </c>
      <c r="J21" s="162">
        <f t="shared" ca="1" si="7"/>
        <v>-1089378.969378728</v>
      </c>
      <c r="K21" s="162">
        <f t="shared" ca="1" si="7"/>
        <v>-1120810.7554194743</v>
      </c>
      <c r="X21" s="5"/>
      <c r="Y21" s="5"/>
      <c r="Z21" s="5"/>
      <c r="AA21" s="5"/>
      <c r="AB21" s="1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35">
      <c r="A22" s="24" t="s">
        <v>261</v>
      </c>
      <c r="B22" s="158">
        <f ca="1">-IF(B21&gt;0,MIN(B21,B27),0)</f>
        <v>0</v>
      </c>
      <c r="C22" s="158">
        <f t="shared" ref="C22:K22" ca="1" si="8">-IF(C21&gt;0,MIN(C21,C27),0)</f>
        <v>0</v>
      </c>
      <c r="D22" s="158">
        <f t="shared" ca="1" si="8"/>
        <v>0</v>
      </c>
      <c r="E22" s="158">
        <f t="shared" ca="1" si="8"/>
        <v>0</v>
      </c>
      <c r="F22" s="158">
        <f t="shared" ca="1" si="8"/>
        <v>0</v>
      </c>
      <c r="G22" s="158">
        <f t="shared" ca="1" si="8"/>
        <v>0</v>
      </c>
      <c r="H22" s="158">
        <f t="shared" ca="1" si="8"/>
        <v>0</v>
      </c>
      <c r="I22" s="158">
        <f t="shared" ca="1" si="8"/>
        <v>0</v>
      </c>
      <c r="J22" s="158">
        <f t="shared" ca="1" si="8"/>
        <v>0</v>
      </c>
      <c r="K22" s="158">
        <f t="shared" ca="1" si="8"/>
        <v>0</v>
      </c>
      <c r="Y22" s="5"/>
      <c r="Z22" s="5"/>
      <c r="AA22" s="5"/>
      <c r="AB22" s="1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35">
      <c r="A23" s="24" t="s">
        <v>262</v>
      </c>
      <c r="B23" s="162">
        <f t="shared" ref="B23:K23" ca="1" si="9">SUM(B21:B22)</f>
        <v>-2576547.1899709073</v>
      </c>
      <c r="C23" s="162">
        <f t="shared" ca="1" si="9"/>
        <v>-2205356.0298028653</v>
      </c>
      <c r="D23" s="162">
        <f t="shared" ca="1" si="9"/>
        <v>-1670113.3167747767</v>
      </c>
      <c r="E23" s="162">
        <f t="shared" ca="1" si="9"/>
        <v>-1366837.848042124</v>
      </c>
      <c r="F23" s="162">
        <f t="shared" ca="1" si="9"/>
        <v>-1421611.3051173359</v>
      </c>
      <c r="G23" s="162">
        <f t="shared" ca="1" si="9"/>
        <v>-1224968.5072795805</v>
      </c>
      <c r="H23" s="162">
        <f t="shared" ca="1" si="9"/>
        <v>-1029135.0772381937</v>
      </c>
      <c r="I23" s="162">
        <f t="shared" ca="1" si="9"/>
        <v>-1058828.6498736427</v>
      </c>
      <c r="J23" s="162">
        <f t="shared" ca="1" si="9"/>
        <v>-1089378.969378728</v>
      </c>
      <c r="K23" s="162">
        <f t="shared" ca="1" si="9"/>
        <v>-1120810.7554194743</v>
      </c>
      <c r="AB23" s="1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35">
      <c r="A24" s="24" t="s">
        <v>263</v>
      </c>
      <c r="B24" s="34">
        <f t="shared" ref="B24:K24" si="10">$I$2</f>
        <v>0.26100000000000001</v>
      </c>
      <c r="C24" s="34">
        <f t="shared" si="10"/>
        <v>0.26100000000000001</v>
      </c>
      <c r="D24" s="34">
        <f t="shared" si="10"/>
        <v>0.26100000000000001</v>
      </c>
      <c r="E24" s="34">
        <f t="shared" si="10"/>
        <v>0.26100000000000001</v>
      </c>
      <c r="F24" s="34">
        <f t="shared" si="10"/>
        <v>0.26100000000000001</v>
      </c>
      <c r="G24" s="34">
        <f t="shared" si="10"/>
        <v>0.26100000000000001</v>
      </c>
      <c r="H24" s="34">
        <f t="shared" si="10"/>
        <v>0.26100000000000001</v>
      </c>
      <c r="I24" s="34">
        <f t="shared" si="10"/>
        <v>0.26100000000000001</v>
      </c>
      <c r="J24" s="34">
        <f t="shared" si="10"/>
        <v>0.26100000000000001</v>
      </c>
      <c r="K24" s="34">
        <f t="shared" si="10"/>
        <v>0.26100000000000001</v>
      </c>
      <c r="AB24" s="1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35">
      <c r="A25" s="27" t="s">
        <v>264</v>
      </c>
      <c r="B25" s="35">
        <f ca="1">MAX(0,B23*B24)</f>
        <v>0</v>
      </c>
      <c r="C25" s="35">
        <f t="shared" ref="C25:K25" ca="1" si="11">MAX(0,C23*C24)</f>
        <v>0</v>
      </c>
      <c r="D25" s="35">
        <f t="shared" ca="1" si="11"/>
        <v>0</v>
      </c>
      <c r="E25" s="35">
        <f t="shared" ca="1" si="11"/>
        <v>0</v>
      </c>
      <c r="F25" s="35">
        <f t="shared" ca="1" si="11"/>
        <v>0</v>
      </c>
      <c r="G25" s="35">
        <f t="shared" ca="1" si="11"/>
        <v>0</v>
      </c>
      <c r="H25" s="35">
        <f t="shared" ca="1" si="11"/>
        <v>0</v>
      </c>
      <c r="I25" s="35">
        <f t="shared" ca="1" si="11"/>
        <v>0</v>
      </c>
      <c r="J25" s="35">
        <f t="shared" ca="1" si="11"/>
        <v>0</v>
      </c>
      <c r="K25" s="35">
        <f t="shared" ca="1" si="11"/>
        <v>0</v>
      </c>
      <c r="AB25" s="1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35">
      <c r="A26" s="24"/>
      <c r="B26" s="30"/>
      <c r="C26" s="30"/>
      <c r="D26" s="30"/>
      <c r="E26" s="30"/>
      <c r="F26" s="30"/>
      <c r="G26" s="30"/>
      <c r="H26" s="30"/>
      <c r="I26" s="30"/>
      <c r="J26" s="30"/>
      <c r="K26" s="30"/>
      <c r="AB26" s="1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35">
      <c r="A27" s="24" t="s">
        <v>265</v>
      </c>
      <c r="B27" s="158"/>
      <c r="C27" s="158">
        <f ca="1">+B30</f>
        <v>821123.10997090733</v>
      </c>
      <c r="D27" s="158">
        <f ca="1">+C30</f>
        <v>1600391.4363499684</v>
      </c>
      <c r="E27" s="158">
        <f t="shared" ref="E27:K27" ca="1" si="12">+D30</f>
        <v>2316123.8419378106</v>
      </c>
      <c r="F27" s="158">
        <f t="shared" ca="1" si="12"/>
        <v>3001595.7779369429</v>
      </c>
      <c r="G27" s="158">
        <f t="shared" ca="1" si="12"/>
        <v>3715370.0618796255</v>
      </c>
      <c r="H27" s="158">
        <f t="shared" ca="1" si="12"/>
        <v>4429144.3458223082</v>
      </c>
      <c r="I27" s="158">
        <f t="shared" ca="1" si="12"/>
        <v>5142918.6297649909</v>
      </c>
      <c r="J27" s="158">
        <f t="shared" ca="1" si="12"/>
        <v>5856692.9137076735</v>
      </c>
      <c r="K27" s="158">
        <f t="shared" ca="1" si="12"/>
        <v>6570467.1976503562</v>
      </c>
      <c r="AB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35">
      <c r="A28" s="24" t="s">
        <v>266</v>
      </c>
      <c r="B28" s="158">
        <f>-MIN(B14,0)</f>
        <v>821123.10997090733</v>
      </c>
      <c r="C28" s="158">
        <f t="shared" ref="C28:K28" si="13">-MIN(C14,0)</f>
        <v>779268.32637906121</v>
      </c>
      <c r="D28" s="158">
        <f t="shared" si="13"/>
        <v>715732.40558784222</v>
      </c>
      <c r="E28" s="158">
        <f t="shared" si="13"/>
        <v>685471.93599913199</v>
      </c>
      <c r="F28" s="158">
        <f t="shared" si="13"/>
        <v>713774.28394268267</v>
      </c>
      <c r="G28" s="158">
        <f t="shared" si="13"/>
        <v>713774.28394268267</v>
      </c>
      <c r="H28" s="158">
        <f t="shared" si="13"/>
        <v>713774.28394268267</v>
      </c>
      <c r="I28" s="158">
        <f t="shared" si="13"/>
        <v>713774.28394268267</v>
      </c>
      <c r="J28" s="158">
        <f t="shared" si="13"/>
        <v>713774.28394268267</v>
      </c>
      <c r="K28" s="158">
        <f t="shared" si="13"/>
        <v>713774.28394268267</v>
      </c>
      <c r="AB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35">
      <c r="A29" s="24" t="s">
        <v>267</v>
      </c>
      <c r="B29" s="158">
        <f ca="1">B22</f>
        <v>0</v>
      </c>
      <c r="C29" s="158">
        <f t="shared" ref="C29:K29" ca="1" si="14">C22</f>
        <v>0</v>
      </c>
      <c r="D29" s="158">
        <f t="shared" ca="1" si="14"/>
        <v>0</v>
      </c>
      <c r="E29" s="158">
        <f t="shared" ca="1" si="14"/>
        <v>0</v>
      </c>
      <c r="F29" s="158">
        <f t="shared" ca="1" si="14"/>
        <v>0</v>
      </c>
      <c r="G29" s="158">
        <f t="shared" ca="1" si="14"/>
        <v>0</v>
      </c>
      <c r="H29" s="158">
        <f t="shared" ca="1" si="14"/>
        <v>0</v>
      </c>
      <c r="I29" s="158">
        <f t="shared" ca="1" si="14"/>
        <v>0</v>
      </c>
      <c r="J29" s="158">
        <f t="shared" ca="1" si="14"/>
        <v>0</v>
      </c>
      <c r="K29" s="158">
        <f t="shared" ca="1" si="14"/>
        <v>0</v>
      </c>
      <c r="AB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35">
      <c r="A30" s="24" t="s">
        <v>268</v>
      </c>
      <c r="B30" s="162">
        <f ca="1">SUM(B27:B29)</f>
        <v>821123.10997090733</v>
      </c>
      <c r="C30" s="162">
        <f t="shared" ref="C30:K30" ca="1" si="15">SUM(C27:C29)</f>
        <v>1600391.4363499684</v>
      </c>
      <c r="D30" s="162">
        <f t="shared" ca="1" si="15"/>
        <v>2316123.8419378106</v>
      </c>
      <c r="E30" s="162">
        <f t="shared" ca="1" si="15"/>
        <v>3001595.7779369429</v>
      </c>
      <c r="F30" s="162">
        <f t="shared" ca="1" si="15"/>
        <v>3715370.0618796255</v>
      </c>
      <c r="G30" s="162">
        <f t="shared" ca="1" si="15"/>
        <v>4429144.3458223082</v>
      </c>
      <c r="H30" s="162">
        <f t="shared" ca="1" si="15"/>
        <v>5142918.6297649909</v>
      </c>
      <c r="I30" s="162">
        <f t="shared" ca="1" si="15"/>
        <v>5856692.9137076735</v>
      </c>
      <c r="J30" s="162">
        <f t="shared" ca="1" si="15"/>
        <v>6570467.1976503562</v>
      </c>
      <c r="K30" s="162">
        <f t="shared" ca="1" si="15"/>
        <v>7284241.4815930389</v>
      </c>
      <c r="AB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35">
      <c r="A31" s="24"/>
      <c r="B31" s="30"/>
      <c r="C31" s="30"/>
      <c r="D31" s="30"/>
      <c r="E31" s="30"/>
      <c r="F31" s="30"/>
      <c r="G31" s="30"/>
      <c r="H31" s="30"/>
      <c r="I31" s="30"/>
      <c r="J31" s="30"/>
      <c r="K31" s="30"/>
      <c r="X31" s="5"/>
      <c r="AB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35">
      <c r="A32" s="24" t="s">
        <v>269</v>
      </c>
      <c r="B32" s="158"/>
      <c r="C32" s="158">
        <f ca="1">B34</f>
        <v>214313.13170240683</v>
      </c>
      <c r="D32" s="158">
        <f t="shared" ref="D32:K32" ca="1" si="16">C34</f>
        <v>417702.16488734179</v>
      </c>
      <c r="E32" s="158">
        <f t="shared" ca="1" si="16"/>
        <v>604508.32274576859</v>
      </c>
      <c r="F32" s="158">
        <f t="shared" ca="1" si="16"/>
        <v>783416.49804154201</v>
      </c>
      <c r="G32" s="158">
        <f t="shared" ca="1" si="16"/>
        <v>969711.58615058218</v>
      </c>
      <c r="H32" s="158">
        <f t="shared" ca="1" si="16"/>
        <v>1156006.6742596223</v>
      </c>
      <c r="I32" s="158">
        <f t="shared" ca="1" si="16"/>
        <v>1342301.7623686625</v>
      </c>
      <c r="J32" s="158">
        <f t="shared" ca="1" si="16"/>
        <v>1528596.8504777027</v>
      </c>
      <c r="K32" s="158">
        <f t="shared" ca="1" si="16"/>
        <v>1714891.9385867429</v>
      </c>
      <c r="X32" s="5"/>
      <c r="Y32" s="5"/>
      <c r="Z32" s="5"/>
      <c r="AA32" s="5"/>
      <c r="AB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35">
      <c r="A33" s="24" t="s">
        <v>270</v>
      </c>
      <c r="B33" s="158">
        <f ca="1">B25-B16</f>
        <v>214313.13170240683</v>
      </c>
      <c r="C33" s="158">
        <f t="shared" ref="C33:K33" ca="1" si="17">C25-C16</f>
        <v>203389.03318493499</v>
      </c>
      <c r="D33" s="158">
        <f t="shared" ca="1" si="17"/>
        <v>186806.15785842683</v>
      </c>
      <c r="E33" s="158">
        <f t="shared" ca="1" si="17"/>
        <v>178908.17529577346</v>
      </c>
      <c r="F33" s="158">
        <f t="shared" ca="1" si="17"/>
        <v>186295.0881090402</v>
      </c>
      <c r="G33" s="158">
        <f t="shared" ca="1" si="17"/>
        <v>186295.0881090402</v>
      </c>
      <c r="H33" s="158">
        <f t="shared" ca="1" si="17"/>
        <v>186295.0881090402</v>
      </c>
      <c r="I33" s="158">
        <f t="shared" ca="1" si="17"/>
        <v>186295.0881090402</v>
      </c>
      <c r="J33" s="158">
        <f t="shared" ca="1" si="17"/>
        <v>186295.0881090402</v>
      </c>
      <c r="K33" s="158">
        <f t="shared" ca="1" si="17"/>
        <v>186295.0881090402</v>
      </c>
      <c r="X33" s="5"/>
      <c r="Y33" s="5"/>
      <c r="Z33" s="5"/>
      <c r="AA33" s="5"/>
      <c r="AB33" s="1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35">
      <c r="A34" s="24" t="s">
        <v>271</v>
      </c>
      <c r="B34" s="162">
        <f ca="1">SUM(B32:B33)</f>
        <v>214313.13170240683</v>
      </c>
      <c r="C34" s="162">
        <f t="shared" ref="C34:K34" ca="1" si="18">SUM(C32:C33)</f>
        <v>417702.16488734179</v>
      </c>
      <c r="D34" s="162">
        <f t="shared" ca="1" si="18"/>
        <v>604508.32274576859</v>
      </c>
      <c r="E34" s="162">
        <f t="shared" ca="1" si="18"/>
        <v>783416.49804154201</v>
      </c>
      <c r="F34" s="162">
        <f t="shared" ca="1" si="18"/>
        <v>969711.58615058218</v>
      </c>
      <c r="G34" s="162">
        <f t="shared" ca="1" si="18"/>
        <v>1156006.6742596223</v>
      </c>
      <c r="H34" s="162">
        <f t="shared" ca="1" si="18"/>
        <v>1342301.7623686625</v>
      </c>
      <c r="I34" s="162">
        <f t="shared" ca="1" si="18"/>
        <v>1528596.8504777027</v>
      </c>
      <c r="J34" s="162">
        <f t="shared" ca="1" si="18"/>
        <v>1714891.9385867429</v>
      </c>
      <c r="K34" s="162">
        <f t="shared" ca="1" si="18"/>
        <v>1901187.026695783</v>
      </c>
      <c r="Y34" s="5"/>
      <c r="Z34" s="5"/>
      <c r="AA34" s="5"/>
      <c r="AB34" s="6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35">
      <c r="A35" s="24"/>
      <c r="B35" s="30"/>
      <c r="C35" s="30"/>
      <c r="D35" s="30"/>
      <c r="E35" s="30"/>
      <c r="F35" s="30"/>
      <c r="G35" s="30"/>
      <c r="H35" s="30"/>
      <c r="I35" s="30"/>
      <c r="J35" s="30"/>
      <c r="K35" s="30"/>
      <c r="AB35" s="6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35">
      <c r="A36" s="51" t="s">
        <v>43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AB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35">
      <c r="A37" s="24"/>
      <c r="B37" s="30"/>
      <c r="C37" s="30"/>
      <c r="D37" s="30"/>
      <c r="E37" s="30"/>
      <c r="F37" s="30"/>
      <c r="G37" s="30"/>
      <c r="H37" s="30"/>
      <c r="I37" s="30"/>
      <c r="J37" s="30"/>
      <c r="K37" s="30"/>
      <c r="X37" s="5"/>
      <c r="AB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35">
      <c r="A38" s="24" t="s">
        <v>102</v>
      </c>
      <c r="B38" s="158">
        <f>+'Demo financial pro forma'!C57</f>
        <v>5124680</v>
      </c>
      <c r="C38" s="158">
        <f>+'Demo financial pro forma'!D57</f>
        <v>0</v>
      </c>
      <c r="D38" s="158">
        <f>+'Demo financial pro forma'!E57</f>
        <v>0</v>
      </c>
      <c r="E38" s="158">
        <f>+'Demo financial pro forma'!F57</f>
        <v>0</v>
      </c>
      <c r="F38" s="158">
        <f>+'Demo financial pro forma'!G57</f>
        <v>0</v>
      </c>
      <c r="G38" s="158">
        <f>+'Demo financial pro forma'!H57</f>
        <v>0</v>
      </c>
      <c r="H38" s="158">
        <f>+'Demo financial pro forma'!I57</f>
        <v>0</v>
      </c>
      <c r="I38" s="158">
        <f>+'Demo financial pro forma'!J57</f>
        <v>0</v>
      </c>
      <c r="J38" s="158">
        <f>+'Demo financial pro forma'!K57</f>
        <v>0</v>
      </c>
      <c r="K38" s="158">
        <f>+'Demo financial pro forma'!L57</f>
        <v>0</v>
      </c>
      <c r="X38" s="5"/>
      <c r="AB38" s="6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35">
      <c r="A39" s="24" t="s">
        <v>272</v>
      </c>
      <c r="B39" s="171">
        <f>+'Demo financial pro forma'!C59</f>
        <v>216000</v>
      </c>
      <c r="C39" s="171">
        <f>+'Demo financial pro forma'!D59</f>
        <v>0</v>
      </c>
      <c r="D39" s="171">
        <f>+'Demo financial pro forma'!E59</f>
        <v>0</v>
      </c>
      <c r="E39" s="171">
        <f>+'Demo financial pro forma'!F59</f>
        <v>0</v>
      </c>
      <c r="F39" s="171">
        <f>+'Demo financial pro forma'!G59</f>
        <v>0</v>
      </c>
      <c r="G39" s="171">
        <f>+'Demo financial pro forma'!H59</f>
        <v>0</v>
      </c>
      <c r="H39" s="171">
        <f>+'Demo financial pro forma'!I59</f>
        <v>0</v>
      </c>
      <c r="I39" s="171">
        <f>+'Demo financial pro forma'!J59</f>
        <v>0</v>
      </c>
      <c r="J39" s="171">
        <f>+'Demo financial pro forma'!K59</f>
        <v>0</v>
      </c>
      <c r="K39" s="171">
        <f>+'Demo financial pro forma'!L59</f>
        <v>0</v>
      </c>
      <c r="X39" s="5"/>
      <c r="AB39" s="6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35">
      <c r="A40" s="24" t="s">
        <v>49</v>
      </c>
      <c r="B40" s="50">
        <f t="shared" ref="B40:K40" si="19">+SUM(B38:B39)</f>
        <v>5340680</v>
      </c>
      <c r="C40" s="50">
        <f t="shared" si="19"/>
        <v>0</v>
      </c>
      <c r="D40" s="50">
        <f t="shared" si="19"/>
        <v>0</v>
      </c>
      <c r="E40" s="50">
        <f t="shared" si="19"/>
        <v>0</v>
      </c>
      <c r="F40" s="50">
        <f t="shared" si="19"/>
        <v>0</v>
      </c>
      <c r="G40" s="50">
        <f t="shared" si="19"/>
        <v>0</v>
      </c>
      <c r="H40" s="50">
        <f t="shared" si="19"/>
        <v>0</v>
      </c>
      <c r="I40" s="50">
        <f t="shared" si="19"/>
        <v>0</v>
      </c>
      <c r="J40" s="50">
        <f t="shared" si="19"/>
        <v>0</v>
      </c>
      <c r="K40" s="50">
        <f t="shared" si="19"/>
        <v>0</v>
      </c>
      <c r="X40" s="5"/>
      <c r="Y40" s="5"/>
      <c r="Z40" s="5"/>
      <c r="AA40" s="5"/>
      <c r="AB40" s="6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35">
      <c r="A41" s="24"/>
      <c r="B41" s="31"/>
      <c r="C41" s="31"/>
      <c r="D41" s="31"/>
      <c r="E41" s="31"/>
      <c r="F41" s="31"/>
      <c r="G41" s="31"/>
      <c r="H41" s="31"/>
      <c r="I41" s="31"/>
      <c r="J41" s="31"/>
      <c r="K41" s="31"/>
      <c r="X41" s="5"/>
      <c r="Y41" s="5"/>
      <c r="Z41" s="5"/>
      <c r="AA41" s="5"/>
      <c r="AB41" s="6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35">
      <c r="A42" s="24" t="s">
        <v>50</v>
      </c>
      <c r="B42" s="158">
        <f>B40</f>
        <v>5340680</v>
      </c>
      <c r="C42" s="158">
        <f t="shared" ref="C42:K42" si="20">B42+C40</f>
        <v>5340680</v>
      </c>
      <c r="D42" s="158">
        <f t="shared" si="20"/>
        <v>5340680</v>
      </c>
      <c r="E42" s="158">
        <f t="shared" si="20"/>
        <v>5340680</v>
      </c>
      <c r="F42" s="158">
        <f t="shared" si="20"/>
        <v>5340680</v>
      </c>
      <c r="G42" s="158">
        <f t="shared" si="20"/>
        <v>5340680</v>
      </c>
      <c r="H42" s="158">
        <f t="shared" si="20"/>
        <v>5340680</v>
      </c>
      <c r="I42" s="158">
        <f t="shared" si="20"/>
        <v>5340680</v>
      </c>
      <c r="J42" s="158">
        <f t="shared" si="20"/>
        <v>5340680</v>
      </c>
      <c r="K42" s="158">
        <f t="shared" si="20"/>
        <v>5340680</v>
      </c>
      <c r="X42" s="5"/>
      <c r="Y42" s="5"/>
      <c r="Z42" s="5"/>
      <c r="AA42" s="5"/>
      <c r="AB42" s="6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35">
      <c r="A43" s="24" t="s">
        <v>51</v>
      </c>
      <c r="B43" s="158">
        <f ca="1">-Depreciation!D32</f>
        <v>-286834</v>
      </c>
      <c r="C43" s="158">
        <f ca="1">B43-Depreciation!E32</f>
        <v>-860502</v>
      </c>
      <c r="D43" s="158">
        <f ca="1">C43-Depreciation!F32</f>
        <v>-1434170</v>
      </c>
      <c r="E43" s="158">
        <f ca="1">D43-Depreciation!G32</f>
        <v>-2007838</v>
      </c>
      <c r="F43" s="158">
        <f ca="1">E43-Depreciation!H32</f>
        <v>-2581506</v>
      </c>
      <c r="G43" s="158">
        <f ca="1">F43-Depreciation!I32</f>
        <v>-3155174</v>
      </c>
      <c r="H43" s="158">
        <f ca="1">G43-Depreciation!J32</f>
        <v>-3728842</v>
      </c>
      <c r="I43" s="158">
        <f ca="1">H43-Depreciation!K32</f>
        <v>-4302510</v>
      </c>
      <c r="J43" s="158">
        <f ca="1">I43-Depreciation!L32</f>
        <v>-4876178</v>
      </c>
      <c r="K43" s="158">
        <f ca="1">J43-Depreciation!M32</f>
        <v>-5449846</v>
      </c>
      <c r="X43" s="5"/>
      <c r="Y43" s="5"/>
      <c r="Z43" s="5"/>
      <c r="AA43" s="5"/>
      <c r="AB43" s="6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35">
      <c r="A44" s="24" t="s">
        <v>52</v>
      </c>
      <c r="B44" s="162">
        <f ca="1">SUM(B42:B43)</f>
        <v>5053846</v>
      </c>
      <c r="C44" s="162">
        <f t="shared" ref="C44:K44" ca="1" si="21">SUM(C42:C43)</f>
        <v>4480178</v>
      </c>
      <c r="D44" s="162">
        <f t="shared" ca="1" si="21"/>
        <v>3906510</v>
      </c>
      <c r="E44" s="162">
        <f t="shared" ca="1" si="21"/>
        <v>3332842</v>
      </c>
      <c r="F44" s="162">
        <f t="shared" ca="1" si="21"/>
        <v>2759174</v>
      </c>
      <c r="G44" s="162">
        <f t="shared" ca="1" si="21"/>
        <v>2185506</v>
      </c>
      <c r="H44" s="162">
        <f t="shared" ca="1" si="21"/>
        <v>1611838</v>
      </c>
      <c r="I44" s="162">
        <f t="shared" ca="1" si="21"/>
        <v>1038170</v>
      </c>
      <c r="J44" s="162">
        <f t="shared" ca="1" si="21"/>
        <v>464502</v>
      </c>
      <c r="K44" s="162">
        <f t="shared" ca="1" si="21"/>
        <v>-109166</v>
      </c>
      <c r="X44" s="5"/>
      <c r="Y44" s="5"/>
      <c r="Z44" s="5"/>
      <c r="AA44" s="5"/>
      <c r="AB44" s="1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35">
      <c r="A45" s="24"/>
      <c r="B45" s="31"/>
      <c r="C45" s="31"/>
      <c r="D45" s="31"/>
      <c r="E45" s="31"/>
      <c r="F45" s="31"/>
      <c r="G45" s="31"/>
      <c r="H45" s="31"/>
      <c r="I45" s="31"/>
      <c r="J45" s="31"/>
      <c r="K45" s="31"/>
      <c r="X45" s="5"/>
      <c r="Y45" s="5"/>
      <c r="Z45" s="5"/>
      <c r="AA45" s="5"/>
      <c r="AB45" s="1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35">
      <c r="A46" s="51" t="s">
        <v>200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Y46" s="5"/>
      <c r="Z46" s="5"/>
      <c r="AA46" s="5"/>
      <c r="AB46" s="1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35">
      <c r="A47" s="24"/>
      <c r="B47" s="30"/>
      <c r="C47" s="30"/>
      <c r="D47" s="30"/>
      <c r="E47" s="30"/>
      <c r="F47" s="30"/>
      <c r="G47" s="30"/>
      <c r="H47" s="30"/>
      <c r="I47" s="30"/>
      <c r="J47" s="30"/>
      <c r="K47" s="30"/>
      <c r="AB47" s="1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35">
      <c r="A48" s="1" t="s">
        <v>35</v>
      </c>
      <c r="B48" s="158">
        <f>B18</f>
        <v>-821123.10997090733</v>
      </c>
      <c r="C48" s="158">
        <f t="shared" ref="C48:K48" si="22">C18</f>
        <v>-779268.32637906121</v>
      </c>
      <c r="D48" s="158">
        <f t="shared" si="22"/>
        <v>-715732.40558784222</v>
      </c>
      <c r="E48" s="158">
        <f t="shared" si="22"/>
        <v>-685471.93599913199</v>
      </c>
      <c r="F48" s="158">
        <f t="shared" si="22"/>
        <v>-713774.28394268267</v>
      </c>
      <c r="G48" s="158">
        <f t="shared" si="22"/>
        <v>-713774.28394268267</v>
      </c>
      <c r="H48" s="158">
        <f t="shared" si="22"/>
        <v>-713774.28394268267</v>
      </c>
      <c r="I48" s="158">
        <f t="shared" si="22"/>
        <v>-713774.28394268267</v>
      </c>
      <c r="J48" s="158">
        <f t="shared" si="22"/>
        <v>-713774.28394268267</v>
      </c>
      <c r="K48" s="158">
        <f t="shared" si="22"/>
        <v>-713774.28394268267</v>
      </c>
      <c r="AB48" s="1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35">
      <c r="A49" s="1" t="s">
        <v>273</v>
      </c>
      <c r="B49" s="158">
        <f t="shared" ref="B49:K49" si="23">-B40</f>
        <v>-5340680</v>
      </c>
      <c r="C49" s="158">
        <f t="shared" si="23"/>
        <v>0</v>
      </c>
      <c r="D49" s="158">
        <f t="shared" si="23"/>
        <v>0</v>
      </c>
      <c r="E49" s="158">
        <f t="shared" si="23"/>
        <v>0</v>
      </c>
      <c r="F49" s="158">
        <f t="shared" si="23"/>
        <v>0</v>
      </c>
      <c r="G49" s="158">
        <f t="shared" si="23"/>
        <v>0</v>
      </c>
      <c r="H49" s="158">
        <f t="shared" si="23"/>
        <v>0</v>
      </c>
      <c r="I49" s="158">
        <f t="shared" si="23"/>
        <v>0</v>
      </c>
      <c r="J49" s="158">
        <f t="shared" si="23"/>
        <v>0</v>
      </c>
      <c r="K49" s="158">
        <f t="shared" si="23"/>
        <v>0</v>
      </c>
      <c r="AB49" s="1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35">
      <c r="A50" s="1" t="s">
        <v>274</v>
      </c>
      <c r="B50" s="162">
        <f>SUM(B48:B49)</f>
        <v>-6161803.1099709077</v>
      </c>
      <c r="C50" s="162">
        <f>SUM(C48:C49)</f>
        <v>-779268.32637906121</v>
      </c>
      <c r="D50" s="162">
        <f t="shared" ref="D50:K50" si="24">SUM(D48:D49)</f>
        <v>-715732.40558784222</v>
      </c>
      <c r="E50" s="162">
        <f t="shared" si="24"/>
        <v>-685471.93599913199</v>
      </c>
      <c r="F50" s="162">
        <f t="shared" si="24"/>
        <v>-713774.28394268267</v>
      </c>
      <c r="G50" s="162">
        <f t="shared" si="24"/>
        <v>-713774.28394268267</v>
      </c>
      <c r="H50" s="162">
        <f t="shared" si="24"/>
        <v>-713774.28394268267</v>
      </c>
      <c r="I50" s="162">
        <f t="shared" si="24"/>
        <v>-713774.28394268267</v>
      </c>
      <c r="J50" s="162">
        <f t="shared" si="24"/>
        <v>-713774.28394268267</v>
      </c>
      <c r="K50" s="162">
        <f t="shared" si="24"/>
        <v>-713774.28394268267</v>
      </c>
      <c r="AB50" s="1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35">
      <c r="A51" s="39" t="s">
        <v>275</v>
      </c>
      <c r="B51" s="41">
        <f t="shared" ref="B51:K51" si="25">$I$4</f>
        <v>1.5</v>
      </c>
      <c r="C51" s="41">
        <f t="shared" si="25"/>
        <v>1.5</v>
      </c>
      <c r="D51" s="41">
        <f t="shared" si="25"/>
        <v>1.5</v>
      </c>
      <c r="E51" s="41">
        <f t="shared" si="25"/>
        <v>1.5</v>
      </c>
      <c r="F51" s="41">
        <f t="shared" si="25"/>
        <v>1.5</v>
      </c>
      <c r="G51" s="41">
        <f t="shared" si="25"/>
        <v>1.5</v>
      </c>
      <c r="H51" s="41">
        <f t="shared" si="25"/>
        <v>1.5</v>
      </c>
      <c r="I51" s="41">
        <f t="shared" si="25"/>
        <v>1.5</v>
      </c>
      <c r="J51" s="41">
        <f t="shared" si="25"/>
        <v>1.5</v>
      </c>
      <c r="K51" s="41">
        <f t="shared" si="25"/>
        <v>1.5</v>
      </c>
      <c r="AB51" s="1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35">
      <c r="A52" s="1" t="s">
        <v>276</v>
      </c>
      <c r="B52" s="162">
        <f>MAX(B50,0)/B51</f>
        <v>0</v>
      </c>
      <c r="C52" s="162">
        <f>MAX(C50,0)/C51</f>
        <v>0</v>
      </c>
      <c r="D52" s="162">
        <f t="shared" ref="D52:K52" si="26">MAX(D50,0)/D51</f>
        <v>0</v>
      </c>
      <c r="E52" s="162">
        <f t="shared" si="26"/>
        <v>0</v>
      </c>
      <c r="F52" s="162">
        <f t="shared" si="26"/>
        <v>0</v>
      </c>
      <c r="G52" s="162">
        <f t="shared" si="26"/>
        <v>0</v>
      </c>
      <c r="H52" s="162">
        <f t="shared" si="26"/>
        <v>0</v>
      </c>
      <c r="I52" s="162">
        <f t="shared" si="26"/>
        <v>0</v>
      </c>
      <c r="J52" s="162">
        <f t="shared" si="26"/>
        <v>0</v>
      </c>
      <c r="K52" s="162">
        <f t="shared" si="26"/>
        <v>0</v>
      </c>
      <c r="AB52" s="1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35">
      <c r="A53" s="1" t="s">
        <v>277</v>
      </c>
      <c r="B53" s="158">
        <f>-B61</f>
        <v>0</v>
      </c>
      <c r="C53" s="158">
        <f t="shared" ref="C53:K53" ca="1" si="27">-C61</f>
        <v>-177786.13542380399</v>
      </c>
      <c r="D53" s="158">
        <f t="shared" ca="1" si="27"/>
        <v>-205399.97038693435</v>
      </c>
      <c r="E53" s="158">
        <f t="shared" ca="1" si="27"/>
        <v>-231977.34756299201</v>
      </c>
      <c r="F53" s="158">
        <f t="shared" ca="1" si="27"/>
        <v>-258448.456694653</v>
      </c>
      <c r="G53" s="158">
        <f t="shared" ca="1" si="27"/>
        <v>-286499.94109689759</v>
      </c>
      <c r="H53" s="158">
        <f t="shared" ca="1" si="27"/>
        <v>-315360.7932955111</v>
      </c>
      <c r="I53" s="158">
        <f t="shared" ca="1" si="27"/>
        <v>-345054.36593096011</v>
      </c>
      <c r="J53" s="158">
        <f t="shared" ca="1" si="27"/>
        <v>-375604.68543604534</v>
      </c>
      <c r="K53" s="158">
        <f t="shared" ca="1" si="27"/>
        <v>-407036.4714767916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35">
      <c r="A54" s="1" t="s">
        <v>278</v>
      </c>
      <c r="B54" s="162">
        <f>SUM(B52:B53)</f>
        <v>0</v>
      </c>
      <c r="C54" s="162">
        <f t="shared" ref="C54:K54" ca="1" si="28">SUM(C52:C53)</f>
        <v>-177786.13542380399</v>
      </c>
      <c r="D54" s="162">
        <f t="shared" ca="1" si="28"/>
        <v>-205399.97038693435</v>
      </c>
      <c r="E54" s="162">
        <f t="shared" ca="1" si="28"/>
        <v>-231977.34756299201</v>
      </c>
      <c r="F54" s="162">
        <f t="shared" ca="1" si="28"/>
        <v>-258448.456694653</v>
      </c>
      <c r="G54" s="162">
        <f t="shared" ca="1" si="28"/>
        <v>-286499.94109689759</v>
      </c>
      <c r="H54" s="162">
        <f t="shared" ca="1" si="28"/>
        <v>-315360.7932955111</v>
      </c>
      <c r="I54" s="162">
        <f t="shared" ca="1" si="28"/>
        <v>-345054.36593096011</v>
      </c>
      <c r="J54" s="162">
        <f t="shared" ca="1" si="28"/>
        <v>-375604.68543604534</v>
      </c>
      <c r="K54" s="162">
        <f t="shared" ca="1" si="28"/>
        <v>-407036.4714767916</v>
      </c>
      <c r="X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35">
      <c r="A55" s="24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X55" s="5"/>
      <c r="Y55" s="5"/>
      <c r="Z55" s="5"/>
      <c r="AA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35">
      <c r="A56" s="24" t="s">
        <v>279</v>
      </c>
      <c r="B56" s="161"/>
      <c r="C56" s="161">
        <f ca="1">B59</f>
        <v>3304575.0078773978</v>
      </c>
      <c r="D56" s="161">
        <f t="shared" ref="D56:K56" ca="1" si="29">C59</f>
        <v>3817843.3157422743</v>
      </c>
      <c r="E56" s="161">
        <f t="shared" ca="1" si="29"/>
        <v>4311846.6089775469</v>
      </c>
      <c r="F56" s="161">
        <f t="shared" ca="1" si="29"/>
        <v>4803874.6597519144</v>
      </c>
      <c r="G56" s="161">
        <f t="shared" ca="1" si="29"/>
        <v>5325277.7155557172</v>
      </c>
      <c r="H56" s="161">
        <f t="shared" ca="1" si="29"/>
        <v>5861724.7824444445</v>
      </c>
      <c r="I56" s="161">
        <f t="shared" ca="1" si="29"/>
        <v>6413649.9243672881</v>
      </c>
      <c r="J56" s="161">
        <f t="shared" ca="1" si="29"/>
        <v>6981499.7292945227</v>
      </c>
      <c r="K56" s="161">
        <f t="shared" ca="1" si="29"/>
        <v>7565733.6705723349</v>
      </c>
      <c r="X56" s="5"/>
      <c r="Y56" s="5"/>
      <c r="Z56" s="5"/>
      <c r="AA56" s="5"/>
      <c r="AB56" s="1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35">
      <c r="A57" s="24" t="s">
        <v>280</v>
      </c>
      <c r="B57" s="161">
        <f ca="1">+B73</f>
        <v>3304575.0078773978</v>
      </c>
      <c r="C57" s="161">
        <f t="shared" ref="C57:K57" ca="1" si="30">+C73</f>
        <v>513268.30786487658</v>
      </c>
      <c r="D57" s="161">
        <f t="shared" ca="1" si="30"/>
        <v>494003.29323527269</v>
      </c>
      <c r="E57" s="161">
        <f t="shared" ca="1" si="30"/>
        <v>492028.05077436712</v>
      </c>
      <c r="F57" s="161">
        <f t="shared" ca="1" si="30"/>
        <v>521403.05580380314</v>
      </c>
      <c r="G57" s="161">
        <f t="shared" ca="1" si="30"/>
        <v>536447.0668887269</v>
      </c>
      <c r="H57" s="161">
        <f t="shared" ca="1" si="30"/>
        <v>551925.14192284329</v>
      </c>
      <c r="I57" s="161">
        <f t="shared" ca="1" si="30"/>
        <v>567849.80492723454</v>
      </c>
      <c r="J57" s="161">
        <f t="shared" ca="1" si="30"/>
        <v>584233.94127781177</v>
      </c>
      <c r="K57" s="161">
        <f t="shared" ca="1" si="30"/>
        <v>601090.80813146406</v>
      </c>
      <c r="X57" s="5"/>
      <c r="Y57" s="5"/>
      <c r="Z57" s="5"/>
      <c r="AA57" s="5"/>
      <c r="AB57" s="1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35">
      <c r="A58" s="24" t="s">
        <v>281</v>
      </c>
      <c r="B58" s="161">
        <f>-MAX(MIN(B56,B54),0)</f>
        <v>0</v>
      </c>
      <c r="C58" s="161">
        <f t="shared" ref="C58:K58" ca="1" si="31">-MAX(MIN(C56,C54),0)</f>
        <v>0</v>
      </c>
      <c r="D58" s="161">
        <f t="shared" ca="1" si="31"/>
        <v>0</v>
      </c>
      <c r="E58" s="161">
        <f t="shared" ca="1" si="31"/>
        <v>0</v>
      </c>
      <c r="F58" s="161">
        <f t="shared" ca="1" si="31"/>
        <v>0</v>
      </c>
      <c r="G58" s="161">
        <f t="shared" ca="1" si="31"/>
        <v>0</v>
      </c>
      <c r="H58" s="161">
        <f t="shared" ca="1" si="31"/>
        <v>0</v>
      </c>
      <c r="I58" s="161">
        <f t="shared" ca="1" si="31"/>
        <v>0</v>
      </c>
      <c r="J58" s="161">
        <f t="shared" ca="1" si="31"/>
        <v>0</v>
      </c>
      <c r="K58" s="161">
        <f t="shared" ca="1" si="31"/>
        <v>0</v>
      </c>
      <c r="X58" s="5"/>
      <c r="Y58" s="5"/>
      <c r="Z58" s="5"/>
      <c r="AA58" s="5"/>
      <c r="AB58" s="1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35">
      <c r="A59" s="24" t="s">
        <v>282</v>
      </c>
      <c r="B59" s="172">
        <f ca="1">SUM(B56:B58)</f>
        <v>3304575.0078773978</v>
      </c>
      <c r="C59" s="172">
        <f t="shared" ref="C59:K59" ca="1" si="32">SUM(C56:C58)</f>
        <v>3817843.3157422743</v>
      </c>
      <c r="D59" s="172">
        <f t="shared" ca="1" si="32"/>
        <v>4311846.6089775469</v>
      </c>
      <c r="E59" s="172">
        <f t="shared" ca="1" si="32"/>
        <v>4803874.6597519144</v>
      </c>
      <c r="F59" s="172">
        <f t="shared" ca="1" si="32"/>
        <v>5325277.7155557172</v>
      </c>
      <c r="G59" s="172">
        <f t="shared" ca="1" si="32"/>
        <v>5861724.7824444445</v>
      </c>
      <c r="H59" s="172">
        <f t="shared" ca="1" si="32"/>
        <v>6413649.9243672881</v>
      </c>
      <c r="I59" s="172">
        <f t="shared" ca="1" si="32"/>
        <v>6981499.7292945227</v>
      </c>
      <c r="J59" s="172">
        <f t="shared" ca="1" si="32"/>
        <v>7565733.6705723349</v>
      </c>
      <c r="K59" s="172">
        <f t="shared" ca="1" si="32"/>
        <v>8166824.4787037987</v>
      </c>
      <c r="X59" s="5"/>
      <c r="Y59" s="5"/>
      <c r="Z59" s="5"/>
      <c r="AA59" s="5"/>
      <c r="AB59" s="15"/>
      <c r="AC59" s="5"/>
      <c r="AF59" s="5"/>
    </row>
    <row r="60" spans="1:41" ht="14.25" customHeight="1" x14ac:dyDescent="0.35">
      <c r="A60" s="24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X60" s="5"/>
      <c r="Y60" s="5"/>
      <c r="Z60" s="5"/>
      <c r="AA60" s="5"/>
      <c r="AB60" s="15"/>
      <c r="AC60" s="5"/>
      <c r="AF60" s="5"/>
    </row>
    <row r="61" spans="1:41" ht="14.25" customHeight="1" x14ac:dyDescent="0.35">
      <c r="A61" s="24" t="s">
        <v>283</v>
      </c>
      <c r="B61" s="161">
        <f>B56*$F$4</f>
        <v>0</v>
      </c>
      <c r="C61" s="161">
        <f t="shared" ref="C61:K61" ca="1" si="33">C56*$F$4</f>
        <v>177786.13542380399</v>
      </c>
      <c r="D61" s="161">
        <f t="shared" ca="1" si="33"/>
        <v>205399.97038693435</v>
      </c>
      <c r="E61" s="161">
        <f t="shared" ca="1" si="33"/>
        <v>231977.34756299201</v>
      </c>
      <c r="F61" s="161">
        <f t="shared" ca="1" si="33"/>
        <v>258448.456694653</v>
      </c>
      <c r="G61" s="161">
        <f t="shared" ca="1" si="33"/>
        <v>286499.94109689759</v>
      </c>
      <c r="H61" s="161">
        <f t="shared" ca="1" si="33"/>
        <v>315360.7932955111</v>
      </c>
      <c r="I61" s="161">
        <f t="shared" ca="1" si="33"/>
        <v>345054.36593096011</v>
      </c>
      <c r="J61" s="161">
        <f t="shared" ca="1" si="33"/>
        <v>375604.68543604534</v>
      </c>
      <c r="K61" s="161">
        <f t="shared" ca="1" si="33"/>
        <v>407036.4714767916</v>
      </c>
      <c r="X61" s="5"/>
      <c r="Y61" s="5"/>
      <c r="Z61" s="5"/>
      <c r="AA61" s="5"/>
      <c r="AB61" s="15"/>
      <c r="AC61" s="5"/>
      <c r="AF61" s="5"/>
    </row>
    <row r="62" spans="1:41" ht="14.25" customHeight="1" x14ac:dyDescent="0.35">
      <c r="A62" s="24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X62" s="5"/>
      <c r="Y62" s="5"/>
      <c r="Z62" s="5"/>
      <c r="AA62" s="5"/>
      <c r="AB62" s="15"/>
      <c r="AC62" s="5"/>
      <c r="AF62" s="5"/>
    </row>
    <row r="63" spans="1:41" ht="14.25" customHeight="1" x14ac:dyDescent="0.35">
      <c r="A63" s="51" t="s">
        <v>284</v>
      </c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X63" s="5"/>
      <c r="Y63" s="5"/>
      <c r="Z63" s="5"/>
      <c r="AA63" s="5"/>
      <c r="AB63" s="15"/>
      <c r="AC63" s="5"/>
      <c r="AF63" s="5"/>
    </row>
    <row r="64" spans="1:41" ht="14.25" customHeight="1" x14ac:dyDescent="0.35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X64" s="5"/>
      <c r="Y64" s="5"/>
      <c r="Z64" s="5"/>
      <c r="AA64" s="5"/>
      <c r="AB64" s="15"/>
      <c r="AC64" s="5"/>
      <c r="AF64" s="5"/>
    </row>
    <row r="65" spans="1:41" ht="14.25" customHeight="1" x14ac:dyDescent="0.35">
      <c r="A65" s="1" t="s">
        <v>35</v>
      </c>
      <c r="B65" s="158">
        <f>+B48</f>
        <v>-821123.10997090733</v>
      </c>
      <c r="C65" s="158">
        <f t="shared" ref="C65:K65" si="34">+C48</f>
        <v>-779268.32637906121</v>
      </c>
      <c r="D65" s="158">
        <f t="shared" si="34"/>
        <v>-715732.40558784222</v>
      </c>
      <c r="E65" s="158">
        <f t="shared" si="34"/>
        <v>-685471.93599913199</v>
      </c>
      <c r="F65" s="158">
        <f t="shared" si="34"/>
        <v>-713774.28394268267</v>
      </c>
      <c r="G65" s="158">
        <f t="shared" si="34"/>
        <v>-713774.28394268267</v>
      </c>
      <c r="H65" s="158">
        <f t="shared" si="34"/>
        <v>-713774.28394268267</v>
      </c>
      <c r="I65" s="158">
        <f t="shared" si="34"/>
        <v>-713774.28394268267</v>
      </c>
      <c r="J65" s="158">
        <f t="shared" si="34"/>
        <v>-713774.28394268267</v>
      </c>
      <c r="K65" s="158">
        <f t="shared" si="34"/>
        <v>-713774.28394268267</v>
      </c>
      <c r="X65" s="5"/>
      <c r="Y65" s="5"/>
      <c r="Z65" s="5"/>
      <c r="AA65" s="5"/>
      <c r="AB65" s="15"/>
      <c r="AC65" s="5"/>
      <c r="AF65" s="5"/>
    </row>
    <row r="66" spans="1:41" ht="14.25" customHeight="1" x14ac:dyDescent="0.35">
      <c r="A66" s="1" t="s">
        <v>281</v>
      </c>
      <c r="B66" s="158">
        <f>B58</f>
        <v>0</v>
      </c>
      <c r="C66" s="158">
        <f t="shared" ref="C66:K66" ca="1" si="35">C58</f>
        <v>0</v>
      </c>
      <c r="D66" s="158">
        <f t="shared" ca="1" si="35"/>
        <v>0</v>
      </c>
      <c r="E66" s="158">
        <f t="shared" ca="1" si="35"/>
        <v>0</v>
      </c>
      <c r="F66" s="158">
        <f t="shared" ca="1" si="35"/>
        <v>0</v>
      </c>
      <c r="G66" s="158">
        <f t="shared" ca="1" si="35"/>
        <v>0</v>
      </c>
      <c r="H66" s="158">
        <f t="shared" ca="1" si="35"/>
        <v>0</v>
      </c>
      <c r="I66" s="158">
        <f t="shared" ca="1" si="35"/>
        <v>0</v>
      </c>
      <c r="J66" s="158">
        <f t="shared" ca="1" si="35"/>
        <v>0</v>
      </c>
      <c r="K66" s="158">
        <f t="shared" ca="1" si="35"/>
        <v>0</v>
      </c>
      <c r="X66" s="5"/>
      <c r="Y66" s="5"/>
      <c r="Z66" s="5"/>
      <c r="AA66" s="5"/>
      <c r="AB66" s="1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35">
      <c r="A67" s="1" t="s">
        <v>277</v>
      </c>
      <c r="B67" s="158">
        <f>-B61</f>
        <v>0</v>
      </c>
      <c r="C67" s="158">
        <f t="shared" ref="C67:K67" ca="1" si="36">-C61</f>
        <v>-177786.13542380399</v>
      </c>
      <c r="D67" s="158">
        <f t="shared" ca="1" si="36"/>
        <v>-205399.97038693435</v>
      </c>
      <c r="E67" s="158">
        <f t="shared" ca="1" si="36"/>
        <v>-231977.34756299201</v>
      </c>
      <c r="F67" s="158">
        <f t="shared" ca="1" si="36"/>
        <v>-258448.456694653</v>
      </c>
      <c r="G67" s="158">
        <f t="shared" ca="1" si="36"/>
        <v>-286499.94109689759</v>
      </c>
      <c r="H67" s="158">
        <f t="shared" ca="1" si="36"/>
        <v>-315360.7932955111</v>
      </c>
      <c r="I67" s="158">
        <f t="shared" ca="1" si="36"/>
        <v>-345054.36593096011</v>
      </c>
      <c r="J67" s="158">
        <f t="shared" ca="1" si="36"/>
        <v>-375604.68543604534</v>
      </c>
      <c r="K67" s="158">
        <f t="shared" ca="1" si="36"/>
        <v>-407036.4714767916</v>
      </c>
      <c r="X67" s="5"/>
      <c r="Y67" s="5"/>
      <c r="Z67" s="5"/>
      <c r="AA67" s="5"/>
      <c r="AB67" s="1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35">
      <c r="A68" s="1" t="s">
        <v>285</v>
      </c>
      <c r="B68" s="158">
        <f t="shared" ref="B68:K68" ca="1" si="37">-B25</f>
        <v>0</v>
      </c>
      <c r="C68" s="158">
        <f t="shared" ca="1" si="37"/>
        <v>0</v>
      </c>
      <c r="D68" s="158">
        <f t="shared" ca="1" si="37"/>
        <v>0</v>
      </c>
      <c r="E68" s="158">
        <f t="shared" ca="1" si="37"/>
        <v>0</v>
      </c>
      <c r="F68" s="158">
        <f t="shared" ca="1" si="37"/>
        <v>0</v>
      </c>
      <c r="G68" s="158">
        <f t="shared" ca="1" si="37"/>
        <v>0</v>
      </c>
      <c r="H68" s="158">
        <f t="shared" ca="1" si="37"/>
        <v>0</v>
      </c>
      <c r="I68" s="158">
        <f t="shared" ca="1" si="37"/>
        <v>0</v>
      </c>
      <c r="J68" s="158">
        <f t="shared" ca="1" si="37"/>
        <v>0</v>
      </c>
      <c r="K68" s="158">
        <f t="shared" ca="1" si="37"/>
        <v>0</v>
      </c>
      <c r="Y68" s="5"/>
      <c r="Z68" s="5"/>
      <c r="AA68" s="5"/>
      <c r="AB68" s="1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35">
      <c r="A69" s="1" t="s">
        <v>273</v>
      </c>
      <c r="B69" s="158">
        <f>-B40</f>
        <v>-5340680</v>
      </c>
      <c r="C69" s="158">
        <f t="shared" ref="C69:K69" si="38">-C40</f>
        <v>0</v>
      </c>
      <c r="D69" s="158">
        <f t="shared" si="38"/>
        <v>0</v>
      </c>
      <c r="E69" s="158">
        <f t="shared" si="38"/>
        <v>0</v>
      </c>
      <c r="F69" s="158">
        <f t="shared" si="38"/>
        <v>0</v>
      </c>
      <c r="G69" s="158">
        <f t="shared" si="38"/>
        <v>0</v>
      </c>
      <c r="H69" s="158">
        <f t="shared" si="38"/>
        <v>0</v>
      </c>
      <c r="I69" s="158">
        <f t="shared" si="38"/>
        <v>0</v>
      </c>
      <c r="J69" s="158">
        <f t="shared" si="38"/>
        <v>0</v>
      </c>
      <c r="K69" s="158">
        <f t="shared" si="38"/>
        <v>0</v>
      </c>
      <c r="AB69" s="1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35">
      <c r="A70" s="1" t="s">
        <v>286</v>
      </c>
      <c r="B70" s="162">
        <f ca="1">SUM(B65:B69)</f>
        <v>-6161803.1099709077</v>
      </c>
      <c r="C70" s="162">
        <f t="shared" ref="C70:K70" ca="1" si="39">SUM(C65:C69)</f>
        <v>-957054.46180286515</v>
      </c>
      <c r="D70" s="162">
        <f t="shared" ca="1" si="39"/>
        <v>-921132.37597477657</v>
      </c>
      <c r="E70" s="162">
        <f t="shared" ca="1" si="39"/>
        <v>-917449.28356212401</v>
      </c>
      <c r="F70" s="162">
        <f t="shared" ca="1" si="39"/>
        <v>-972222.74063733569</v>
      </c>
      <c r="G70" s="162">
        <f t="shared" ca="1" si="39"/>
        <v>-1000274.2250395803</v>
      </c>
      <c r="H70" s="162">
        <f t="shared" ca="1" si="39"/>
        <v>-1029135.0772381937</v>
      </c>
      <c r="I70" s="162">
        <f t="shared" ca="1" si="39"/>
        <v>-1058828.6498736427</v>
      </c>
      <c r="J70" s="162">
        <f t="shared" ca="1" si="39"/>
        <v>-1089378.969378728</v>
      </c>
      <c r="K70" s="162">
        <f t="shared" ca="1" si="39"/>
        <v>-1120810.7554194743</v>
      </c>
      <c r="AB70" s="1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35"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AB71" s="1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35">
      <c r="A72" s="1" t="s">
        <v>287</v>
      </c>
      <c r="B72" s="158">
        <f>MAX(B65,0)</f>
        <v>0</v>
      </c>
      <c r="C72" s="158">
        <f t="shared" ref="C72:K72" si="40">MAX(C65,0)</f>
        <v>0</v>
      </c>
      <c r="D72" s="158">
        <f t="shared" si="40"/>
        <v>0</v>
      </c>
      <c r="E72" s="158">
        <f t="shared" si="40"/>
        <v>0</v>
      </c>
      <c r="F72" s="158">
        <f t="shared" si="40"/>
        <v>0</v>
      </c>
      <c r="G72" s="158">
        <f t="shared" si="40"/>
        <v>0</v>
      </c>
      <c r="H72" s="158">
        <f t="shared" si="40"/>
        <v>0</v>
      </c>
      <c r="I72" s="158">
        <f t="shared" si="40"/>
        <v>0</v>
      </c>
      <c r="J72" s="158">
        <f t="shared" si="40"/>
        <v>0</v>
      </c>
      <c r="K72" s="158">
        <f t="shared" si="40"/>
        <v>0</v>
      </c>
      <c r="AB72" s="1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35">
      <c r="A73" s="1" t="s">
        <v>288</v>
      </c>
      <c r="B73" s="158">
        <f ca="1">-MIN(B70,0)*$E$4</f>
        <v>3304575.0078773978</v>
      </c>
      <c r="C73" s="158">
        <f t="shared" ref="C73:K73" ca="1" si="41">-MIN(C70,0)*$E$4</f>
        <v>513268.30786487658</v>
      </c>
      <c r="D73" s="158">
        <f t="shared" ca="1" si="41"/>
        <v>494003.29323527269</v>
      </c>
      <c r="E73" s="158">
        <f t="shared" ca="1" si="41"/>
        <v>492028.05077436712</v>
      </c>
      <c r="F73" s="158">
        <f t="shared" ca="1" si="41"/>
        <v>521403.05580380314</v>
      </c>
      <c r="G73" s="158">
        <f t="shared" ca="1" si="41"/>
        <v>536447.0668887269</v>
      </c>
      <c r="H73" s="158">
        <f t="shared" ca="1" si="41"/>
        <v>551925.14192284329</v>
      </c>
      <c r="I73" s="158">
        <f t="shared" ca="1" si="41"/>
        <v>567849.80492723454</v>
      </c>
      <c r="J73" s="158">
        <f t="shared" ca="1" si="41"/>
        <v>584233.94127781177</v>
      </c>
      <c r="K73" s="158">
        <f t="shared" ca="1" si="41"/>
        <v>601090.80813146406</v>
      </c>
      <c r="L73" t="s">
        <v>289</v>
      </c>
      <c r="AB73" s="1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35">
      <c r="A74" s="1" t="s">
        <v>290</v>
      </c>
      <c r="B74" s="158">
        <f t="shared" ref="B74:K74" ca="1" si="42">-MIN(B70,0)*$E$3</f>
        <v>2857228.1020935099</v>
      </c>
      <c r="C74" s="158">
        <f t="shared" ca="1" si="42"/>
        <v>443786.15393798857</v>
      </c>
      <c r="D74" s="158">
        <f t="shared" ca="1" si="42"/>
        <v>427129.08273950388</v>
      </c>
      <c r="E74" s="158">
        <f t="shared" ca="1" si="42"/>
        <v>425421.23278775689</v>
      </c>
      <c r="F74" s="158">
        <f t="shared" ca="1" si="42"/>
        <v>450819.68483353255</v>
      </c>
      <c r="G74" s="158">
        <f t="shared" ca="1" si="42"/>
        <v>463827.15815085336</v>
      </c>
      <c r="H74" s="158">
        <f t="shared" ca="1" si="42"/>
        <v>477209.93531535042</v>
      </c>
      <c r="I74" s="158">
        <f t="shared" ca="1" si="42"/>
        <v>490978.84494640812</v>
      </c>
      <c r="J74" s="158">
        <f t="shared" ca="1" si="42"/>
        <v>505145.02810091613</v>
      </c>
      <c r="K74" s="158">
        <f t="shared" ca="1" si="42"/>
        <v>519719.94728801027</v>
      </c>
      <c r="AB74" s="15"/>
      <c r="AC74" s="5"/>
      <c r="AF74" s="5"/>
      <c r="AG74" s="5"/>
    </row>
    <row r="75" spans="1:41" ht="14.25" customHeight="1" x14ac:dyDescent="0.35">
      <c r="A75" s="19" t="s">
        <v>291</v>
      </c>
      <c r="B75" s="170">
        <f ca="1">SUM(B72:B74)</f>
        <v>6161803.1099709077</v>
      </c>
      <c r="C75" s="170">
        <f t="shared" ref="C75:K75" ca="1" si="43">SUM(C72:C74)</f>
        <v>957054.46180286515</v>
      </c>
      <c r="D75" s="170">
        <f t="shared" ca="1" si="43"/>
        <v>921132.37597477657</v>
      </c>
      <c r="E75" s="170">
        <f t="shared" ca="1" si="43"/>
        <v>917449.28356212401</v>
      </c>
      <c r="F75" s="170">
        <f t="shared" ca="1" si="43"/>
        <v>972222.74063733569</v>
      </c>
      <c r="G75" s="170">
        <f t="shared" ca="1" si="43"/>
        <v>1000274.2250395803</v>
      </c>
      <c r="H75" s="170">
        <f t="shared" ca="1" si="43"/>
        <v>1029135.0772381937</v>
      </c>
      <c r="I75" s="170">
        <f t="shared" ca="1" si="43"/>
        <v>1058828.6498736427</v>
      </c>
      <c r="J75" s="170">
        <f t="shared" ca="1" si="43"/>
        <v>1089378.969378728</v>
      </c>
      <c r="K75" s="170">
        <f t="shared" ca="1" si="43"/>
        <v>1120810.7554194743</v>
      </c>
      <c r="AB75" s="15"/>
      <c r="AC75" s="5"/>
      <c r="AF75" s="5"/>
    </row>
    <row r="76" spans="1:41" ht="14.25" customHeight="1" x14ac:dyDescent="0.35"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AB76" s="15"/>
      <c r="AC76" s="5"/>
      <c r="AF76" s="5"/>
    </row>
    <row r="77" spans="1:41" ht="14.25" customHeight="1" x14ac:dyDescent="0.35">
      <c r="A77" s="24" t="s">
        <v>292</v>
      </c>
      <c r="B77" s="158">
        <f>-B69</f>
        <v>5340680</v>
      </c>
      <c r="C77" s="158">
        <f t="shared" ref="C77:K77" si="44">C40</f>
        <v>0</v>
      </c>
      <c r="D77" s="158">
        <f t="shared" si="44"/>
        <v>0</v>
      </c>
      <c r="E77" s="158">
        <f t="shared" si="44"/>
        <v>0</v>
      </c>
      <c r="F77" s="158">
        <f t="shared" si="44"/>
        <v>0</v>
      </c>
      <c r="G77" s="158">
        <f t="shared" si="44"/>
        <v>0</v>
      </c>
      <c r="H77" s="158">
        <f t="shared" si="44"/>
        <v>0</v>
      </c>
      <c r="I77" s="158">
        <f t="shared" si="44"/>
        <v>0</v>
      </c>
      <c r="J77" s="158">
        <f t="shared" si="44"/>
        <v>0</v>
      </c>
      <c r="K77" s="158">
        <f t="shared" si="44"/>
        <v>0</v>
      </c>
      <c r="AB77" s="15"/>
      <c r="AC77" s="5"/>
      <c r="AF77" s="5"/>
    </row>
    <row r="78" spans="1:41" ht="14.25" customHeight="1" x14ac:dyDescent="0.35">
      <c r="A78" s="24" t="s">
        <v>293</v>
      </c>
      <c r="B78" s="158">
        <f>-MIN(B65,0)</f>
        <v>821123.10997090733</v>
      </c>
      <c r="C78" s="158">
        <f t="shared" ref="C78:K78" si="45">-MIN(C65,0)</f>
        <v>779268.32637906121</v>
      </c>
      <c r="D78" s="158">
        <f t="shared" si="45"/>
        <v>715732.40558784222</v>
      </c>
      <c r="E78" s="158">
        <f t="shared" si="45"/>
        <v>685471.93599913199</v>
      </c>
      <c r="F78" s="158">
        <f t="shared" si="45"/>
        <v>713774.28394268267</v>
      </c>
      <c r="G78" s="158">
        <f t="shared" si="45"/>
        <v>713774.28394268267</v>
      </c>
      <c r="H78" s="158">
        <f t="shared" si="45"/>
        <v>713774.28394268267</v>
      </c>
      <c r="I78" s="158">
        <f t="shared" si="45"/>
        <v>713774.28394268267</v>
      </c>
      <c r="J78" s="158">
        <f t="shared" si="45"/>
        <v>713774.28394268267</v>
      </c>
      <c r="K78" s="158">
        <f t="shared" si="45"/>
        <v>713774.28394268267</v>
      </c>
      <c r="X78" s="5"/>
      <c r="AB78" s="15"/>
      <c r="AC78" s="5"/>
      <c r="AF78" s="5"/>
    </row>
    <row r="79" spans="1:41" ht="14.25" customHeight="1" x14ac:dyDescent="0.35">
      <c r="A79" s="24" t="s">
        <v>294</v>
      </c>
      <c r="B79" s="158">
        <f>-B58+B61</f>
        <v>0</v>
      </c>
      <c r="C79" s="158">
        <f t="shared" ref="C79:K79" ca="1" si="46">-C58+C61</f>
        <v>177786.13542380399</v>
      </c>
      <c r="D79" s="158">
        <f t="shared" ca="1" si="46"/>
        <v>205399.97038693435</v>
      </c>
      <c r="E79" s="158">
        <f t="shared" ca="1" si="46"/>
        <v>231977.34756299201</v>
      </c>
      <c r="F79" s="158">
        <f t="shared" ca="1" si="46"/>
        <v>258448.456694653</v>
      </c>
      <c r="G79" s="158">
        <f t="shared" ca="1" si="46"/>
        <v>286499.94109689759</v>
      </c>
      <c r="H79" s="158">
        <f t="shared" ca="1" si="46"/>
        <v>315360.7932955111</v>
      </c>
      <c r="I79" s="158">
        <f t="shared" ca="1" si="46"/>
        <v>345054.36593096011</v>
      </c>
      <c r="J79" s="158">
        <f t="shared" ca="1" si="46"/>
        <v>375604.68543604534</v>
      </c>
      <c r="K79" s="158">
        <f t="shared" ca="1" si="46"/>
        <v>407036.4714767916</v>
      </c>
      <c r="X79" s="5"/>
      <c r="Y79" s="5"/>
      <c r="Z79" s="5"/>
      <c r="AA79" s="5"/>
      <c r="AB79" s="15"/>
      <c r="AC79" s="5"/>
      <c r="AF79" s="5"/>
    </row>
    <row r="80" spans="1:41" ht="14.25" customHeight="1" x14ac:dyDescent="0.35">
      <c r="A80" s="24" t="s">
        <v>295</v>
      </c>
      <c r="B80" s="158">
        <f t="shared" ref="B80:K80" ca="1" si="47">B25</f>
        <v>0</v>
      </c>
      <c r="C80" s="158">
        <f t="shared" ca="1" si="47"/>
        <v>0</v>
      </c>
      <c r="D80" s="158">
        <f t="shared" ca="1" si="47"/>
        <v>0</v>
      </c>
      <c r="E80" s="158">
        <f t="shared" ca="1" si="47"/>
        <v>0</v>
      </c>
      <c r="F80" s="158">
        <f t="shared" ca="1" si="47"/>
        <v>0</v>
      </c>
      <c r="G80" s="158">
        <f t="shared" ca="1" si="47"/>
        <v>0</v>
      </c>
      <c r="H80" s="158">
        <f t="shared" ca="1" si="47"/>
        <v>0</v>
      </c>
      <c r="I80" s="158">
        <f t="shared" ca="1" si="47"/>
        <v>0</v>
      </c>
      <c r="J80" s="158">
        <f t="shared" ca="1" si="47"/>
        <v>0</v>
      </c>
      <c r="K80" s="158">
        <f t="shared" ca="1" si="47"/>
        <v>0</v>
      </c>
      <c r="X80" s="5"/>
      <c r="AB80" s="15"/>
      <c r="AC80" s="5"/>
      <c r="AF80" s="5"/>
    </row>
    <row r="81" spans="1:41" ht="14.25" customHeight="1" x14ac:dyDescent="0.35">
      <c r="A81" s="24" t="s">
        <v>296</v>
      </c>
      <c r="B81" s="158">
        <f ca="1">MAX(B70,0)</f>
        <v>0</v>
      </c>
      <c r="C81" s="158">
        <f t="shared" ref="C81:K81" ca="1" si="48">MAX(C70,0)</f>
        <v>0</v>
      </c>
      <c r="D81" s="158">
        <f t="shared" ca="1" si="48"/>
        <v>0</v>
      </c>
      <c r="E81" s="158">
        <f t="shared" ca="1" si="48"/>
        <v>0</v>
      </c>
      <c r="F81" s="158">
        <f t="shared" ca="1" si="48"/>
        <v>0</v>
      </c>
      <c r="G81" s="158">
        <f t="shared" ca="1" si="48"/>
        <v>0</v>
      </c>
      <c r="H81" s="158">
        <f t="shared" ca="1" si="48"/>
        <v>0</v>
      </c>
      <c r="I81" s="158">
        <f t="shared" ca="1" si="48"/>
        <v>0</v>
      </c>
      <c r="J81" s="158">
        <f t="shared" ca="1" si="48"/>
        <v>0</v>
      </c>
      <c r="K81" s="158">
        <f t="shared" ca="1" si="48"/>
        <v>0</v>
      </c>
      <c r="X81" s="5"/>
      <c r="Y81" s="5"/>
      <c r="Z81" s="5"/>
      <c r="AA81" s="5"/>
      <c r="AB81" s="15"/>
      <c r="AC81" s="5"/>
      <c r="AF81" s="5"/>
    </row>
    <row r="82" spans="1:41" ht="14.25" customHeight="1" x14ac:dyDescent="0.35">
      <c r="A82" s="27" t="s">
        <v>297</v>
      </c>
      <c r="B82" s="170">
        <f ca="1">SUM(B77:B81)</f>
        <v>6161803.1099709077</v>
      </c>
      <c r="C82" s="170">
        <f t="shared" ref="C82:K82" ca="1" si="49">SUM(C77:C81)</f>
        <v>957054.46180286515</v>
      </c>
      <c r="D82" s="170">
        <f t="shared" ca="1" si="49"/>
        <v>921132.37597477657</v>
      </c>
      <c r="E82" s="170">
        <f t="shared" ca="1" si="49"/>
        <v>917449.28356212401</v>
      </c>
      <c r="F82" s="170">
        <f t="shared" ca="1" si="49"/>
        <v>972222.74063733569</v>
      </c>
      <c r="G82" s="170">
        <f t="shared" ca="1" si="49"/>
        <v>1000274.2250395803</v>
      </c>
      <c r="H82" s="170">
        <f t="shared" ca="1" si="49"/>
        <v>1029135.0772381937</v>
      </c>
      <c r="I82" s="170">
        <f t="shared" ca="1" si="49"/>
        <v>1058828.6498736427</v>
      </c>
      <c r="J82" s="170">
        <f t="shared" ca="1" si="49"/>
        <v>1089378.969378728</v>
      </c>
      <c r="K82" s="170">
        <f t="shared" ca="1" si="49"/>
        <v>1120810.7554194743</v>
      </c>
      <c r="X82" s="5"/>
      <c r="Y82" s="5"/>
      <c r="Z82" s="5"/>
      <c r="AA82" s="5"/>
      <c r="AB82" s="15"/>
      <c r="AC82" s="5"/>
      <c r="AF82" s="5"/>
    </row>
    <row r="83" spans="1:41" ht="14.25" customHeight="1" x14ac:dyDescent="0.35">
      <c r="A83" s="27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X83" s="5"/>
      <c r="Y83" s="5"/>
      <c r="Z83" s="5"/>
      <c r="AA83" s="5"/>
      <c r="AB83" s="15"/>
      <c r="AC83" s="5"/>
      <c r="AF83" s="5"/>
    </row>
    <row r="84" spans="1:41" ht="14.25" customHeight="1" x14ac:dyDescent="0.35">
      <c r="A84" s="24" t="s">
        <v>298</v>
      </c>
      <c r="B84" s="158">
        <f ca="1">B75-B82</f>
        <v>0</v>
      </c>
      <c r="C84" s="158">
        <f t="shared" ref="C84:K84" ca="1" si="50">C75-C82</f>
        <v>0</v>
      </c>
      <c r="D84" s="158">
        <f t="shared" ca="1" si="50"/>
        <v>0</v>
      </c>
      <c r="E84" s="158">
        <f t="shared" ca="1" si="50"/>
        <v>0</v>
      </c>
      <c r="F84" s="158">
        <f t="shared" ca="1" si="50"/>
        <v>0</v>
      </c>
      <c r="G84" s="158">
        <f t="shared" ca="1" si="50"/>
        <v>0</v>
      </c>
      <c r="H84" s="158">
        <f t="shared" ca="1" si="50"/>
        <v>0</v>
      </c>
      <c r="I84" s="158">
        <f t="shared" ca="1" si="50"/>
        <v>0</v>
      </c>
      <c r="J84" s="158">
        <f t="shared" ca="1" si="50"/>
        <v>0</v>
      </c>
      <c r="K84" s="158">
        <f t="shared" ca="1" si="50"/>
        <v>0</v>
      </c>
      <c r="X84" s="5"/>
      <c r="Y84" s="5"/>
      <c r="Z84" s="5"/>
      <c r="AA84" s="5"/>
      <c r="AB84" s="15"/>
      <c r="AC84" s="5"/>
      <c r="AF84" s="5"/>
    </row>
    <row r="85" spans="1:41" ht="14.25" customHeight="1" x14ac:dyDescent="0.35">
      <c r="A85" s="24"/>
      <c r="B85" s="30"/>
      <c r="C85" s="30"/>
      <c r="D85" s="30"/>
      <c r="E85" s="30"/>
      <c r="F85" s="30"/>
      <c r="G85" s="30"/>
      <c r="H85" s="30"/>
      <c r="I85" s="30"/>
      <c r="J85" s="30"/>
      <c r="K85" s="30"/>
      <c r="X85" s="5"/>
      <c r="Y85" s="5"/>
      <c r="Z85" s="5"/>
      <c r="AA85" s="5"/>
      <c r="AB85" s="15"/>
      <c r="AC85" s="5"/>
      <c r="AF85" s="5"/>
    </row>
    <row r="86" spans="1:41" ht="14.25" customHeight="1" x14ac:dyDescent="0.35">
      <c r="A86" s="51" t="s">
        <v>299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X86" s="5"/>
      <c r="Y86" s="5"/>
      <c r="Z86" s="5"/>
      <c r="AA86" s="5"/>
      <c r="AB86" s="15"/>
      <c r="AC86" s="5"/>
      <c r="AF86" s="5"/>
    </row>
    <row r="87" spans="1:41" ht="14.25" customHeight="1" x14ac:dyDescent="0.35">
      <c r="B87" s="30"/>
      <c r="C87" s="30"/>
      <c r="D87" s="30"/>
      <c r="E87" s="30"/>
      <c r="F87" s="30"/>
      <c r="G87" s="30"/>
      <c r="H87" s="30"/>
      <c r="I87" s="30"/>
      <c r="J87" s="30"/>
      <c r="K87" s="30"/>
      <c r="X87" s="5"/>
      <c r="Y87" s="5"/>
      <c r="Z87" s="5"/>
      <c r="AA87" s="5"/>
      <c r="AB87" s="15"/>
      <c r="AC87" s="5"/>
      <c r="AF87" s="5"/>
    </row>
    <row r="88" spans="1:41" ht="14.25" customHeight="1" x14ac:dyDescent="0.35">
      <c r="A88" s="1" t="s">
        <v>41</v>
      </c>
      <c r="B88" s="158">
        <f ca="1">+'Demo financial pro forma'!C52</f>
        <v>-1107957.1099709072</v>
      </c>
      <c r="C88" s="158">
        <f ca="1">+'Demo financial pro forma'!D52</f>
        <v>-1530722.4618028651</v>
      </c>
      <c r="D88" s="158">
        <f ca="1">+'Demo financial pro forma'!E52</f>
        <v>-1494800.3759747767</v>
      </c>
      <c r="E88" s="158">
        <f ca="1">+'Demo financial pro forma'!F52</f>
        <v>-1491117.283562124</v>
      </c>
      <c r="F88" s="158">
        <f ca="1">+'Demo financial pro forma'!G52</f>
        <v>-1545890.7406373357</v>
      </c>
      <c r="G88" s="158">
        <f ca="1">+'Demo financial pro forma'!H52</f>
        <v>-1573942.2250395804</v>
      </c>
      <c r="H88" s="158">
        <f ca="1">+'Demo financial pro forma'!I52</f>
        <v>-1602803.0772381937</v>
      </c>
      <c r="I88" s="158">
        <f ca="1">+'Demo financial pro forma'!J52</f>
        <v>-1632496.6498736427</v>
      </c>
      <c r="J88" s="158">
        <f ca="1">+'Demo financial pro forma'!K52</f>
        <v>-1663046.969378728</v>
      </c>
      <c r="K88" s="158">
        <f ca="1">+'Demo financial pro forma'!L52</f>
        <v>-1694478.7554194743</v>
      </c>
      <c r="X88" s="5"/>
      <c r="Y88" s="5"/>
      <c r="Z88" s="5"/>
      <c r="AA88" s="5"/>
    </row>
    <row r="89" spans="1:41" ht="14.25" customHeight="1" x14ac:dyDescent="0.35">
      <c r="A89" s="1" t="s">
        <v>300</v>
      </c>
      <c r="B89" s="158">
        <f ca="1">-'Demo financial pro forma'!C46</f>
        <v>286834</v>
      </c>
      <c r="C89" s="158">
        <f ca="1">-'Demo financial pro forma'!D46</f>
        <v>573668</v>
      </c>
      <c r="D89" s="158">
        <f ca="1">-'Demo financial pro forma'!E46</f>
        <v>573668</v>
      </c>
      <c r="E89" s="158">
        <f ca="1">-'Demo financial pro forma'!F46</f>
        <v>573668</v>
      </c>
      <c r="F89" s="158">
        <f ca="1">-'Demo financial pro forma'!G46</f>
        <v>573668</v>
      </c>
      <c r="G89" s="158">
        <f ca="1">-'Demo financial pro forma'!H46</f>
        <v>573668</v>
      </c>
      <c r="H89" s="158">
        <f ca="1">-'Demo financial pro forma'!I46</f>
        <v>573668</v>
      </c>
      <c r="I89" s="158">
        <f ca="1">-'Demo financial pro forma'!J46</f>
        <v>573668</v>
      </c>
      <c r="J89" s="158">
        <f ca="1">-'Demo financial pro forma'!K46</f>
        <v>573668</v>
      </c>
      <c r="K89" s="158">
        <f ca="1">-'Demo financial pro forma'!L46</f>
        <v>573668</v>
      </c>
      <c r="X89" s="5"/>
      <c r="Y89" s="5"/>
      <c r="Z89" s="5"/>
      <c r="AA89" s="5"/>
    </row>
    <row r="90" spans="1:41" ht="14.25" customHeight="1" x14ac:dyDescent="0.35">
      <c r="A90" s="1" t="s">
        <v>301</v>
      </c>
      <c r="B90" s="158">
        <f t="shared" ref="B90:K90" ca="1" si="51">-B33</f>
        <v>-214313.13170240683</v>
      </c>
      <c r="C90" s="158">
        <f t="shared" ca="1" si="51"/>
        <v>-203389.03318493499</v>
      </c>
      <c r="D90" s="158">
        <f t="shared" ca="1" si="51"/>
        <v>-186806.15785842683</v>
      </c>
      <c r="E90" s="158">
        <f t="shared" ca="1" si="51"/>
        <v>-178908.17529577346</v>
      </c>
      <c r="F90" s="158">
        <f t="shared" ca="1" si="51"/>
        <v>-186295.0881090402</v>
      </c>
      <c r="G90" s="158">
        <f t="shared" ca="1" si="51"/>
        <v>-186295.0881090402</v>
      </c>
      <c r="H90" s="158">
        <f t="shared" ca="1" si="51"/>
        <v>-186295.0881090402</v>
      </c>
      <c r="I90" s="158">
        <f t="shared" ca="1" si="51"/>
        <v>-186295.0881090402</v>
      </c>
      <c r="J90" s="158">
        <f t="shared" ca="1" si="51"/>
        <v>-186295.0881090402</v>
      </c>
      <c r="K90" s="158">
        <f t="shared" ca="1" si="51"/>
        <v>-186295.0881090402</v>
      </c>
      <c r="X90" s="5"/>
      <c r="Y90" s="5"/>
      <c r="Z90" s="5"/>
      <c r="AA90" s="5"/>
      <c r="AM90" s="5"/>
      <c r="AN90" s="5"/>
      <c r="AO90" s="5"/>
    </row>
    <row r="91" spans="1:41" ht="14.25" customHeight="1" x14ac:dyDescent="0.35">
      <c r="A91" s="19" t="s">
        <v>302</v>
      </c>
      <c r="B91" s="170">
        <f t="shared" ref="B91:K91" ca="1" si="52">SUM(B88:B90)</f>
        <v>-1035436.241673314</v>
      </c>
      <c r="C91" s="170">
        <f ca="1">SUM(C88:C90)</f>
        <v>-1160443.4949878003</v>
      </c>
      <c r="D91" s="170">
        <f t="shared" ca="1" si="52"/>
        <v>-1107938.5338332036</v>
      </c>
      <c r="E91" s="170">
        <f t="shared" ca="1" si="52"/>
        <v>-1096357.4588578974</v>
      </c>
      <c r="F91" s="170">
        <f t="shared" ca="1" si="52"/>
        <v>-1158517.8287463759</v>
      </c>
      <c r="G91" s="170">
        <f t="shared" ca="1" si="52"/>
        <v>-1186569.3131486205</v>
      </c>
      <c r="H91" s="170">
        <f t="shared" ca="1" si="52"/>
        <v>-1215430.1653472339</v>
      </c>
      <c r="I91" s="170">
        <f t="shared" ca="1" si="52"/>
        <v>-1245123.7379826829</v>
      </c>
      <c r="J91" s="170">
        <f t="shared" ca="1" si="52"/>
        <v>-1275674.0574877681</v>
      </c>
      <c r="K91" s="170">
        <f t="shared" ca="1" si="52"/>
        <v>-1307105.8435285145</v>
      </c>
      <c r="X91" s="5"/>
      <c r="Y91" s="5"/>
      <c r="Z91" s="5"/>
      <c r="AA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35">
      <c r="A92" s="19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X92" s="5"/>
      <c r="Y92" s="5"/>
      <c r="Z92" s="5"/>
      <c r="AA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35">
      <c r="A93" s="26" t="s">
        <v>303</v>
      </c>
      <c r="B93" s="161">
        <f>+-B40</f>
        <v>-5340680</v>
      </c>
      <c r="C93" s="161">
        <f t="shared" ref="C93:K93" si="53">+-C40</f>
        <v>0</v>
      </c>
      <c r="D93" s="161">
        <f t="shared" si="53"/>
        <v>0</v>
      </c>
      <c r="E93" s="161">
        <f t="shared" si="53"/>
        <v>0</v>
      </c>
      <c r="F93" s="161">
        <f t="shared" si="53"/>
        <v>0</v>
      </c>
      <c r="G93" s="161">
        <f t="shared" si="53"/>
        <v>0</v>
      </c>
      <c r="H93" s="161">
        <f t="shared" si="53"/>
        <v>0</v>
      </c>
      <c r="I93" s="161">
        <f t="shared" si="53"/>
        <v>0</v>
      </c>
      <c r="J93" s="161">
        <f t="shared" si="53"/>
        <v>0</v>
      </c>
      <c r="K93" s="161">
        <f t="shared" si="53"/>
        <v>0</v>
      </c>
      <c r="L93" s="64" t="s">
        <v>304</v>
      </c>
      <c r="Y93" s="5"/>
      <c r="Z93" s="5"/>
      <c r="AA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35">
      <c r="A94" s="19" t="s">
        <v>305</v>
      </c>
      <c r="B94" s="174">
        <f>SUM(B93:B93)</f>
        <v>-5340680</v>
      </c>
      <c r="C94" s="174">
        <f t="shared" ref="C94:K94" si="54">SUM(C93:C93)</f>
        <v>0</v>
      </c>
      <c r="D94" s="174">
        <f>SUM(D93:D93)</f>
        <v>0</v>
      </c>
      <c r="E94" s="174">
        <f t="shared" si="54"/>
        <v>0</v>
      </c>
      <c r="F94" s="174">
        <f t="shared" si="54"/>
        <v>0</v>
      </c>
      <c r="G94" s="174">
        <f t="shared" si="54"/>
        <v>0</v>
      </c>
      <c r="H94" s="174">
        <f t="shared" si="54"/>
        <v>0</v>
      </c>
      <c r="I94" s="174">
        <f t="shared" si="54"/>
        <v>0</v>
      </c>
      <c r="J94" s="174">
        <f t="shared" si="54"/>
        <v>0</v>
      </c>
      <c r="K94" s="174">
        <f t="shared" si="54"/>
        <v>0</v>
      </c>
      <c r="AB94" s="1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35">
      <c r="B95" s="161"/>
      <c r="C95" s="158"/>
      <c r="D95" s="158"/>
      <c r="E95" s="158"/>
      <c r="F95" s="158"/>
      <c r="G95" s="158"/>
      <c r="H95" s="158"/>
      <c r="I95" s="158"/>
      <c r="J95" s="158"/>
      <c r="K95" s="158"/>
      <c r="AB95" s="1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35">
      <c r="A96" s="1" t="s">
        <v>280</v>
      </c>
      <c r="B96" s="161">
        <f t="shared" ref="B96:K96" ca="1" si="55">B73</f>
        <v>3304575.0078773978</v>
      </c>
      <c r="C96" s="161">
        <f t="shared" ca="1" si="55"/>
        <v>513268.30786487658</v>
      </c>
      <c r="D96" s="161">
        <f t="shared" ca="1" si="55"/>
        <v>494003.29323527269</v>
      </c>
      <c r="E96" s="161">
        <f t="shared" ca="1" si="55"/>
        <v>492028.05077436712</v>
      </c>
      <c r="F96" s="161">
        <f t="shared" ca="1" si="55"/>
        <v>521403.05580380314</v>
      </c>
      <c r="G96" s="161">
        <f t="shared" ca="1" si="55"/>
        <v>536447.0668887269</v>
      </c>
      <c r="H96" s="161">
        <f t="shared" ca="1" si="55"/>
        <v>551925.14192284329</v>
      </c>
      <c r="I96" s="161">
        <f t="shared" ca="1" si="55"/>
        <v>567849.80492723454</v>
      </c>
      <c r="J96" s="161">
        <f t="shared" ca="1" si="55"/>
        <v>584233.94127781177</v>
      </c>
      <c r="K96" s="161">
        <f t="shared" ca="1" si="55"/>
        <v>601090.80813146406</v>
      </c>
      <c r="X96" s="5"/>
      <c r="AB96" s="15"/>
      <c r="AC96" s="5"/>
      <c r="AI96" s="5"/>
      <c r="AJ96" s="5"/>
      <c r="AK96" s="5"/>
      <c r="AL96" s="5"/>
    </row>
    <row r="97" spans="1:41" ht="14.25" customHeight="1" x14ac:dyDescent="0.35">
      <c r="A97" s="1" t="s">
        <v>281</v>
      </c>
      <c r="B97" s="161">
        <f t="shared" ref="B97:K97" si="56">B58</f>
        <v>0</v>
      </c>
      <c r="C97" s="161">
        <f t="shared" ca="1" si="56"/>
        <v>0</v>
      </c>
      <c r="D97" s="161">
        <f t="shared" ca="1" si="56"/>
        <v>0</v>
      </c>
      <c r="E97" s="161">
        <f t="shared" ca="1" si="56"/>
        <v>0</v>
      </c>
      <c r="F97" s="161">
        <f t="shared" ca="1" si="56"/>
        <v>0</v>
      </c>
      <c r="G97" s="161">
        <f t="shared" ca="1" si="56"/>
        <v>0</v>
      </c>
      <c r="H97" s="161">
        <f t="shared" ca="1" si="56"/>
        <v>0</v>
      </c>
      <c r="I97" s="161">
        <f t="shared" ca="1" si="56"/>
        <v>0</v>
      </c>
      <c r="J97" s="161">
        <f t="shared" ca="1" si="56"/>
        <v>0</v>
      </c>
      <c r="K97" s="161">
        <f t="shared" ca="1" si="56"/>
        <v>0</v>
      </c>
      <c r="X97" s="5"/>
      <c r="AB97" s="1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ht="14.25" customHeight="1" x14ac:dyDescent="0.35">
      <c r="A98" s="1" t="s">
        <v>306</v>
      </c>
      <c r="B98" s="161">
        <f t="shared" ref="B98:K98" ca="1" si="57">B74</f>
        <v>2857228.1020935099</v>
      </c>
      <c r="C98" s="161">
        <f t="shared" ca="1" si="57"/>
        <v>443786.15393798857</v>
      </c>
      <c r="D98" s="161">
        <f t="shared" ca="1" si="57"/>
        <v>427129.08273950388</v>
      </c>
      <c r="E98" s="161">
        <f t="shared" ca="1" si="57"/>
        <v>425421.23278775689</v>
      </c>
      <c r="F98" s="161">
        <f t="shared" ca="1" si="57"/>
        <v>450819.68483353255</v>
      </c>
      <c r="G98" s="161">
        <f t="shared" ca="1" si="57"/>
        <v>463827.15815085336</v>
      </c>
      <c r="H98" s="161">
        <f t="shared" ca="1" si="57"/>
        <v>477209.93531535042</v>
      </c>
      <c r="I98" s="161">
        <f t="shared" ca="1" si="57"/>
        <v>490978.84494640812</v>
      </c>
      <c r="J98" s="161">
        <f t="shared" ca="1" si="57"/>
        <v>505145.02810091613</v>
      </c>
      <c r="K98" s="161">
        <f t="shared" ca="1" si="57"/>
        <v>519719.94728801027</v>
      </c>
      <c r="X98" s="5"/>
      <c r="Y98" s="5"/>
      <c r="Z98" s="5"/>
      <c r="AA98" s="5"/>
      <c r="AB98" s="15"/>
      <c r="AC98" s="5"/>
      <c r="AI98" s="5"/>
      <c r="AJ98" s="5"/>
      <c r="AK98" s="5"/>
      <c r="AL98" s="5"/>
    </row>
    <row r="99" spans="1:41" ht="14.25" customHeight="1" x14ac:dyDescent="0.35">
      <c r="A99" s="1" t="s">
        <v>307</v>
      </c>
      <c r="B99" s="161">
        <f t="shared" ref="B99:K99" ca="1" si="58">-B81</f>
        <v>0</v>
      </c>
      <c r="C99" s="161">
        <f t="shared" ca="1" si="58"/>
        <v>0</v>
      </c>
      <c r="D99" s="161">
        <f t="shared" ca="1" si="58"/>
        <v>0</v>
      </c>
      <c r="E99" s="161">
        <f t="shared" ca="1" si="58"/>
        <v>0</v>
      </c>
      <c r="F99" s="161">
        <f t="shared" ca="1" si="58"/>
        <v>0</v>
      </c>
      <c r="G99" s="161">
        <f t="shared" ca="1" si="58"/>
        <v>0</v>
      </c>
      <c r="H99" s="161">
        <f t="shared" ca="1" si="58"/>
        <v>0</v>
      </c>
      <c r="I99" s="161">
        <f t="shared" ca="1" si="58"/>
        <v>0</v>
      </c>
      <c r="J99" s="161">
        <f t="shared" ca="1" si="58"/>
        <v>0</v>
      </c>
      <c r="K99" s="161">
        <f t="shared" ca="1" si="58"/>
        <v>0</v>
      </c>
      <c r="X99" s="5"/>
      <c r="Y99" s="5"/>
      <c r="Z99" s="5"/>
      <c r="AA99" s="5"/>
      <c r="AB99" s="15"/>
      <c r="AC99" s="5"/>
      <c r="AI99" s="5"/>
      <c r="AJ99" s="5"/>
      <c r="AK99" s="5"/>
      <c r="AL99" s="5"/>
    </row>
    <row r="100" spans="1:41" ht="14.25" customHeight="1" x14ac:dyDescent="0.35">
      <c r="A100" s="19" t="s">
        <v>308</v>
      </c>
      <c r="B100" s="170">
        <f ca="1">SUM(B96:B99)</f>
        <v>6161803.1099709077</v>
      </c>
      <c r="C100" s="170">
        <f t="shared" ref="C100:K100" ca="1" si="59">SUM(C96:C99)</f>
        <v>957054.46180286515</v>
      </c>
      <c r="D100" s="170">
        <f t="shared" ca="1" si="59"/>
        <v>921132.37597477657</v>
      </c>
      <c r="E100" s="170">
        <f t="shared" ca="1" si="59"/>
        <v>917449.28356212401</v>
      </c>
      <c r="F100" s="170">
        <f t="shared" ca="1" si="59"/>
        <v>972222.74063733569</v>
      </c>
      <c r="G100" s="170">
        <f t="shared" ca="1" si="59"/>
        <v>1000274.2250395803</v>
      </c>
      <c r="H100" s="170">
        <f t="shared" ca="1" si="59"/>
        <v>1029135.0772381937</v>
      </c>
      <c r="I100" s="170">
        <f t="shared" ca="1" si="59"/>
        <v>1058828.6498736427</v>
      </c>
      <c r="J100" s="170">
        <f t="shared" ca="1" si="59"/>
        <v>1089378.969378728</v>
      </c>
      <c r="K100" s="170">
        <f t="shared" ca="1" si="59"/>
        <v>1120810.7554194743</v>
      </c>
      <c r="X100" s="5"/>
      <c r="Y100" s="5"/>
      <c r="Z100" s="5"/>
      <c r="AA100" s="5"/>
      <c r="AB100" s="15"/>
      <c r="AC100" s="5"/>
      <c r="AI100" s="5"/>
      <c r="AJ100" s="5"/>
      <c r="AK100" s="5"/>
      <c r="AL100" s="5"/>
    </row>
    <row r="101" spans="1:41" ht="14.25" customHeight="1" x14ac:dyDescent="0.35"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X101" s="5"/>
      <c r="Y101" s="5"/>
      <c r="Z101" s="5"/>
      <c r="AA101" s="5"/>
    </row>
    <row r="102" spans="1:41" ht="14.25" customHeight="1" x14ac:dyDescent="0.35">
      <c r="A102" s="19" t="s">
        <v>309</v>
      </c>
      <c r="B102" s="159">
        <f ca="1">SUM(B91+B94+B100)</f>
        <v>-214313.13170240633</v>
      </c>
      <c r="C102" s="159">
        <f ca="1">SUM(C91+C94+C100)</f>
        <v>-203389.03318493511</v>
      </c>
      <c r="D102" s="159">
        <f t="shared" ref="D102:K102" ca="1" si="60">SUM(D91+D94+D100)</f>
        <v>-186806.15785842703</v>
      </c>
      <c r="E102" s="159">
        <f t="shared" ca="1" si="60"/>
        <v>-178908.17529577343</v>
      </c>
      <c r="F102" s="159">
        <f t="shared" ca="1" si="60"/>
        <v>-186295.08810904017</v>
      </c>
      <c r="G102" s="159">
        <f t="shared" ca="1" si="60"/>
        <v>-186295.08810904028</v>
      </c>
      <c r="H102" s="159">
        <f t="shared" ca="1" si="60"/>
        <v>-186295.08810904017</v>
      </c>
      <c r="I102" s="159">
        <f t="shared" ca="1" si="60"/>
        <v>-186295.08810904017</v>
      </c>
      <c r="J102" s="159">
        <f t="shared" ca="1" si="60"/>
        <v>-186295.08810904017</v>
      </c>
      <c r="K102" s="159">
        <f t="shared" ca="1" si="60"/>
        <v>-186295.08810904017</v>
      </c>
      <c r="X102" s="5"/>
      <c r="Y102" s="5"/>
      <c r="Z102" s="5"/>
      <c r="AA102" s="5"/>
      <c r="AB102" s="1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 ht="14.25" customHeight="1" x14ac:dyDescent="0.35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X103" s="5"/>
      <c r="AB103" s="1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 ht="14.25" customHeight="1" x14ac:dyDescent="0.35">
      <c r="A104" s="51" t="s">
        <v>310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X104" s="5"/>
      <c r="AB104" s="1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41" ht="14.25" customHeight="1" x14ac:dyDescent="0.35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X105" s="5"/>
      <c r="AB105" s="1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41" ht="14.25" customHeight="1" x14ac:dyDescent="0.35">
      <c r="A106" s="1" t="s">
        <v>311</v>
      </c>
      <c r="B106" s="158"/>
      <c r="C106" s="158">
        <f ca="1">B110</f>
        <v>1963584.123825009</v>
      </c>
      <c r="D106" s="158">
        <f t="shared" ref="D106:K106" ca="1" si="61">C110</f>
        <v>876647.8159601324</v>
      </c>
      <c r="E106" s="158">
        <f t="shared" ca="1" si="61"/>
        <v>-191023.47727514041</v>
      </c>
      <c r="F106" s="158">
        <f t="shared" ca="1" si="61"/>
        <v>-1256719.5280495074</v>
      </c>
      <c r="G106" s="158">
        <f t="shared" ca="1" si="61"/>
        <v>-2351790.5838533104</v>
      </c>
      <c r="H106" s="158">
        <f t="shared" ca="1" si="61"/>
        <v>-3461905.6507420372</v>
      </c>
      <c r="I106" s="158">
        <f t="shared" ca="1" si="61"/>
        <v>-4587498.7926648809</v>
      </c>
      <c r="J106" s="158">
        <f t="shared" ca="1" si="61"/>
        <v>-5729016.5975921163</v>
      </c>
      <c r="K106" s="158">
        <f t="shared" ca="1" si="61"/>
        <v>-6886918.5388699276</v>
      </c>
      <c r="X106" s="5"/>
      <c r="Y106" s="5"/>
      <c r="Z106" s="5"/>
      <c r="AA106" s="5"/>
      <c r="AB106" s="1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41" ht="14.25" customHeight="1" x14ac:dyDescent="0.35">
      <c r="A107" s="1" t="s">
        <v>312</v>
      </c>
      <c r="B107" s="158">
        <f ca="1">+B88</f>
        <v>-1107957.1099709072</v>
      </c>
      <c r="C107" s="158">
        <f t="shared" ref="C107:K107" ca="1" si="62">+C88</f>
        <v>-1530722.4618028651</v>
      </c>
      <c r="D107" s="158">
        <f t="shared" ca="1" si="62"/>
        <v>-1494800.3759747767</v>
      </c>
      <c r="E107" s="158">
        <f t="shared" ca="1" si="62"/>
        <v>-1491117.283562124</v>
      </c>
      <c r="F107" s="158">
        <f t="shared" ca="1" si="62"/>
        <v>-1545890.7406373357</v>
      </c>
      <c r="G107" s="158">
        <f t="shared" ca="1" si="62"/>
        <v>-1573942.2250395804</v>
      </c>
      <c r="H107" s="158">
        <f t="shared" ca="1" si="62"/>
        <v>-1602803.0772381937</v>
      </c>
      <c r="I107" s="158">
        <f t="shared" ca="1" si="62"/>
        <v>-1632496.6498736427</v>
      </c>
      <c r="J107" s="158">
        <f t="shared" ca="1" si="62"/>
        <v>-1663046.969378728</v>
      </c>
      <c r="K107" s="158">
        <f t="shared" ca="1" si="62"/>
        <v>-1694478.7554194743</v>
      </c>
      <c r="X107" s="5"/>
      <c r="Y107" s="5"/>
      <c r="Z107" s="5"/>
      <c r="AA107" s="5"/>
      <c r="AB107" s="1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41" ht="14.25" customHeight="1" x14ac:dyDescent="0.35">
      <c r="A108" s="1" t="s">
        <v>306</v>
      </c>
      <c r="B108" s="158">
        <f ca="1">B74-B102</f>
        <v>3071541.2337959162</v>
      </c>
      <c r="C108" s="158">
        <f t="shared" ref="C108:K108" ca="1" si="63">C74</f>
        <v>443786.15393798857</v>
      </c>
      <c r="D108" s="158">
        <f t="shared" ca="1" si="63"/>
        <v>427129.08273950388</v>
      </c>
      <c r="E108" s="158">
        <f t="shared" ca="1" si="63"/>
        <v>425421.23278775689</v>
      </c>
      <c r="F108" s="158">
        <f t="shared" ca="1" si="63"/>
        <v>450819.68483353255</v>
      </c>
      <c r="G108" s="158">
        <f t="shared" ca="1" si="63"/>
        <v>463827.15815085336</v>
      </c>
      <c r="H108" s="158">
        <f t="shared" ca="1" si="63"/>
        <v>477209.93531535042</v>
      </c>
      <c r="I108" s="158">
        <f t="shared" ca="1" si="63"/>
        <v>490978.84494640812</v>
      </c>
      <c r="J108" s="158">
        <f t="shared" ca="1" si="63"/>
        <v>505145.02810091613</v>
      </c>
      <c r="K108" s="158">
        <f t="shared" ca="1" si="63"/>
        <v>519719.94728801027</v>
      </c>
      <c r="X108" s="5"/>
      <c r="Y108" s="5"/>
      <c r="Z108" s="5"/>
      <c r="AA108" s="5"/>
      <c r="AB108" s="1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41" ht="14.25" customHeight="1" x14ac:dyDescent="0.35">
      <c r="A109" s="1" t="s">
        <v>313</v>
      </c>
      <c r="B109" s="158">
        <f t="shared" ref="B109:K109" ca="1" si="64">-B81</f>
        <v>0</v>
      </c>
      <c r="C109" s="158">
        <f t="shared" ca="1" si="64"/>
        <v>0</v>
      </c>
      <c r="D109" s="158">
        <f t="shared" ca="1" si="64"/>
        <v>0</v>
      </c>
      <c r="E109" s="158">
        <f t="shared" ca="1" si="64"/>
        <v>0</v>
      </c>
      <c r="F109" s="158">
        <f t="shared" ca="1" si="64"/>
        <v>0</v>
      </c>
      <c r="G109" s="158">
        <f t="shared" ca="1" si="64"/>
        <v>0</v>
      </c>
      <c r="H109" s="158">
        <f t="shared" ca="1" si="64"/>
        <v>0</v>
      </c>
      <c r="I109" s="158">
        <f t="shared" ca="1" si="64"/>
        <v>0</v>
      </c>
      <c r="J109" s="158">
        <f t="shared" ca="1" si="64"/>
        <v>0</v>
      </c>
      <c r="K109" s="158">
        <f t="shared" ca="1" si="64"/>
        <v>0</v>
      </c>
      <c r="X109" s="5"/>
      <c r="Y109" s="5"/>
      <c r="Z109" s="5"/>
      <c r="AA109" s="5"/>
      <c r="AB109" s="15"/>
      <c r="AC109" s="5"/>
      <c r="AD109" s="5"/>
      <c r="AE109" s="5"/>
      <c r="AF109" s="5"/>
      <c r="AG109" s="5"/>
    </row>
    <row r="110" spans="1:41" ht="14.25" customHeight="1" x14ac:dyDescent="0.35">
      <c r="A110" s="1" t="s">
        <v>314</v>
      </c>
      <c r="B110" s="162">
        <f ca="1">SUM(B106:B109)</f>
        <v>1963584.123825009</v>
      </c>
      <c r="C110" s="162">
        <f t="shared" ref="C110:K110" ca="1" si="65">SUM(C106:C109)</f>
        <v>876647.8159601324</v>
      </c>
      <c r="D110" s="162">
        <f t="shared" ca="1" si="65"/>
        <v>-191023.47727514041</v>
      </c>
      <c r="E110" s="162">
        <f t="shared" ca="1" si="65"/>
        <v>-1256719.5280495074</v>
      </c>
      <c r="F110" s="162">
        <f t="shared" ca="1" si="65"/>
        <v>-2351790.5838533104</v>
      </c>
      <c r="G110" s="162">
        <f t="shared" ca="1" si="65"/>
        <v>-3461905.6507420372</v>
      </c>
      <c r="H110" s="162">
        <f t="shared" ca="1" si="65"/>
        <v>-4587498.7926648809</v>
      </c>
      <c r="I110" s="162">
        <f t="shared" ca="1" si="65"/>
        <v>-5729016.5975921163</v>
      </c>
      <c r="J110" s="162">
        <f t="shared" ca="1" si="65"/>
        <v>-6886918.5388699276</v>
      </c>
      <c r="K110" s="162">
        <f t="shared" ca="1" si="65"/>
        <v>-8061677.3470013924</v>
      </c>
      <c r="X110" s="5"/>
      <c r="Y110" s="5"/>
      <c r="Z110" s="5"/>
      <c r="AA110" s="5"/>
      <c r="AB110" s="15"/>
      <c r="AC110" s="5"/>
      <c r="AD110" s="5"/>
      <c r="AE110" s="5"/>
      <c r="AF110" s="5"/>
      <c r="AG110" s="5"/>
    </row>
    <row r="111" spans="1:41" ht="14.25" customHeight="1" x14ac:dyDescent="0.35"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X111" s="5"/>
      <c r="Y111" s="5"/>
      <c r="Z111" s="5"/>
      <c r="AA111" s="5"/>
      <c r="AB111" s="6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1:41" ht="14.25" customHeight="1" x14ac:dyDescent="0.35">
      <c r="A112" s="24" t="s">
        <v>315</v>
      </c>
      <c r="B112" s="158"/>
      <c r="C112" s="158">
        <f t="shared" ref="C112:K112" ca="1" si="66">B112+C102</f>
        <v>-203389.03318493511</v>
      </c>
      <c r="D112" s="158">
        <f t="shared" ca="1" si="66"/>
        <v>-390195.19104336214</v>
      </c>
      <c r="E112" s="158">
        <f t="shared" ca="1" si="66"/>
        <v>-569103.36633913557</v>
      </c>
      <c r="F112" s="158">
        <f t="shared" ca="1" si="66"/>
        <v>-755398.45444817573</v>
      </c>
      <c r="G112" s="158">
        <f t="shared" ca="1" si="66"/>
        <v>-941693.54255721602</v>
      </c>
      <c r="H112" s="158">
        <f t="shared" ca="1" si="66"/>
        <v>-1127988.6306662562</v>
      </c>
      <c r="I112" s="158">
        <f t="shared" ca="1" si="66"/>
        <v>-1314283.7187752964</v>
      </c>
      <c r="J112" s="158">
        <f t="shared" ca="1" si="66"/>
        <v>-1500578.8068843365</v>
      </c>
      <c r="K112" s="158">
        <f t="shared" ca="1" si="66"/>
        <v>-1686873.8949933767</v>
      </c>
      <c r="X112" s="5"/>
      <c r="Y112" s="5"/>
      <c r="Z112" s="5"/>
      <c r="AA112" s="5"/>
    </row>
    <row r="113" spans="1:41" ht="14.25" customHeight="1" x14ac:dyDescent="0.35">
      <c r="A113" s="24" t="s">
        <v>52</v>
      </c>
      <c r="B113" s="158">
        <f ca="1">B44</f>
        <v>5053846</v>
      </c>
      <c r="C113" s="158">
        <f t="shared" ref="C113:K113" ca="1" si="67">C44</f>
        <v>4480178</v>
      </c>
      <c r="D113" s="158">
        <f t="shared" ca="1" si="67"/>
        <v>3906510</v>
      </c>
      <c r="E113" s="158">
        <f t="shared" ca="1" si="67"/>
        <v>3332842</v>
      </c>
      <c r="F113" s="158">
        <f t="shared" ca="1" si="67"/>
        <v>2759174</v>
      </c>
      <c r="G113" s="158">
        <f t="shared" ca="1" si="67"/>
        <v>2185506</v>
      </c>
      <c r="H113" s="158">
        <f t="shared" ca="1" si="67"/>
        <v>1611838</v>
      </c>
      <c r="I113" s="158">
        <f t="shared" ca="1" si="67"/>
        <v>1038170</v>
      </c>
      <c r="J113" s="158">
        <f t="shared" ca="1" si="67"/>
        <v>464502</v>
      </c>
      <c r="K113" s="158">
        <f t="shared" ca="1" si="67"/>
        <v>-109166</v>
      </c>
      <c r="X113" s="5"/>
      <c r="Y113" s="5"/>
      <c r="Z113" s="5"/>
      <c r="AA113" s="5"/>
    </row>
    <row r="114" spans="1:41" ht="14.25" customHeight="1" x14ac:dyDescent="0.35">
      <c r="A114" s="24" t="s">
        <v>316</v>
      </c>
      <c r="B114" s="158">
        <f t="shared" ref="B114:K114" ca="1" si="68">MAX(B34,0)</f>
        <v>214313.13170240683</v>
      </c>
      <c r="C114" s="158">
        <f t="shared" ca="1" si="68"/>
        <v>417702.16488734179</v>
      </c>
      <c r="D114" s="158">
        <f t="shared" ca="1" si="68"/>
        <v>604508.32274576859</v>
      </c>
      <c r="E114" s="158">
        <f t="shared" ca="1" si="68"/>
        <v>783416.49804154201</v>
      </c>
      <c r="F114" s="158">
        <f t="shared" ca="1" si="68"/>
        <v>969711.58615058218</v>
      </c>
      <c r="G114" s="158">
        <f t="shared" ca="1" si="68"/>
        <v>1156006.6742596223</v>
      </c>
      <c r="H114" s="158">
        <f t="shared" ca="1" si="68"/>
        <v>1342301.7623686625</v>
      </c>
      <c r="I114" s="158">
        <f t="shared" ca="1" si="68"/>
        <v>1528596.8504777027</v>
      </c>
      <c r="J114" s="158">
        <f t="shared" ca="1" si="68"/>
        <v>1714891.9385867429</v>
      </c>
      <c r="K114" s="158">
        <f t="shared" ca="1" si="68"/>
        <v>1901187.026695783</v>
      </c>
      <c r="X114" s="5"/>
      <c r="Y114" s="5"/>
      <c r="Z114" s="5"/>
      <c r="AA114" s="5"/>
    </row>
    <row r="115" spans="1:41" ht="14.25" customHeight="1" x14ac:dyDescent="0.35">
      <c r="A115" s="27" t="s">
        <v>317</v>
      </c>
      <c r="B115" s="170">
        <f ca="1">+SUM(B112:B114)</f>
        <v>5268159.1317024073</v>
      </c>
      <c r="C115" s="170">
        <f t="shared" ref="C115:K115" ca="1" si="69">+SUM(C112:C114)</f>
        <v>4694491.1317024063</v>
      </c>
      <c r="D115" s="170">
        <f t="shared" ca="1" si="69"/>
        <v>4120823.1317024063</v>
      </c>
      <c r="E115" s="170">
        <f t="shared" ca="1" si="69"/>
        <v>3547155.1317024063</v>
      </c>
      <c r="F115" s="170">
        <f t="shared" ca="1" si="69"/>
        <v>2973487.1317024063</v>
      </c>
      <c r="G115" s="170">
        <f t="shared" ca="1" si="69"/>
        <v>2399819.1317024063</v>
      </c>
      <c r="H115" s="170">
        <f t="shared" ca="1" si="69"/>
        <v>1826151.1317024063</v>
      </c>
      <c r="I115" s="170">
        <f t="shared" ca="1" si="69"/>
        <v>1252483.1317024063</v>
      </c>
      <c r="J115" s="170">
        <f t="shared" ca="1" si="69"/>
        <v>678815.13170240633</v>
      </c>
      <c r="K115" s="170">
        <f t="shared" ca="1" si="69"/>
        <v>105147.13170240633</v>
      </c>
      <c r="X115" s="5"/>
      <c r="Y115" s="5"/>
      <c r="Z115" s="5"/>
      <c r="AA115" s="5"/>
      <c r="AD115" s="5"/>
      <c r="AE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1:41" ht="14.25" customHeight="1" x14ac:dyDescent="0.35">
      <c r="A116" s="24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X116" s="5"/>
      <c r="Y116" s="5"/>
      <c r="Z116" s="5"/>
      <c r="AA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 ht="13.5" customHeight="1" x14ac:dyDescent="0.35">
      <c r="A117" s="24" t="s">
        <v>200</v>
      </c>
      <c r="B117" s="158">
        <f t="shared" ref="B117:K117" ca="1" si="70">B59</f>
        <v>3304575.0078773978</v>
      </c>
      <c r="C117" s="158">
        <f t="shared" ca="1" si="70"/>
        <v>3817843.3157422743</v>
      </c>
      <c r="D117" s="158">
        <f t="shared" ca="1" si="70"/>
        <v>4311846.6089775469</v>
      </c>
      <c r="E117" s="158">
        <f t="shared" ca="1" si="70"/>
        <v>4803874.6597519144</v>
      </c>
      <c r="F117" s="158">
        <f t="shared" ca="1" si="70"/>
        <v>5325277.7155557172</v>
      </c>
      <c r="G117" s="158">
        <f t="shared" ca="1" si="70"/>
        <v>5861724.7824444445</v>
      </c>
      <c r="H117" s="158">
        <f t="shared" ca="1" si="70"/>
        <v>6413649.9243672881</v>
      </c>
      <c r="I117" s="158">
        <f t="shared" ca="1" si="70"/>
        <v>6981499.7292945227</v>
      </c>
      <c r="J117" s="158">
        <f t="shared" ca="1" si="70"/>
        <v>7565733.6705723349</v>
      </c>
      <c r="K117" s="158">
        <f t="shared" ca="1" si="70"/>
        <v>8166824.4787037987</v>
      </c>
      <c r="X117" s="5"/>
      <c r="Y117" s="5"/>
      <c r="Z117" s="5"/>
      <c r="AA117" s="5"/>
      <c r="AB117" s="1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1:41" ht="13.5" customHeight="1" x14ac:dyDescent="0.35">
      <c r="A118" s="24" t="s">
        <v>318</v>
      </c>
      <c r="B118" s="158">
        <f t="shared" ref="B118:K118" ca="1" si="71">-MIN(B34,0)</f>
        <v>0</v>
      </c>
      <c r="C118" s="158">
        <f t="shared" ca="1" si="71"/>
        <v>0</v>
      </c>
      <c r="D118" s="158">
        <f t="shared" ca="1" si="71"/>
        <v>0</v>
      </c>
      <c r="E118" s="158">
        <f t="shared" ca="1" si="71"/>
        <v>0</v>
      </c>
      <c r="F118" s="158">
        <f t="shared" ca="1" si="71"/>
        <v>0</v>
      </c>
      <c r="G118" s="158">
        <f t="shared" ca="1" si="71"/>
        <v>0</v>
      </c>
      <c r="H118" s="158">
        <f t="shared" ca="1" si="71"/>
        <v>0</v>
      </c>
      <c r="I118" s="158">
        <f t="shared" ca="1" si="71"/>
        <v>0</v>
      </c>
      <c r="J118" s="158">
        <f t="shared" ca="1" si="71"/>
        <v>0</v>
      </c>
      <c r="K118" s="158">
        <f t="shared" ca="1" si="71"/>
        <v>0</v>
      </c>
      <c r="X118" s="5"/>
      <c r="Y118" s="5"/>
      <c r="Z118" s="5"/>
      <c r="AA118" s="5"/>
      <c r="AB118" s="1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ht="13.5" customHeight="1" x14ac:dyDescent="0.35">
      <c r="A119" s="27" t="s">
        <v>319</v>
      </c>
      <c r="B119" s="170">
        <f ca="1">SUM(B117:B118)</f>
        <v>3304575.0078773978</v>
      </c>
      <c r="C119" s="170">
        <f t="shared" ref="C119:K119" ca="1" si="72">SUM(C117:C118)</f>
        <v>3817843.3157422743</v>
      </c>
      <c r="D119" s="170">
        <f t="shared" ca="1" si="72"/>
        <v>4311846.6089775469</v>
      </c>
      <c r="E119" s="170">
        <f t="shared" ca="1" si="72"/>
        <v>4803874.6597519144</v>
      </c>
      <c r="F119" s="170">
        <f t="shared" ca="1" si="72"/>
        <v>5325277.7155557172</v>
      </c>
      <c r="G119" s="170">
        <f t="shared" ca="1" si="72"/>
        <v>5861724.7824444445</v>
      </c>
      <c r="H119" s="170">
        <f t="shared" ca="1" si="72"/>
        <v>6413649.9243672881</v>
      </c>
      <c r="I119" s="170">
        <f t="shared" ca="1" si="72"/>
        <v>6981499.7292945227</v>
      </c>
      <c r="J119" s="170">
        <f t="shared" ca="1" si="72"/>
        <v>7565733.6705723349</v>
      </c>
      <c r="K119" s="170">
        <f t="shared" ca="1" si="72"/>
        <v>8166824.4787037987</v>
      </c>
      <c r="X119" s="5"/>
      <c r="Y119" s="5"/>
      <c r="Z119" s="5"/>
      <c r="AA119" s="5"/>
      <c r="AB119" s="1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 ht="13.5" customHeight="1" x14ac:dyDescent="0.35">
      <c r="A120" s="24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X120" s="5"/>
      <c r="Y120" s="5"/>
      <c r="Z120" s="5"/>
      <c r="AA120" s="5"/>
      <c r="AB120" s="1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 ht="13.5" customHeight="1" x14ac:dyDescent="0.35">
      <c r="A121" s="19" t="s">
        <v>320</v>
      </c>
      <c r="B121" s="159">
        <f t="shared" ref="B121:K121" ca="1" si="73">B110</f>
        <v>1963584.123825009</v>
      </c>
      <c r="C121" s="159">
        <f t="shared" ca="1" si="73"/>
        <v>876647.8159601324</v>
      </c>
      <c r="D121" s="159">
        <f t="shared" ca="1" si="73"/>
        <v>-191023.47727514041</v>
      </c>
      <c r="E121" s="159">
        <f t="shared" ca="1" si="73"/>
        <v>-1256719.5280495074</v>
      </c>
      <c r="F121" s="159">
        <f t="shared" ca="1" si="73"/>
        <v>-2351790.5838533104</v>
      </c>
      <c r="G121" s="159">
        <f t="shared" ca="1" si="73"/>
        <v>-3461905.6507420372</v>
      </c>
      <c r="H121" s="159">
        <f t="shared" ca="1" si="73"/>
        <v>-4587498.7926648809</v>
      </c>
      <c r="I121" s="159">
        <f t="shared" ca="1" si="73"/>
        <v>-5729016.5975921163</v>
      </c>
      <c r="J121" s="159">
        <f t="shared" ca="1" si="73"/>
        <v>-6886918.5388699276</v>
      </c>
      <c r="K121" s="159">
        <f t="shared" ca="1" si="73"/>
        <v>-8061677.3470013924</v>
      </c>
      <c r="X121" s="5"/>
      <c r="Y121" s="5"/>
      <c r="Z121" s="5"/>
      <c r="AA121" s="5"/>
      <c r="AB121" s="1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 ht="14.25" customHeight="1" x14ac:dyDescent="0.35">
      <c r="A122" s="39" t="s">
        <v>298</v>
      </c>
      <c r="B122" s="179">
        <f t="shared" ref="B122:K122" ca="1" si="74">B115-B119-B121</f>
        <v>0</v>
      </c>
      <c r="C122" s="179">
        <f t="shared" ca="1" si="74"/>
        <v>0</v>
      </c>
      <c r="D122" s="179">
        <f t="shared" ca="1" si="74"/>
        <v>0</v>
      </c>
      <c r="E122" s="179">
        <f t="shared" ca="1" si="74"/>
        <v>0</v>
      </c>
      <c r="F122" s="179">
        <f t="shared" ca="1" si="74"/>
        <v>0</v>
      </c>
      <c r="G122" s="179">
        <f t="shared" ca="1" si="74"/>
        <v>0</v>
      </c>
      <c r="H122" s="179">
        <f t="shared" ca="1" si="74"/>
        <v>0</v>
      </c>
      <c r="I122" s="179">
        <f t="shared" ca="1" si="74"/>
        <v>0</v>
      </c>
      <c r="J122" s="179">
        <f t="shared" ca="1" si="74"/>
        <v>0</v>
      </c>
      <c r="K122" s="179">
        <f t="shared" ca="1" si="74"/>
        <v>0</v>
      </c>
      <c r="X122" s="5"/>
      <c r="Y122" s="5"/>
      <c r="Z122" s="5"/>
      <c r="AA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 ht="14.25" customHeight="1" x14ac:dyDescent="0.35">
      <c r="A123" s="1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Y123" s="5"/>
      <c r="Z123" s="5"/>
      <c r="AA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 ht="14.25" customHeight="1" x14ac:dyDescent="0.35">
      <c r="A124" s="51" t="s">
        <v>252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 ht="14.25" customHeight="1" x14ac:dyDescent="0.35"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AB125" s="1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 ht="14.25" customHeight="1" x14ac:dyDescent="0.35">
      <c r="A126" s="1" t="s">
        <v>321</v>
      </c>
      <c r="B126" s="158">
        <f ca="1">-B108</f>
        <v>-3071541.2337959162</v>
      </c>
      <c r="C126" s="158">
        <f t="shared" ref="C126:K127" ca="1" si="75">-C108</f>
        <v>-443786.15393798857</v>
      </c>
      <c r="D126" s="158">
        <f t="shared" ca="1" si="75"/>
        <v>-427129.08273950388</v>
      </c>
      <c r="E126" s="158">
        <f t="shared" ca="1" si="75"/>
        <v>-425421.23278775689</v>
      </c>
      <c r="F126" s="158">
        <f t="shared" ca="1" si="75"/>
        <v>-450819.68483353255</v>
      </c>
      <c r="G126" s="158">
        <f t="shared" ca="1" si="75"/>
        <v>-463827.15815085336</v>
      </c>
      <c r="H126" s="158">
        <f t="shared" ca="1" si="75"/>
        <v>-477209.93531535042</v>
      </c>
      <c r="I126" s="158">
        <f t="shared" ca="1" si="75"/>
        <v>-490978.84494640812</v>
      </c>
      <c r="J126" s="158">
        <f t="shared" ca="1" si="75"/>
        <v>-505145.02810091613</v>
      </c>
      <c r="K126" s="158">
        <f t="shared" ca="1" si="75"/>
        <v>-519719.94728801027</v>
      </c>
      <c r="AB126" s="1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 ht="14.25" customHeight="1" x14ac:dyDescent="0.35">
      <c r="A127" s="1" t="s">
        <v>322</v>
      </c>
      <c r="B127" s="158">
        <f ca="1">-B109</f>
        <v>0</v>
      </c>
      <c r="C127" s="158">
        <f t="shared" ca="1" si="75"/>
        <v>0</v>
      </c>
      <c r="D127" s="158">
        <f t="shared" ca="1" si="75"/>
        <v>0</v>
      </c>
      <c r="E127" s="158">
        <f t="shared" ca="1" si="75"/>
        <v>0</v>
      </c>
      <c r="F127" s="158">
        <f t="shared" ca="1" si="75"/>
        <v>0</v>
      </c>
      <c r="G127" s="158">
        <f t="shared" ca="1" si="75"/>
        <v>0</v>
      </c>
      <c r="H127" s="158">
        <f t="shared" ca="1" si="75"/>
        <v>0</v>
      </c>
      <c r="I127" s="158">
        <f t="shared" ca="1" si="75"/>
        <v>0</v>
      </c>
      <c r="J127" s="158">
        <f t="shared" ca="1" si="75"/>
        <v>0</v>
      </c>
      <c r="K127" s="158">
        <f t="shared" ca="1" si="75"/>
        <v>0</v>
      </c>
      <c r="AB127" s="1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 ht="14.25" customHeight="1" x14ac:dyDescent="0.35">
      <c r="A128" s="1" t="s">
        <v>323</v>
      </c>
      <c r="B128" s="162">
        <f ca="1">SUM(B126:B127)</f>
        <v>-3071541.2337959162</v>
      </c>
      <c r="C128" s="162">
        <f t="shared" ref="C128:K128" ca="1" si="76">SUM(C126:C127)</f>
        <v>-443786.15393798857</v>
      </c>
      <c r="D128" s="162">
        <f t="shared" ca="1" si="76"/>
        <v>-427129.08273950388</v>
      </c>
      <c r="E128" s="162">
        <f t="shared" ca="1" si="76"/>
        <v>-425421.23278775689</v>
      </c>
      <c r="F128" s="162">
        <f t="shared" ca="1" si="76"/>
        <v>-450819.68483353255</v>
      </c>
      <c r="G128" s="162">
        <f t="shared" ca="1" si="76"/>
        <v>-463827.15815085336</v>
      </c>
      <c r="H128" s="162">
        <f t="shared" ca="1" si="76"/>
        <v>-477209.93531535042</v>
      </c>
      <c r="I128" s="162">
        <f t="shared" ca="1" si="76"/>
        <v>-490978.84494640812</v>
      </c>
      <c r="J128" s="162">
        <f t="shared" ca="1" si="76"/>
        <v>-505145.02810091613</v>
      </c>
      <c r="K128" s="162">
        <f t="shared" ca="1" si="76"/>
        <v>-519719.94728801027</v>
      </c>
      <c r="AB128" s="1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1" ht="14.25" customHeight="1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AB129" s="1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1:41" ht="14.25" customHeight="1" x14ac:dyDescent="0.35">
      <c r="A130" s="19"/>
      <c r="B130" s="42"/>
      <c r="F130" s="7"/>
      <c r="G130" s="7"/>
      <c r="H130" s="7"/>
      <c r="I130" s="7"/>
      <c r="J130" s="7"/>
      <c r="K130" s="7"/>
      <c r="AB130" s="1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1:41" ht="14.25" customHeight="1" x14ac:dyDescent="0.35">
      <c r="A131" s="19"/>
      <c r="B131" s="43"/>
      <c r="C131" s="7"/>
      <c r="D131" s="7"/>
      <c r="E131" s="7"/>
      <c r="F131" s="7"/>
      <c r="G131" s="7"/>
      <c r="H131" s="7"/>
      <c r="I131" s="7"/>
      <c r="J131" s="7"/>
      <c r="K131" s="7"/>
      <c r="AB131" s="1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1:41" ht="14.25" customHeight="1" x14ac:dyDescent="0.35">
      <c r="A132" s="19"/>
      <c r="B132" s="43"/>
      <c r="C132" s="7"/>
      <c r="D132" s="7"/>
      <c r="E132" s="7"/>
      <c r="F132" s="7"/>
      <c r="G132" s="7"/>
      <c r="H132" s="7"/>
      <c r="I132" s="7"/>
      <c r="J132" s="7"/>
      <c r="K132" s="7"/>
      <c r="AB132" s="1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 ht="14.25" customHeight="1" x14ac:dyDescent="0.35">
      <c r="A133" s="19"/>
      <c r="B133" s="43"/>
      <c r="C133" s="7"/>
      <c r="D133" s="7"/>
      <c r="E133" s="7"/>
      <c r="F133" s="7"/>
      <c r="G133" s="7"/>
      <c r="H133" s="7"/>
      <c r="I133" s="7"/>
      <c r="J133" s="7"/>
      <c r="K133" s="7"/>
      <c r="AB133" s="1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1" ht="14.25" customHeight="1" x14ac:dyDescent="0.35">
      <c r="A134" s="19"/>
      <c r="B134" s="43"/>
      <c r="C134" s="7"/>
      <c r="D134" s="7"/>
      <c r="E134" s="7"/>
      <c r="F134" s="7"/>
      <c r="G134" s="7"/>
      <c r="H134" s="7"/>
      <c r="I134" s="7"/>
      <c r="J134" s="7"/>
      <c r="K134" s="7"/>
      <c r="AB134" s="1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 ht="14.25" customHeight="1" x14ac:dyDescent="0.35">
      <c r="A135" s="19"/>
      <c r="B135" s="43"/>
      <c r="C135" s="7"/>
      <c r="D135" s="7"/>
      <c r="E135" s="7"/>
      <c r="F135" s="7"/>
      <c r="G135" s="7"/>
      <c r="H135" s="7"/>
      <c r="I135" s="7"/>
      <c r="J135" s="7"/>
      <c r="K135" s="7"/>
      <c r="AB135" s="1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1" ht="14.25" customHeight="1" x14ac:dyDescent="0.35">
      <c r="A136" s="19"/>
      <c r="B136" s="43"/>
      <c r="C136" s="7"/>
      <c r="D136" s="7"/>
      <c r="E136" s="7"/>
      <c r="F136" s="7"/>
      <c r="G136" s="7"/>
      <c r="H136" s="7"/>
      <c r="I136" s="7"/>
      <c r="J136" s="7"/>
      <c r="K136" s="7"/>
      <c r="AB136" s="1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1:41" ht="14.25" customHeight="1" x14ac:dyDescent="0.35">
      <c r="A137" s="19"/>
      <c r="B137" s="43"/>
      <c r="C137" s="7"/>
      <c r="D137" s="7"/>
      <c r="E137" s="7"/>
      <c r="F137" s="7"/>
      <c r="G137" s="7"/>
      <c r="H137" s="7"/>
      <c r="I137" s="7"/>
      <c r="J137" s="7"/>
      <c r="K137" s="7"/>
      <c r="AB137" s="1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1" ht="14.25" customHeight="1" x14ac:dyDescent="0.35">
      <c r="A138" s="19"/>
      <c r="B138" s="43"/>
      <c r="C138" s="7"/>
      <c r="D138" s="7"/>
      <c r="E138" s="7"/>
      <c r="F138" s="7"/>
      <c r="G138" s="7"/>
      <c r="H138" s="7"/>
      <c r="I138" s="7"/>
      <c r="J138" s="7"/>
      <c r="K138" s="7"/>
      <c r="AB138" s="1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1" ht="14.25" customHeight="1" x14ac:dyDescent="0.35">
      <c r="A139" s="19"/>
      <c r="B139" s="43"/>
      <c r="C139" s="7"/>
      <c r="D139" s="7"/>
      <c r="E139" s="7"/>
      <c r="F139" s="7"/>
      <c r="G139" s="7"/>
      <c r="H139" s="7"/>
      <c r="I139" s="7"/>
      <c r="J139" s="7"/>
      <c r="K139" s="7"/>
      <c r="AB139" s="1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1:41" ht="14.25" customHeight="1" x14ac:dyDescent="0.35">
      <c r="A140" s="19"/>
      <c r="B140" s="43"/>
      <c r="C140" s="7"/>
      <c r="D140" s="7"/>
      <c r="E140" s="7"/>
      <c r="F140" s="7"/>
      <c r="G140" s="7"/>
      <c r="H140" s="7"/>
      <c r="I140" s="7"/>
      <c r="J140" s="7"/>
      <c r="K140" s="7"/>
      <c r="AB140" s="1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 ht="14.25" customHeight="1" x14ac:dyDescent="0.35">
      <c r="A141" s="19"/>
      <c r="B141" s="43"/>
      <c r="C141" s="7"/>
      <c r="D141" s="7"/>
      <c r="E141" s="7"/>
      <c r="F141" s="7"/>
      <c r="G141" s="7"/>
      <c r="H141" s="7"/>
      <c r="I141" s="7"/>
      <c r="J141" s="7"/>
      <c r="K141" s="7"/>
      <c r="AB141" s="1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 ht="14.25" customHeight="1" x14ac:dyDescent="0.35">
      <c r="A142" s="19"/>
      <c r="B142" s="43"/>
      <c r="C142" s="7"/>
      <c r="D142" s="7"/>
      <c r="E142" s="7"/>
      <c r="F142" s="7"/>
      <c r="G142" s="7"/>
      <c r="H142" s="7"/>
      <c r="I142" s="7"/>
      <c r="J142" s="7"/>
      <c r="K142" s="7"/>
      <c r="AB142" s="1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1" ht="14.25" customHeight="1" x14ac:dyDescent="0.35">
      <c r="A143" s="19"/>
      <c r="B143" s="43"/>
      <c r="C143" s="7"/>
      <c r="D143" s="7"/>
      <c r="E143" s="7"/>
      <c r="F143" s="7"/>
      <c r="G143" s="7"/>
      <c r="H143" s="7"/>
      <c r="I143" s="7"/>
      <c r="J143" s="7"/>
      <c r="K143" s="7"/>
      <c r="AB143" s="1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1:41" ht="14.25" customHeight="1" x14ac:dyDescent="0.35">
      <c r="A144" s="19"/>
      <c r="B144" s="43"/>
      <c r="C144" s="7"/>
      <c r="D144" s="7"/>
      <c r="E144" s="7"/>
      <c r="F144" s="7"/>
      <c r="G144" s="7"/>
      <c r="H144" s="7"/>
      <c r="I144" s="7"/>
      <c r="J144" s="7"/>
      <c r="K144" s="7"/>
      <c r="AB144" s="1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1" ht="14.25" customHeight="1" x14ac:dyDescent="0.35">
      <c r="A145" s="19"/>
      <c r="B145" s="43"/>
      <c r="C145" s="7"/>
      <c r="D145" s="7"/>
      <c r="E145" s="7"/>
      <c r="F145" s="7"/>
      <c r="G145" s="7"/>
      <c r="H145" s="7"/>
      <c r="I145" s="7"/>
      <c r="J145" s="7"/>
      <c r="K145" s="7"/>
      <c r="AB145" s="1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AB146" s="1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AB147" s="1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4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AB148" s="1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AB149" s="1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1:4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AB150" s="1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1:4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AB151" s="1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1:4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AB152" s="1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1:4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B153" s="1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1:4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B154" s="1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4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B155" s="1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4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B156" s="15"/>
      <c r="AC156" s="5"/>
      <c r="AD156" s="5"/>
      <c r="AE156" s="5"/>
      <c r="AF156" s="5"/>
      <c r="AG156" s="5"/>
    </row>
  </sheetData>
  <conditionalFormatting sqref="B4:B6">
    <cfRule type="containsText" dxfId="1" priority="1" operator="containsText" text="Off">
      <formula>NOT(ISERROR(SEARCH("Off",B4)))</formula>
    </cfRule>
    <cfRule type="containsText" dxfId="0" priority="2" operator="containsText" text="On">
      <formula>NOT(ISERROR(SEARCH("On",B4)))</formula>
    </cfRule>
  </conditionalFormatting>
  <dataValidations disablePrompts="1" count="1">
    <dataValidation type="list" allowBlank="1" showInputMessage="1" showErrorMessage="1" sqref="B4:B6" xr:uid="{00000000-0002-0000-0800-000000000000}">
      <formula1>"On, Off"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5"/>
  <sheetViews>
    <sheetView showGridLines="0" zoomScale="115" zoomScaleNormal="115" workbookViewId="0">
      <pane ySplit="5" topLeftCell="A75" activePane="bottomLeft" state="frozen"/>
      <selection activeCell="A5" sqref="A5"/>
      <selection pane="bottomLeft" activeCell="F94" sqref="F94"/>
    </sheetView>
  </sheetViews>
  <sheetFormatPr defaultColWidth="0" defaultRowHeight="0" customHeight="1" zeroHeight="1" x14ac:dyDescent="0.35"/>
  <cols>
    <col min="1" max="1" width="32.54296875" style="1" customWidth="1"/>
    <col min="2" max="2" width="7" style="1" hidden="1" customWidth="1"/>
    <col min="3" max="5" width="12" style="3" customWidth="1"/>
    <col min="6" max="6" width="11.453125" style="3" customWidth="1"/>
    <col min="7" max="12" width="11.453125" style="260" hidden="1" customWidth="1"/>
    <col min="13" max="14" width="12" customWidth="1"/>
    <col min="15" max="15" width="20.1796875" customWidth="1"/>
    <col min="16" max="18" width="12" customWidth="1"/>
    <col min="19" max="19" width="3.54296875" customWidth="1"/>
    <col min="20" max="20" width="19.26953125" customWidth="1"/>
    <col min="21" max="21" width="8.81640625" bestFit="1" customWidth="1"/>
    <col min="22" max="22" width="12.81640625" bestFit="1" customWidth="1"/>
    <col min="23" max="23" width="4.81640625" bestFit="1" customWidth="1"/>
    <col min="24" max="24" width="22" customWidth="1"/>
    <col min="25" max="25" width="9.1796875" bestFit="1" customWidth="1"/>
    <col min="26" max="26" width="11.7265625"/>
    <col min="27" max="27" width="17" customWidth="1"/>
    <col min="28" max="28" width="17" style="6" customWidth="1"/>
    <col min="29" max="29" width="13.54296875" style="6" customWidth="1"/>
    <col min="30" max="30" width="10.54296875" style="6" bestFit="1" customWidth="1"/>
    <col min="31" max="31" width="9.1796875" style="6" customWidth="1"/>
    <col min="32" max="32" width="4.1796875" style="6" hidden="1" customWidth="1"/>
    <col min="33" max="34" width="9.1796875" style="6" hidden="1" customWidth="1"/>
    <col min="35" max="36" width="9.7265625" style="6" hidden="1" customWidth="1"/>
    <col min="37" max="41" width="9.1796875" style="6" hidden="1" customWidth="1"/>
    <col min="42" max="46" width="10.26953125" style="6" hidden="1" customWidth="1"/>
    <col min="47" max="16384" width="9.1796875" style="6" hidden="1"/>
  </cols>
  <sheetData>
    <row r="1" spans="1:33" customFormat="1" ht="14.5" x14ac:dyDescent="0.35">
      <c r="A1" s="293" t="s">
        <v>0</v>
      </c>
    </row>
    <row r="2" spans="1:33" customFormat="1" ht="14.5" x14ac:dyDescent="0.35">
      <c r="A2" s="293" t="s">
        <v>1</v>
      </c>
    </row>
    <row r="3" spans="1:33" customFormat="1" ht="14.5" x14ac:dyDescent="0.35">
      <c r="A3" s="294" t="s">
        <v>338</v>
      </c>
      <c r="C3" s="259"/>
    </row>
    <row r="4" spans="1:33" customFormat="1" ht="14.5" x14ac:dyDescent="0.35">
      <c r="A4" s="259" t="s">
        <v>2</v>
      </c>
    </row>
    <row r="5" spans="1:33" s="17" customFormat="1" ht="14.25" customHeight="1" x14ac:dyDescent="0.35">
      <c r="A5" s="52"/>
      <c r="B5" s="52"/>
      <c r="C5" s="186">
        <v>2019</v>
      </c>
      <c r="D5" s="186">
        <f t="shared" ref="D5:L5" si="0">+C5+1</f>
        <v>2020</v>
      </c>
      <c r="E5" s="186">
        <f t="shared" si="0"/>
        <v>2021</v>
      </c>
      <c r="F5" s="186">
        <f t="shared" si="0"/>
        <v>2022</v>
      </c>
      <c r="G5" s="261">
        <f t="shared" si="0"/>
        <v>2023</v>
      </c>
      <c r="H5" s="261">
        <f t="shared" si="0"/>
        <v>2024</v>
      </c>
      <c r="I5" s="261">
        <f t="shared" si="0"/>
        <v>2025</v>
      </c>
      <c r="J5" s="261">
        <f t="shared" si="0"/>
        <v>2026</v>
      </c>
      <c r="K5" s="261">
        <f t="shared" si="0"/>
        <v>2027</v>
      </c>
      <c r="L5" s="261">
        <f t="shared" si="0"/>
        <v>2028</v>
      </c>
      <c r="P5" s="6"/>
      <c r="S5"/>
      <c r="T5"/>
      <c r="U5"/>
      <c r="V5"/>
      <c r="W5"/>
      <c r="X5"/>
      <c r="Y5"/>
      <c r="AA5"/>
    </row>
    <row r="6" spans="1:33" ht="14.25" customHeight="1" x14ac:dyDescent="0.35">
      <c r="A6" s="126" t="s">
        <v>3</v>
      </c>
      <c r="B6" s="126"/>
      <c r="C6" s="126"/>
      <c r="D6" s="126"/>
      <c r="E6" s="126"/>
      <c r="F6" s="126"/>
      <c r="G6" s="262"/>
      <c r="H6" s="262"/>
      <c r="I6" s="262"/>
      <c r="J6" s="262"/>
      <c r="K6" s="262"/>
      <c r="L6" s="262"/>
      <c r="M6" s="6"/>
      <c r="N6" s="6"/>
      <c r="O6" s="6"/>
      <c r="P6" s="6"/>
      <c r="T6" s="6"/>
    </row>
    <row r="7" spans="1:33" ht="14.25" customHeight="1" x14ac:dyDescent="0.35">
      <c r="A7" s="308" t="s">
        <v>4</v>
      </c>
      <c r="M7" s="6"/>
      <c r="N7" s="6"/>
      <c r="O7" s="6"/>
      <c r="P7" s="6"/>
    </row>
    <row r="8" spans="1:33" ht="14.25" customHeight="1" x14ac:dyDescent="0.35">
      <c r="A8" s="1" t="s">
        <v>5</v>
      </c>
      <c r="C8" s="3">
        <f>+Assumptions!C21</f>
        <v>30</v>
      </c>
      <c r="D8" s="3">
        <v>0</v>
      </c>
      <c r="E8" s="3">
        <v>0</v>
      </c>
      <c r="F8" s="3">
        <v>0</v>
      </c>
      <c r="G8" s="260">
        <v>0</v>
      </c>
      <c r="H8" s="260">
        <v>0</v>
      </c>
      <c r="I8" s="260">
        <v>0</v>
      </c>
      <c r="J8" s="260">
        <v>0</v>
      </c>
      <c r="K8" s="260">
        <v>0</v>
      </c>
      <c r="L8" s="260">
        <v>0</v>
      </c>
      <c r="M8" s="6"/>
      <c r="N8" s="6"/>
    </row>
    <row r="9" spans="1:33" ht="14.25" customHeight="1" x14ac:dyDescent="0.35">
      <c r="A9" s="1" t="s">
        <v>6</v>
      </c>
      <c r="C9" s="57">
        <f>+Assumptions!E21</f>
        <v>6</v>
      </c>
      <c r="D9" s="57">
        <v>0</v>
      </c>
      <c r="E9" s="57">
        <v>0</v>
      </c>
      <c r="F9" s="57">
        <v>0</v>
      </c>
      <c r="G9" s="263">
        <v>0</v>
      </c>
      <c r="H9" s="263">
        <v>0</v>
      </c>
      <c r="I9" s="263">
        <v>0</v>
      </c>
      <c r="J9" s="263">
        <v>0</v>
      </c>
      <c r="K9" s="263">
        <v>0</v>
      </c>
      <c r="L9" s="263">
        <v>0</v>
      </c>
      <c r="M9" s="6"/>
      <c r="N9" s="6"/>
    </row>
    <row r="10" spans="1:33" ht="14.25" customHeight="1" x14ac:dyDescent="0.35">
      <c r="A10" s="68" t="s">
        <v>7</v>
      </c>
      <c r="B10" s="68"/>
      <c r="C10" s="68">
        <f>+C8+C9</f>
        <v>36</v>
      </c>
      <c r="D10" s="68">
        <f t="shared" ref="D10:L10" si="1">+C10+D8+D9</f>
        <v>36</v>
      </c>
      <c r="E10" s="68">
        <f t="shared" si="1"/>
        <v>36</v>
      </c>
      <c r="F10" s="68">
        <f t="shared" si="1"/>
        <v>36</v>
      </c>
      <c r="G10" s="264">
        <f t="shared" si="1"/>
        <v>36</v>
      </c>
      <c r="H10" s="264">
        <f t="shared" si="1"/>
        <v>36</v>
      </c>
      <c r="I10" s="264">
        <f t="shared" si="1"/>
        <v>36</v>
      </c>
      <c r="J10" s="264">
        <f t="shared" si="1"/>
        <v>36</v>
      </c>
      <c r="K10" s="264">
        <f t="shared" si="1"/>
        <v>36</v>
      </c>
      <c r="L10" s="264">
        <f t="shared" si="1"/>
        <v>36</v>
      </c>
      <c r="M10" s="6"/>
      <c r="N10" s="6"/>
    </row>
    <row r="11" spans="1:33" ht="14.25" customHeight="1" x14ac:dyDescent="0.35">
      <c r="A11" s="68"/>
      <c r="B11" s="68"/>
      <c r="C11" s="36"/>
      <c r="D11" s="36"/>
      <c r="E11" s="36"/>
      <c r="F11" s="36"/>
      <c r="G11" s="265"/>
      <c r="H11" s="265"/>
      <c r="I11" s="265"/>
      <c r="J11" s="265"/>
      <c r="K11" s="265"/>
      <c r="L11" s="265"/>
      <c r="M11" s="6"/>
      <c r="N11" s="6"/>
    </row>
    <row r="12" spans="1:33" ht="14.25" customHeight="1" x14ac:dyDescent="0.35">
      <c r="A12" s="11" t="s">
        <v>8</v>
      </c>
      <c r="B12" s="11"/>
      <c r="C12" s="150">
        <f>+Assumptions!C22+Assumptions!D22</f>
        <v>100</v>
      </c>
      <c r="D12" s="149">
        <v>0</v>
      </c>
      <c r="E12" s="149">
        <v>0</v>
      </c>
      <c r="F12" s="149">
        <v>0</v>
      </c>
      <c r="G12" s="266">
        <v>0</v>
      </c>
      <c r="H12" s="266">
        <v>0</v>
      </c>
      <c r="I12" s="266">
        <v>0</v>
      </c>
      <c r="J12" s="266">
        <v>0</v>
      </c>
      <c r="K12" s="266">
        <v>0</v>
      </c>
      <c r="L12" s="266">
        <v>0</v>
      </c>
      <c r="AF12" s="17"/>
      <c r="AG12" s="17"/>
    </row>
    <row r="13" spans="1:33" ht="14.25" customHeight="1" x14ac:dyDescent="0.35">
      <c r="A13" s="96" t="s">
        <v>9</v>
      </c>
      <c r="B13" s="96"/>
      <c r="C13" s="177">
        <f>+Assumptions!E22+Assumptions!F22</f>
        <v>20</v>
      </c>
      <c r="D13" s="57">
        <v>0</v>
      </c>
      <c r="E13" s="57">
        <v>0</v>
      </c>
      <c r="F13" s="57">
        <v>0</v>
      </c>
      <c r="G13" s="263">
        <v>0</v>
      </c>
      <c r="H13" s="263">
        <v>0</v>
      </c>
      <c r="I13" s="263">
        <v>0</v>
      </c>
      <c r="J13" s="263">
        <v>0</v>
      </c>
      <c r="K13" s="263">
        <v>0</v>
      </c>
      <c r="L13" s="263">
        <v>0</v>
      </c>
      <c r="AF13" s="17"/>
      <c r="AG13" s="17"/>
    </row>
    <row r="14" spans="1:33" ht="14.25" customHeight="1" x14ac:dyDescent="0.35">
      <c r="A14" s="68" t="s">
        <v>7</v>
      </c>
      <c r="B14" s="68"/>
      <c r="C14" s="68">
        <f>+C12+C13</f>
        <v>120</v>
      </c>
      <c r="D14" s="68">
        <f t="shared" ref="D14:L14" si="2">+C14+D12+D13</f>
        <v>120</v>
      </c>
      <c r="E14" s="68">
        <f t="shared" si="2"/>
        <v>120</v>
      </c>
      <c r="F14" s="68">
        <f t="shared" si="2"/>
        <v>120</v>
      </c>
      <c r="G14" s="264">
        <f t="shared" si="2"/>
        <v>120</v>
      </c>
      <c r="H14" s="264">
        <f t="shared" si="2"/>
        <v>120</v>
      </c>
      <c r="I14" s="264">
        <f t="shared" si="2"/>
        <v>120</v>
      </c>
      <c r="J14" s="264">
        <f t="shared" si="2"/>
        <v>120</v>
      </c>
      <c r="K14" s="264">
        <f t="shared" si="2"/>
        <v>120</v>
      </c>
      <c r="L14" s="264">
        <f t="shared" si="2"/>
        <v>120</v>
      </c>
    </row>
    <row r="15" spans="1:33" ht="14.25" customHeight="1" x14ac:dyDescent="0.35">
      <c r="A15" s="68"/>
      <c r="B15" s="68"/>
      <c r="C15" s="36"/>
      <c r="D15" s="36"/>
      <c r="E15" s="36"/>
      <c r="F15" s="36"/>
      <c r="G15" s="265"/>
      <c r="H15" s="265"/>
      <c r="I15" s="265"/>
      <c r="J15" s="265"/>
      <c r="K15" s="265"/>
      <c r="L15" s="265"/>
    </row>
    <row r="16" spans="1:33" ht="14.25" customHeight="1" x14ac:dyDescent="0.35">
      <c r="A16" s="11" t="s">
        <v>10</v>
      </c>
      <c r="B16" s="11"/>
      <c r="C16" s="137">
        <f>+Assumptions!K9</f>
        <v>0.08</v>
      </c>
      <c r="D16" s="137">
        <f>+Assumptions!L9</f>
        <v>0.1</v>
      </c>
      <c r="E16" s="137">
        <f>+Assumptions!M9</f>
        <v>0.12</v>
      </c>
      <c r="F16" s="137">
        <f>+Assumptions!N9</f>
        <v>0.14000000000000001</v>
      </c>
      <c r="G16" s="267">
        <f>+Assumptions!O9</f>
        <v>0</v>
      </c>
      <c r="H16" s="267">
        <f>+Assumptions!P9</f>
        <v>0</v>
      </c>
      <c r="I16" s="267">
        <f>+Assumptions!Q9</f>
        <v>0</v>
      </c>
      <c r="J16" s="267">
        <f>+Assumptions!R9</f>
        <v>0</v>
      </c>
      <c r="K16" s="267">
        <f>+Assumptions!S9</f>
        <v>0</v>
      </c>
      <c r="L16" s="267">
        <f>+Assumptions!T9</f>
        <v>0</v>
      </c>
      <c r="AA16" s="6"/>
      <c r="AG16" s="37"/>
    </row>
    <row r="17" spans="1:41" ht="14.25" customHeight="1" x14ac:dyDescent="0.35">
      <c r="A17" s="96" t="s">
        <v>11</v>
      </c>
      <c r="B17" s="96"/>
      <c r="C17" s="183">
        <f>+Assumptions!K28</f>
        <v>0.05</v>
      </c>
      <c r="D17" s="183">
        <f>+Assumptions!L28</f>
        <v>0.08</v>
      </c>
      <c r="E17" s="183">
        <f>+Assumptions!M28</f>
        <v>0.12</v>
      </c>
      <c r="F17" s="183">
        <f>+Assumptions!N28</f>
        <v>0.2</v>
      </c>
      <c r="G17" s="268">
        <f>+Assumptions!O28</f>
        <v>0</v>
      </c>
      <c r="H17" s="268">
        <f>+Assumptions!P28</f>
        <v>0</v>
      </c>
      <c r="I17" s="268">
        <f>+Assumptions!Q28</f>
        <v>0</v>
      </c>
      <c r="J17" s="268">
        <f>+Assumptions!R28</f>
        <v>0</v>
      </c>
      <c r="K17" s="268">
        <f>+Assumptions!S28</f>
        <v>0</v>
      </c>
      <c r="L17" s="268">
        <f>+Assumptions!T28</f>
        <v>0</v>
      </c>
      <c r="AA17" s="6"/>
      <c r="AG17" s="37"/>
    </row>
    <row r="18" spans="1:41" ht="14.25" customHeight="1" x14ac:dyDescent="0.35">
      <c r="A18" s="96"/>
      <c r="B18" s="96"/>
      <c r="C18" s="69"/>
      <c r="D18" s="69"/>
      <c r="E18" s="69"/>
      <c r="F18" s="69"/>
      <c r="G18" s="269"/>
      <c r="H18" s="269"/>
      <c r="I18" s="269"/>
      <c r="J18" s="269"/>
      <c r="K18" s="269"/>
      <c r="L18" s="269"/>
      <c r="AA18" s="6"/>
      <c r="AG18" s="37"/>
    </row>
    <row r="19" spans="1:41" ht="14.25" customHeight="1" x14ac:dyDescent="0.35">
      <c r="A19" s="96" t="s">
        <v>12</v>
      </c>
      <c r="B19" s="96"/>
      <c r="C19" s="144">
        <f>+(Assumptions!$C$22+Assumptions!$D$22)*(C16*24*Assumptions!$C$11)</f>
        <v>70080</v>
      </c>
      <c r="D19" s="144">
        <f>+(Assumptions!$C$22+Assumptions!$D$22)*(D16*24*Assumptions!$C$11)</f>
        <v>87600.000000000015</v>
      </c>
      <c r="E19" s="144">
        <f>+(Assumptions!$C$22+Assumptions!$D$22)*(E16*24*Assumptions!$C$11)</f>
        <v>105120</v>
      </c>
      <c r="F19" s="144">
        <f>+(Assumptions!$C$22+Assumptions!$D$22)*(F16*24*Assumptions!$C$11)</f>
        <v>122640.00000000001</v>
      </c>
      <c r="G19" s="270">
        <f>+(Assumptions!$C$22+Assumptions!$D$22)*(G16*24*Assumptions!$C$11)</f>
        <v>0</v>
      </c>
      <c r="H19" s="270">
        <f>+(Assumptions!$C$22+Assumptions!$D$22)*(H16*24*Assumptions!$C$11)</f>
        <v>0</v>
      </c>
      <c r="I19" s="270">
        <f>+(Assumptions!$C$22+Assumptions!$D$22)*(I16*24*Assumptions!$C$11)</f>
        <v>0</v>
      </c>
      <c r="J19" s="270">
        <f>+(Assumptions!$C$22+Assumptions!$D$22)*(J16*24*Assumptions!$C$11)</f>
        <v>0</v>
      </c>
      <c r="K19" s="270">
        <f>+(Assumptions!$C$22+Assumptions!$D$22)*(K16*24*Assumptions!$C$11)</f>
        <v>0</v>
      </c>
      <c r="L19" s="270">
        <f>+(Assumptions!$C$22+Assumptions!$D$22)*(L16*24*Assumptions!$C$11)</f>
        <v>0</v>
      </c>
      <c r="AA19" s="6"/>
      <c r="AG19" s="37"/>
    </row>
    <row r="20" spans="1:41" ht="14.25" customHeight="1" x14ac:dyDescent="0.35">
      <c r="A20" s="96" t="s">
        <v>13</v>
      </c>
      <c r="B20" s="96"/>
      <c r="C20" s="144">
        <f>+(Assumptions!$E$22+Assumptions!$F$22)*(C17*24*Assumptions!$C$11)</f>
        <v>8760.0000000000018</v>
      </c>
      <c r="D20" s="144">
        <f>+(Assumptions!$E$22+Assumptions!$F$22)*(D17*24*Assumptions!$C$11)</f>
        <v>14016</v>
      </c>
      <c r="E20" s="144">
        <f>+(Assumptions!$E$22+Assumptions!$F$22)*(E17*24*Assumptions!$C$11)</f>
        <v>21024</v>
      </c>
      <c r="F20" s="144">
        <f>+(Assumptions!$E$22+Assumptions!$F$22)*(F17*24*Assumptions!$C$11)</f>
        <v>35040.000000000007</v>
      </c>
      <c r="G20" s="270">
        <f>+(Assumptions!$E$22+Assumptions!$F$22)*(G17*24*Assumptions!$C$11)</f>
        <v>0</v>
      </c>
      <c r="H20" s="270">
        <f>+(Assumptions!$E$22+Assumptions!$F$22)*(H17*24*Assumptions!$C$11)</f>
        <v>0</v>
      </c>
      <c r="I20" s="270">
        <f>+(Assumptions!$E$22+Assumptions!$F$22)*(I17*24*Assumptions!$C$11)</f>
        <v>0</v>
      </c>
      <c r="J20" s="270">
        <f>+(Assumptions!$E$22+Assumptions!$F$22)*(J17*24*Assumptions!$C$11)</f>
        <v>0</v>
      </c>
      <c r="K20" s="270">
        <f>+(Assumptions!$E$22+Assumptions!$F$22)*(K17*24*Assumptions!$C$11)</f>
        <v>0</v>
      </c>
      <c r="L20" s="270">
        <f>+(Assumptions!$E$22+Assumptions!$F$22)*(L17*24*Assumptions!$C$11)</f>
        <v>0</v>
      </c>
      <c r="AA20" s="6"/>
      <c r="AG20" s="37"/>
    </row>
    <row r="21" spans="1:41" ht="14.25" customHeight="1" x14ac:dyDescent="0.35">
      <c r="A21" s="6"/>
      <c r="B21" s="6"/>
      <c r="C21" s="100"/>
      <c r="D21" s="100"/>
      <c r="E21" s="100"/>
      <c r="F21" s="100"/>
      <c r="G21" s="271"/>
      <c r="H21" s="271"/>
      <c r="I21" s="271"/>
      <c r="J21" s="271"/>
      <c r="K21" s="271"/>
      <c r="L21" s="271"/>
      <c r="AA21" s="6"/>
    </row>
    <row r="22" spans="1:41" ht="14.25" customHeight="1" x14ac:dyDescent="0.35">
      <c r="A22" s="127" t="s">
        <v>14</v>
      </c>
      <c r="B22" s="127"/>
      <c r="C22" s="127"/>
      <c r="D22" s="127"/>
      <c r="E22" s="127"/>
      <c r="F22" s="127"/>
      <c r="G22" s="272"/>
      <c r="H22" s="272"/>
      <c r="I22" s="272"/>
      <c r="J22" s="272"/>
      <c r="K22" s="272"/>
      <c r="L22" s="272"/>
      <c r="AA22" s="6"/>
    </row>
    <row r="23" spans="1:41" ht="14.25" customHeight="1" x14ac:dyDescent="0.35">
      <c r="A23" s="19" t="s">
        <v>15</v>
      </c>
      <c r="AA23" s="6"/>
    </row>
    <row r="24" spans="1:41" ht="14.25" customHeight="1" x14ac:dyDescent="0.35">
      <c r="A24" s="71" t="s">
        <v>16</v>
      </c>
      <c r="B24" s="71"/>
      <c r="C24" s="154">
        <f>C19*Assumptions!$C$26</f>
        <v>175200</v>
      </c>
      <c r="D24" s="154">
        <f>D19*Assumptions!$C$26</f>
        <v>219000.00000000003</v>
      </c>
      <c r="E24" s="154">
        <f>E19*Assumptions!$C$26</f>
        <v>262800</v>
      </c>
      <c r="F24" s="154">
        <f>F19*Assumptions!$C$26</f>
        <v>306600.00000000006</v>
      </c>
      <c r="G24" s="273">
        <f>G19*Assumptions!$C$26</f>
        <v>0</v>
      </c>
      <c r="H24" s="273">
        <f>H19*Assumptions!$C$26</f>
        <v>0</v>
      </c>
      <c r="I24" s="273">
        <f>I19*Assumptions!$C$26</f>
        <v>0</v>
      </c>
      <c r="J24" s="273">
        <f>J19*Assumptions!$C$26</f>
        <v>0</v>
      </c>
      <c r="K24" s="273">
        <f>K19*Assumptions!$C$26</f>
        <v>0</v>
      </c>
      <c r="L24" s="273">
        <f>L19*Assumptions!$C$26</f>
        <v>0</v>
      </c>
      <c r="AA24" s="6"/>
    </row>
    <row r="25" spans="1:41" ht="14.25" customHeight="1" x14ac:dyDescent="0.35">
      <c r="A25" s="71" t="s">
        <v>17</v>
      </c>
      <c r="B25" s="71"/>
      <c r="C25" s="154">
        <f>C20*Assumptions!$C$33</f>
        <v>21900.000000000004</v>
      </c>
      <c r="D25" s="154">
        <f>D20*Assumptions!$C$33</f>
        <v>35040</v>
      </c>
      <c r="E25" s="154">
        <f>E20*Assumptions!$C$33</f>
        <v>52560</v>
      </c>
      <c r="F25" s="154">
        <f>F20*Assumptions!$C$33</f>
        <v>87600.000000000015</v>
      </c>
      <c r="G25" s="273">
        <f>G20*Assumptions!$C$33</f>
        <v>0</v>
      </c>
      <c r="H25" s="273">
        <f>H20*Assumptions!$C$33</f>
        <v>0</v>
      </c>
      <c r="I25" s="273">
        <f>I20*Assumptions!$C$33</f>
        <v>0</v>
      </c>
      <c r="J25" s="273">
        <f>J20*Assumptions!$C$33</f>
        <v>0</v>
      </c>
      <c r="K25" s="273">
        <f>K20*Assumptions!$C$33</f>
        <v>0</v>
      </c>
      <c r="L25" s="273">
        <f>L20*Assumptions!$C$33</f>
        <v>0</v>
      </c>
      <c r="AA25" s="6"/>
    </row>
    <row r="26" spans="1:41" ht="14.25" customHeight="1" x14ac:dyDescent="0.35">
      <c r="A26" s="26" t="s">
        <v>18</v>
      </c>
      <c r="B26" s="26"/>
      <c r="C26" s="157">
        <f t="shared" ref="C26:L26" si="3">+SUM(C24:C25)</f>
        <v>197100</v>
      </c>
      <c r="D26" s="157">
        <f t="shared" si="3"/>
        <v>254040.00000000003</v>
      </c>
      <c r="E26" s="157">
        <f t="shared" si="3"/>
        <v>315360</v>
      </c>
      <c r="F26" s="157">
        <f t="shared" si="3"/>
        <v>394200.00000000006</v>
      </c>
      <c r="G26" s="274">
        <f t="shared" si="3"/>
        <v>0</v>
      </c>
      <c r="H26" s="274">
        <f t="shared" si="3"/>
        <v>0</v>
      </c>
      <c r="I26" s="274">
        <f t="shared" si="3"/>
        <v>0</v>
      </c>
      <c r="J26" s="274">
        <f t="shared" si="3"/>
        <v>0</v>
      </c>
      <c r="K26" s="274">
        <f t="shared" si="3"/>
        <v>0</v>
      </c>
      <c r="L26" s="274">
        <f t="shared" si="3"/>
        <v>0</v>
      </c>
      <c r="AA26" s="6"/>
    </row>
    <row r="27" spans="1:41" ht="14.25" customHeight="1" x14ac:dyDescent="0.35">
      <c r="A27" s="6"/>
      <c r="B27" s="6"/>
      <c r="C27" s="66"/>
      <c r="D27" s="66"/>
      <c r="E27" s="66"/>
      <c r="F27" s="66"/>
      <c r="G27" s="275"/>
      <c r="H27" s="275"/>
      <c r="I27" s="275"/>
      <c r="J27" s="275"/>
      <c r="K27" s="275"/>
      <c r="L27" s="275"/>
      <c r="AJ27" s="5"/>
      <c r="AK27" s="5"/>
      <c r="AL27" s="5"/>
      <c r="AM27" s="5"/>
      <c r="AN27" s="5"/>
      <c r="AO27" s="5"/>
    </row>
    <row r="28" spans="1:41" ht="14.25" customHeight="1" x14ac:dyDescent="0.35">
      <c r="A28" s="301" t="s">
        <v>19</v>
      </c>
      <c r="B28" s="6"/>
      <c r="C28" s="300">
        <f>-C24*Assumptions!$C$70</f>
        <v>-26280</v>
      </c>
      <c r="D28" s="300">
        <f>-D24*Assumptions!$C$70</f>
        <v>-32850</v>
      </c>
      <c r="E28" s="300">
        <f>-E24*Assumptions!$C$70</f>
        <v>-39420</v>
      </c>
      <c r="F28" s="300">
        <f>-F24*Assumptions!$C$70</f>
        <v>-45990.000000000007</v>
      </c>
      <c r="G28" s="275"/>
      <c r="H28" s="275"/>
      <c r="I28" s="275"/>
      <c r="J28" s="275"/>
      <c r="K28" s="275"/>
      <c r="L28" s="275"/>
      <c r="AJ28" s="5"/>
      <c r="AK28" s="5"/>
      <c r="AL28" s="5"/>
      <c r="AM28" s="5"/>
      <c r="AN28" s="5"/>
      <c r="AO28" s="5"/>
    </row>
    <row r="29" spans="1:41" ht="14.25" customHeight="1" x14ac:dyDescent="0.35">
      <c r="A29" s="301" t="s">
        <v>20</v>
      </c>
      <c r="B29" s="24"/>
      <c r="C29" s="255">
        <f>-C25*Assumptions!$C$70</f>
        <v>-3285.0000000000005</v>
      </c>
      <c r="D29" s="255">
        <f>-D25*Assumptions!$C$70</f>
        <v>-5256</v>
      </c>
      <c r="E29" s="255">
        <f>-E25*Assumptions!$C$70</f>
        <v>-7884</v>
      </c>
      <c r="F29" s="255">
        <f>-F25*Assumptions!$C$70</f>
        <v>-13140.000000000002</v>
      </c>
      <c r="G29" s="276">
        <f>-G26*Assumptions!$C$70</f>
        <v>0</v>
      </c>
      <c r="H29" s="276">
        <f>-H26*Assumptions!$C$70</f>
        <v>0</v>
      </c>
      <c r="I29" s="276">
        <f>-I26*Assumptions!$C$70</f>
        <v>0</v>
      </c>
      <c r="J29" s="276">
        <f>-J26*Assumptions!$C$70</f>
        <v>0</v>
      </c>
      <c r="K29" s="276">
        <f>-K26*Assumptions!$C$70</f>
        <v>0</v>
      </c>
      <c r="L29" s="276">
        <f>-L26*Assumptions!$C$70</f>
        <v>0</v>
      </c>
      <c r="AB29" s="4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35">
      <c r="A30" s="301" t="s">
        <v>21</v>
      </c>
      <c r="B30" s="24"/>
      <c r="C30" s="300">
        <f>+C28+C29</f>
        <v>-29565</v>
      </c>
      <c r="D30" s="300">
        <f>+D28+D29</f>
        <v>-38106</v>
      </c>
      <c r="E30" s="300">
        <f>+E28+E29</f>
        <v>-47304</v>
      </c>
      <c r="F30" s="300">
        <f>+F28+F29</f>
        <v>-59130.000000000007</v>
      </c>
      <c r="G30" s="302"/>
      <c r="H30" s="302"/>
      <c r="I30" s="302"/>
      <c r="J30" s="302"/>
      <c r="K30" s="302"/>
      <c r="L30" s="302"/>
      <c r="AB30" s="4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35">
      <c r="A31" s="301"/>
      <c r="B31" s="24"/>
      <c r="C31" s="300"/>
      <c r="D31" s="300"/>
      <c r="E31" s="300"/>
      <c r="F31" s="300"/>
      <c r="G31" s="302"/>
      <c r="H31" s="302"/>
      <c r="I31" s="302"/>
      <c r="J31" s="302"/>
      <c r="K31" s="302"/>
      <c r="L31" s="302"/>
      <c r="AB31" s="4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35">
      <c r="A32" s="24" t="s">
        <v>22</v>
      </c>
      <c r="B32" s="24"/>
      <c r="C32" s="256">
        <f>+C26+C30</f>
        <v>167535</v>
      </c>
      <c r="D32" s="256">
        <f>+D26+D30</f>
        <v>215934.00000000003</v>
      </c>
      <c r="E32" s="256">
        <f>+E26+E30</f>
        <v>268056</v>
      </c>
      <c r="F32" s="256">
        <f>+F26+F30</f>
        <v>335070.00000000006</v>
      </c>
      <c r="G32" s="277">
        <f t="shared" ref="G32:L32" si="4">+G26+G29</f>
        <v>0</v>
      </c>
      <c r="H32" s="277">
        <f t="shared" si="4"/>
        <v>0</v>
      </c>
      <c r="I32" s="277">
        <f t="shared" si="4"/>
        <v>0</v>
      </c>
      <c r="J32" s="277">
        <f t="shared" si="4"/>
        <v>0</v>
      </c>
      <c r="K32" s="277">
        <f t="shared" si="4"/>
        <v>0</v>
      </c>
      <c r="L32" s="277">
        <f t="shared" si="4"/>
        <v>0</v>
      </c>
      <c r="AB32" s="4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35">
      <c r="A33" s="24"/>
      <c r="B33" s="24"/>
      <c r="C33" s="318"/>
      <c r="D33" s="318"/>
      <c r="E33" s="318"/>
      <c r="F33" s="256"/>
      <c r="G33" s="277"/>
      <c r="H33" s="277"/>
      <c r="I33" s="277"/>
      <c r="J33" s="277"/>
      <c r="K33" s="277"/>
      <c r="L33" s="277"/>
      <c r="AB33" s="4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35">
      <c r="A34" s="27" t="s">
        <v>23</v>
      </c>
      <c r="B34" s="24"/>
      <c r="C34" s="158"/>
      <c r="D34" s="158"/>
      <c r="E34" s="158"/>
      <c r="F34" s="158"/>
      <c r="G34" s="103"/>
      <c r="H34" s="103"/>
      <c r="I34" s="103"/>
      <c r="J34" s="103"/>
      <c r="K34" s="103"/>
      <c r="L34" s="103"/>
      <c r="N34" s="184"/>
      <c r="O34" s="184"/>
      <c r="P34" s="184"/>
      <c r="Q34" s="184"/>
      <c r="AB34" s="4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35">
      <c r="A35" s="151" t="s">
        <v>24</v>
      </c>
      <c r="B35" s="26" t="s">
        <v>25</v>
      </c>
      <c r="C35" s="144">
        <f>-(('Utility Bills summary'!B7*Assumptions!$C$18)+('Utility Bills summary'!B20*Assumptions!$C$19))</f>
        <v>-422414.2270458705</v>
      </c>
      <c r="D35" s="144">
        <f>-(('Utility Bills summary'!C7*Assumptions!$C$18)+('Utility Bills summary'!C20*Assumptions!$C$19))</f>
        <v>-442832.85505214275</v>
      </c>
      <c r="E35" s="144">
        <f>-(('Utility Bills summary'!D7*Assumptions!$C$18)+('Utility Bills summary'!D20*Assumptions!$C$19))</f>
        <v>-463251.48305841489</v>
      </c>
      <c r="F35" s="144">
        <f>-(('Utility Bills summary'!E7*Assumptions!$C$18)+('Utility Bills summary'!E20*Assumptions!$C$19))</f>
        <v>-483670.11106468702</v>
      </c>
      <c r="G35" s="270">
        <f>-(('Utility Bills summary'!F7*Assumptions!$C$18)+('Utility Bills summary'!F20*Assumptions!$C$19))</f>
        <v>-340739.71502078191</v>
      </c>
      <c r="H35" s="270">
        <f>-(('Utility Bills summary'!G7*Assumptions!$C$18)+('Utility Bills summary'!G20*Assumptions!$C$19))</f>
        <v>-340739.71502078191</v>
      </c>
      <c r="I35" s="270">
        <f>-(('Utility Bills summary'!H7*Assumptions!$C$18)+('Utility Bills summary'!H20*Assumptions!$C$19))</f>
        <v>-340739.71502078191</v>
      </c>
      <c r="J35" s="270">
        <f>-(('Utility Bills summary'!I7*Assumptions!$C$18)+('Utility Bills summary'!I20*Assumptions!$C$19))</f>
        <v>-340739.71502078191</v>
      </c>
      <c r="K35" s="270">
        <f>-(('Utility Bills summary'!J7*Assumptions!$C$18)+('Utility Bills summary'!J20*Assumptions!$C$19))</f>
        <v>-340739.71502078191</v>
      </c>
      <c r="L35" s="270">
        <f>-(('Utility Bills summary'!K7*Assumptions!$C$18)+('Utility Bills summary'!K20*Assumptions!$C$19))</f>
        <v>-340739.71502078191</v>
      </c>
      <c r="AI35" s="5"/>
      <c r="AJ35" s="5"/>
      <c r="AK35" s="5"/>
      <c r="AL35" s="5"/>
      <c r="AM35" s="5"/>
      <c r="AN35" s="5"/>
      <c r="AO35" s="5"/>
    </row>
    <row r="36" spans="1:41" ht="14.25" customHeight="1" x14ac:dyDescent="0.35">
      <c r="A36" s="151" t="s">
        <v>26</v>
      </c>
      <c r="B36" s="26" t="s">
        <v>25</v>
      </c>
      <c r="C36" s="144">
        <f>-(('Utility Bills summary'!B12*Assumptions!$E$18)+('Utility Bills summary'!B25*Assumptions!$E$19))</f>
        <v>-104443.88292503684</v>
      </c>
      <c r="D36" s="144">
        <f>-(('Utility Bills summary'!C12*Assumptions!$E$18)+('Utility Bills summary'!C25*Assumptions!$E$19))</f>
        <v>-110569.4713269185</v>
      </c>
      <c r="E36" s="144">
        <f>-(('Utility Bills summary'!D12*Assumptions!$E$18)+('Utility Bills summary'!D25*Assumptions!$E$19))</f>
        <v>-118736.92252942735</v>
      </c>
      <c r="F36" s="144">
        <f>-(('Utility Bills summary'!E12*Assumptions!$E$18)+('Utility Bills summary'!E25*Assumptions!$E$19))</f>
        <v>-135071.82493444509</v>
      </c>
      <c r="G36" s="270">
        <f>-(('Utility Bills summary'!F12*Assumptions!$E$18)+('Utility Bills summary'!F25*Assumptions!$E$19))</f>
        <v>-94234.568921900776</v>
      </c>
      <c r="H36" s="270">
        <f>-(('Utility Bills summary'!G12*Assumptions!$E$18)+('Utility Bills summary'!G25*Assumptions!$E$19))</f>
        <v>-94234.568921900776</v>
      </c>
      <c r="I36" s="270">
        <f>-(('Utility Bills summary'!H12*Assumptions!$E$18)+('Utility Bills summary'!H25*Assumptions!$E$19))</f>
        <v>-94234.568921900776</v>
      </c>
      <c r="J36" s="270">
        <f>-(('Utility Bills summary'!I12*Assumptions!$E$18)+('Utility Bills summary'!I25*Assumptions!$E$19))</f>
        <v>-94234.568921900776</v>
      </c>
      <c r="K36" s="270">
        <f>-(('Utility Bills summary'!J12*Assumptions!$E$18)+('Utility Bills summary'!J25*Assumptions!$E$19))</f>
        <v>-94234.568921900776</v>
      </c>
      <c r="L36" s="270">
        <f>-(('Utility Bills summary'!K12*Assumptions!$E$18)+('Utility Bills summary'!K25*Assumptions!$E$19))</f>
        <v>-94234.568921900776</v>
      </c>
      <c r="AI36" s="5"/>
      <c r="AJ36" s="5"/>
      <c r="AK36" s="5"/>
      <c r="AL36" s="5"/>
      <c r="AM36" s="5"/>
      <c r="AN36" s="5"/>
      <c r="AO36" s="5"/>
    </row>
    <row r="37" spans="1:41" ht="14.25" customHeight="1" x14ac:dyDescent="0.35">
      <c r="A37" s="151" t="s">
        <v>27</v>
      </c>
      <c r="B37" s="26" t="s">
        <v>25</v>
      </c>
      <c r="C37" s="154">
        <f>-(Assumptions!$E$22+Assumptions!$F$22)*Assumptions!$C$68*12</f>
        <v>-48000</v>
      </c>
      <c r="D37" s="154">
        <f>-(Assumptions!$E$22+Assumptions!$F$22)*Assumptions!$C$68*12</f>
        <v>-48000</v>
      </c>
      <c r="E37" s="154">
        <f>-(Assumptions!$E$22+Assumptions!$F$22)*Assumptions!$C$68*12</f>
        <v>-48000</v>
      </c>
      <c r="F37" s="154">
        <f>-(Assumptions!$E$22+Assumptions!$F$22)*Assumptions!$C$68*12</f>
        <v>-48000</v>
      </c>
      <c r="G37" s="273">
        <v>0</v>
      </c>
      <c r="H37" s="273">
        <v>0</v>
      </c>
      <c r="I37" s="273">
        <v>0</v>
      </c>
      <c r="J37" s="273">
        <v>0</v>
      </c>
      <c r="K37" s="273">
        <v>0</v>
      </c>
      <c r="L37" s="273">
        <v>0</v>
      </c>
      <c r="AI37" s="13"/>
      <c r="AJ37" s="5"/>
      <c r="AK37" s="5"/>
      <c r="AL37" s="5"/>
      <c r="AM37" s="5"/>
      <c r="AN37" s="5"/>
      <c r="AO37" s="5"/>
    </row>
    <row r="38" spans="1:41" s="221" customFormat="1" ht="14.25" customHeight="1" x14ac:dyDescent="0.35">
      <c r="A38" s="218" t="s">
        <v>28</v>
      </c>
      <c r="B38" s="224" t="s">
        <v>29</v>
      </c>
      <c r="C38" s="219">
        <f>-Assumptions!$C72*C14</f>
        <v>-14400</v>
      </c>
      <c r="D38" s="219">
        <f>-Assumptions!$C72*D14</f>
        <v>-14400</v>
      </c>
      <c r="E38" s="219">
        <f>-Assumptions!$C72*E14</f>
        <v>-14400</v>
      </c>
      <c r="F38" s="219">
        <f>-Assumptions!$C72*F14</f>
        <v>-14400</v>
      </c>
      <c r="G38" s="270">
        <f>-Assumptions!$C72*G14</f>
        <v>-14400</v>
      </c>
      <c r="H38" s="270">
        <f>-Assumptions!$C72*H14</f>
        <v>-14400</v>
      </c>
      <c r="I38" s="270">
        <f>-Assumptions!$C72*I14</f>
        <v>-14400</v>
      </c>
      <c r="J38" s="270">
        <f>-Assumptions!$C72*J14</f>
        <v>-14400</v>
      </c>
      <c r="K38" s="270">
        <f>-Assumptions!$C72*K14</f>
        <v>-14400</v>
      </c>
      <c r="L38" s="270">
        <f>-Assumptions!$C72*L14</f>
        <v>-14400</v>
      </c>
      <c r="M38" s="220"/>
      <c r="N38" s="220"/>
      <c r="AA38" s="220"/>
      <c r="AI38" s="222"/>
      <c r="AJ38" s="223"/>
      <c r="AK38" s="223"/>
      <c r="AL38" s="223"/>
      <c r="AM38" s="223"/>
      <c r="AN38" s="223"/>
      <c r="AO38" s="223"/>
    </row>
    <row r="39" spans="1:41" s="221" customFormat="1" ht="14.25" customHeight="1" x14ac:dyDescent="0.35">
      <c r="A39" s="218" t="s">
        <v>30</v>
      </c>
      <c r="B39" s="224" t="s">
        <v>29</v>
      </c>
      <c r="C39" s="219">
        <f>-Assumptions!$C73*C14</f>
        <v>-14400</v>
      </c>
      <c r="D39" s="219">
        <f>-Assumptions!$C73*D14</f>
        <v>-14400</v>
      </c>
      <c r="E39" s="219">
        <f>-Assumptions!$C73*E14</f>
        <v>-14400</v>
      </c>
      <c r="F39" s="219">
        <f>-Assumptions!$C73*F14</f>
        <v>-14400</v>
      </c>
      <c r="G39" s="270">
        <f>-Assumptions!$C73*G14</f>
        <v>-14400</v>
      </c>
      <c r="H39" s="270">
        <f>-Assumptions!$C73*H14</f>
        <v>-14400</v>
      </c>
      <c r="I39" s="270">
        <f>-Assumptions!$C73*I14</f>
        <v>-14400</v>
      </c>
      <c r="J39" s="270">
        <f>-Assumptions!$C73*J14</f>
        <v>-14400</v>
      </c>
      <c r="K39" s="270">
        <f>-Assumptions!$C73*K14</f>
        <v>-14400</v>
      </c>
      <c r="L39" s="270">
        <f>-Assumptions!$C73*L14</f>
        <v>-14400</v>
      </c>
      <c r="M39" s="220"/>
      <c r="N39" s="220"/>
      <c r="AA39" s="220"/>
      <c r="AI39" s="222"/>
      <c r="AJ39" s="223"/>
      <c r="AK39" s="223"/>
      <c r="AL39" s="223"/>
      <c r="AM39" s="223"/>
      <c r="AN39" s="223"/>
      <c r="AO39" s="223"/>
    </row>
    <row r="40" spans="1:41" s="221" customFormat="1" ht="14.5" x14ac:dyDescent="0.35">
      <c r="A40" s="299" t="s">
        <v>31</v>
      </c>
      <c r="B40" s="224" t="s">
        <v>25</v>
      </c>
      <c r="C40" s="219">
        <f>-Assumptions!$C$77*'Demo financial pro forma'!C14</f>
        <v>-184999.99999999997</v>
      </c>
      <c r="D40" s="219">
        <f>-Assumptions!$C$77*'Demo financial pro forma'!D14</f>
        <v>-184999.99999999997</v>
      </c>
      <c r="E40" s="219">
        <f>-Assumptions!$C$77*'Demo financial pro forma'!E14</f>
        <v>-184999.99999999997</v>
      </c>
      <c r="F40" s="219">
        <f>-Assumptions!$C$77*'Demo financial pro forma'!F14</f>
        <v>-184999.99999999997</v>
      </c>
      <c r="G40" s="219">
        <f>-Assumptions!$C$77*'Demo financial pro forma'!G14+-Assumptions!$C75*G14</f>
        <v>-209999.99999999997</v>
      </c>
      <c r="H40" s="219">
        <f>-Assumptions!$C$77*'Demo financial pro forma'!H14+-Assumptions!$C75*H14</f>
        <v>-209999.99999999997</v>
      </c>
      <c r="I40" s="219">
        <f>-Assumptions!$C$77*'Demo financial pro forma'!I14+-Assumptions!$C75*I14</f>
        <v>-209999.99999999997</v>
      </c>
      <c r="J40" s="219">
        <f>-Assumptions!$C$77*'Demo financial pro forma'!J14+-Assumptions!$C75*J14</f>
        <v>-209999.99999999997</v>
      </c>
      <c r="K40" s="219">
        <f>-Assumptions!$C$77*'Demo financial pro forma'!K14+-Assumptions!$C75*K14</f>
        <v>-209999.99999999997</v>
      </c>
      <c r="L40" s="219">
        <f>-Assumptions!$C$77*'Demo financial pro forma'!L14+-Assumptions!$C75*L14</f>
        <v>-209999.99999999997</v>
      </c>
      <c r="M40" s="220"/>
      <c r="N40" s="220"/>
      <c r="AA40" s="220"/>
      <c r="AI40" s="222"/>
      <c r="AJ40" s="223"/>
      <c r="AK40" s="223"/>
      <c r="AL40" s="223"/>
      <c r="AM40" s="223"/>
      <c r="AN40" s="223"/>
      <c r="AO40" s="223"/>
    </row>
    <row r="41" spans="1:41" s="221" customFormat="1" ht="14.5" x14ac:dyDescent="0.35">
      <c r="A41" s="299" t="s">
        <v>32</v>
      </c>
      <c r="B41" s="26" t="s">
        <v>25</v>
      </c>
      <c r="C41" s="219">
        <f>-Assumptions!$C$78*'Demo financial pro forma'!C14</f>
        <v>-100000</v>
      </c>
      <c r="D41" s="219">
        <f>-Assumptions!$C$78*'Demo financial pro forma'!D14</f>
        <v>-100000</v>
      </c>
      <c r="E41" s="219">
        <f>-Assumptions!$C$78*'Demo financial pro forma'!E14</f>
        <v>-100000</v>
      </c>
      <c r="F41" s="219">
        <f>-Assumptions!$C$78*'Demo financial pro forma'!F14</f>
        <v>-100000</v>
      </c>
      <c r="G41" s="219"/>
      <c r="H41" s="219"/>
      <c r="I41" s="219"/>
      <c r="J41" s="219"/>
      <c r="K41" s="219"/>
      <c r="L41" s="219"/>
      <c r="M41" s="220"/>
      <c r="N41" s="220"/>
      <c r="AA41" s="220"/>
      <c r="AI41" s="222"/>
      <c r="AJ41" s="223"/>
      <c r="AK41" s="223"/>
      <c r="AL41" s="223"/>
      <c r="AM41" s="223"/>
      <c r="AN41" s="223"/>
      <c r="AO41" s="223"/>
    </row>
    <row r="42" spans="1:41" ht="14.25" customHeight="1" x14ac:dyDescent="0.35">
      <c r="A42" s="151" t="s">
        <v>33</v>
      </c>
      <c r="B42" s="26" t="s">
        <v>25</v>
      </c>
      <c r="C42" s="153">
        <f>-(Assumptions!C82*Assumptions!C83)</f>
        <v>-100000</v>
      </c>
      <c r="D42" s="153">
        <f>-(Assumptions!C82*Assumptions!C84)</f>
        <v>-80000</v>
      </c>
      <c r="E42" s="153">
        <f>-Assumptions!$C82</f>
        <v>-40000</v>
      </c>
      <c r="F42" s="153">
        <f>-Assumptions!$C82</f>
        <v>-40000</v>
      </c>
      <c r="G42" s="278">
        <f>-Assumptions!$C82</f>
        <v>-40000</v>
      </c>
      <c r="H42" s="278">
        <f>-Assumptions!$C82</f>
        <v>-40000</v>
      </c>
      <c r="I42" s="278">
        <f>-Assumptions!$C82</f>
        <v>-40000</v>
      </c>
      <c r="J42" s="278">
        <f>-Assumptions!$C82</f>
        <v>-40000</v>
      </c>
      <c r="K42" s="278">
        <f>-Assumptions!$C82</f>
        <v>-40000</v>
      </c>
      <c r="L42" s="278">
        <f>-Assumptions!$C82</f>
        <v>-40000</v>
      </c>
      <c r="AA42" s="6"/>
      <c r="AE42" s="5"/>
      <c r="AF42" s="5"/>
      <c r="AG42" s="5"/>
      <c r="AH42" s="5"/>
      <c r="AI42" s="5"/>
      <c r="AJ42" s="5"/>
      <c r="AK42" s="5"/>
      <c r="AL42" s="5"/>
    </row>
    <row r="43" spans="1:41" ht="14.25" customHeight="1" x14ac:dyDescent="0.35">
      <c r="A43" s="26" t="s">
        <v>34</v>
      </c>
      <c r="B43" s="26"/>
      <c r="C43" s="144">
        <f t="shared" ref="C43:L43" si="5">+SUM(C35:C42)</f>
        <v>-988658.10997090733</v>
      </c>
      <c r="D43" s="144">
        <f t="shared" si="5"/>
        <v>-995202.32637906121</v>
      </c>
      <c r="E43" s="144">
        <f t="shared" si="5"/>
        <v>-983788.40558784222</v>
      </c>
      <c r="F43" s="144">
        <f t="shared" si="5"/>
        <v>-1020541.9359991321</v>
      </c>
      <c r="G43" s="270">
        <f t="shared" si="5"/>
        <v>-713774.28394268267</v>
      </c>
      <c r="H43" s="270">
        <f t="shared" si="5"/>
        <v>-713774.28394268267</v>
      </c>
      <c r="I43" s="270">
        <f t="shared" si="5"/>
        <v>-713774.28394268267</v>
      </c>
      <c r="J43" s="270">
        <f t="shared" si="5"/>
        <v>-713774.28394268267</v>
      </c>
      <c r="K43" s="270">
        <f t="shared" si="5"/>
        <v>-713774.28394268267</v>
      </c>
      <c r="L43" s="270">
        <f t="shared" si="5"/>
        <v>-713774.28394268267</v>
      </c>
      <c r="AA43" s="6"/>
      <c r="AE43" s="5"/>
      <c r="AF43" s="5"/>
      <c r="AG43" s="5"/>
      <c r="AH43" s="5"/>
      <c r="AI43" s="5"/>
      <c r="AJ43" s="5"/>
      <c r="AK43" s="5"/>
      <c r="AL43" s="5"/>
    </row>
    <row r="44" spans="1:41" ht="14.25" customHeight="1" x14ac:dyDescent="0.35">
      <c r="A44" s="26"/>
      <c r="B44" s="26"/>
      <c r="C44" s="144"/>
      <c r="D44" s="144"/>
      <c r="E44" s="144"/>
      <c r="F44" s="144"/>
      <c r="G44" s="270"/>
      <c r="H44" s="270"/>
      <c r="I44" s="270"/>
      <c r="J44" s="270"/>
      <c r="K44" s="270"/>
      <c r="L44" s="270"/>
      <c r="AF44" s="5"/>
      <c r="AG44" s="5"/>
      <c r="AH44" s="5"/>
      <c r="AI44" s="5"/>
      <c r="AJ44" s="5"/>
      <c r="AK44" s="5"/>
      <c r="AL44" s="5"/>
    </row>
    <row r="45" spans="1:41" ht="14.25" customHeight="1" x14ac:dyDescent="0.35">
      <c r="A45" s="29" t="s">
        <v>35</v>
      </c>
      <c r="B45" s="29"/>
      <c r="C45" s="155">
        <f>+C32+C43</f>
        <v>-821123.10997090733</v>
      </c>
      <c r="D45" s="155">
        <f t="shared" ref="D45:L45" si="6">+D32+D43</f>
        <v>-779268.32637906121</v>
      </c>
      <c r="E45" s="155">
        <f t="shared" si="6"/>
        <v>-715732.40558784222</v>
      </c>
      <c r="F45" s="155">
        <f t="shared" si="6"/>
        <v>-685471.93599913199</v>
      </c>
      <c r="G45" s="279">
        <f t="shared" si="6"/>
        <v>-713774.28394268267</v>
      </c>
      <c r="H45" s="279">
        <f t="shared" si="6"/>
        <v>-713774.28394268267</v>
      </c>
      <c r="I45" s="279">
        <f t="shared" si="6"/>
        <v>-713774.28394268267</v>
      </c>
      <c r="J45" s="279">
        <f t="shared" si="6"/>
        <v>-713774.28394268267</v>
      </c>
      <c r="K45" s="279">
        <f t="shared" si="6"/>
        <v>-713774.28394268267</v>
      </c>
      <c r="L45" s="279">
        <f t="shared" si="6"/>
        <v>-713774.28394268267</v>
      </c>
      <c r="AA45" s="6"/>
      <c r="AE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35">
      <c r="A46" s="26" t="s">
        <v>36</v>
      </c>
      <c r="B46" s="26"/>
      <c r="C46" s="154">
        <f ca="1">-Depreciation!D32</f>
        <v>-286834</v>
      </c>
      <c r="D46" s="154">
        <f ca="1">-Depreciation!E32</f>
        <v>-573668</v>
      </c>
      <c r="E46" s="154">
        <f ca="1">-Depreciation!F32</f>
        <v>-573668</v>
      </c>
      <c r="F46" s="154">
        <f ca="1">-Depreciation!G32</f>
        <v>-573668</v>
      </c>
      <c r="G46" s="273">
        <f ca="1">-Depreciation!H32</f>
        <v>-573668</v>
      </c>
      <c r="H46" s="273">
        <f ca="1">-Depreciation!I32</f>
        <v>-573668</v>
      </c>
      <c r="I46" s="273">
        <f ca="1">-Depreciation!J32</f>
        <v>-573668</v>
      </c>
      <c r="J46" s="273">
        <f ca="1">-Depreciation!K32</f>
        <v>-573668</v>
      </c>
      <c r="K46" s="273">
        <f ca="1">-Depreciation!L32</f>
        <v>-573668</v>
      </c>
      <c r="L46" s="273">
        <f ca="1">-Depreciation!M32</f>
        <v>-573668</v>
      </c>
      <c r="AB46" s="95"/>
      <c r="AC46" s="5"/>
      <c r="AE46" s="5"/>
      <c r="AF46" s="5"/>
      <c r="AO46" s="5"/>
    </row>
    <row r="47" spans="1:41" ht="14.25" customHeight="1" x14ac:dyDescent="0.35">
      <c r="A47" s="29" t="s">
        <v>37</v>
      </c>
      <c r="B47" s="29"/>
      <c r="C47" s="156">
        <f t="shared" ref="C47:L47" ca="1" si="7">+C45+C46</f>
        <v>-1107957.1099709072</v>
      </c>
      <c r="D47" s="156">
        <f t="shared" ca="1" si="7"/>
        <v>-1352936.3263790612</v>
      </c>
      <c r="E47" s="156">
        <f t="shared" ca="1" si="7"/>
        <v>-1289400.4055878422</v>
      </c>
      <c r="F47" s="156">
        <f t="shared" ca="1" si="7"/>
        <v>-1259139.935999132</v>
      </c>
      <c r="G47" s="280">
        <f t="shared" ca="1" si="7"/>
        <v>-1287442.2839426827</v>
      </c>
      <c r="H47" s="280">
        <f t="shared" ca="1" si="7"/>
        <v>-1287442.2839426827</v>
      </c>
      <c r="I47" s="280">
        <f t="shared" ca="1" si="7"/>
        <v>-1287442.2839426827</v>
      </c>
      <c r="J47" s="280">
        <f t="shared" ca="1" si="7"/>
        <v>-1287442.2839426827</v>
      </c>
      <c r="K47" s="280">
        <f t="shared" ca="1" si="7"/>
        <v>-1287442.2839426827</v>
      </c>
      <c r="L47" s="280">
        <f t="shared" ca="1" si="7"/>
        <v>-1287442.2839426827</v>
      </c>
      <c r="AB47" s="45"/>
      <c r="AE47" s="5"/>
      <c r="AF47" s="5"/>
      <c r="AG47" s="5"/>
      <c r="AO47" s="5"/>
    </row>
    <row r="48" spans="1:41" ht="14.25" customHeight="1" x14ac:dyDescent="0.35">
      <c r="A48" s="26" t="s">
        <v>38</v>
      </c>
      <c r="B48" s="26"/>
      <c r="C48" s="154">
        <f>'Summary Financials'!B20</f>
        <v>0</v>
      </c>
      <c r="D48" s="154">
        <f ca="1">'Summary Financials'!C20</f>
        <v>-177786.13542380399</v>
      </c>
      <c r="E48" s="154">
        <f ca="1">'Summary Financials'!D20</f>
        <v>-205399.97038693435</v>
      </c>
      <c r="F48" s="154">
        <f ca="1">'Summary Financials'!E20</f>
        <v>-231977.34756299201</v>
      </c>
      <c r="G48" s="273">
        <f ca="1">'Summary Financials'!F20</f>
        <v>-258448.456694653</v>
      </c>
      <c r="H48" s="273">
        <f ca="1">'Summary Financials'!G20</f>
        <v>-286499.94109689759</v>
      </c>
      <c r="I48" s="273">
        <f ca="1">'Summary Financials'!H20</f>
        <v>-315360.7932955111</v>
      </c>
      <c r="J48" s="273">
        <f ca="1">'Summary Financials'!I20</f>
        <v>-345054.36593096011</v>
      </c>
      <c r="K48" s="273">
        <f ca="1">'Summary Financials'!J20</f>
        <v>-375604.68543604534</v>
      </c>
      <c r="L48" s="273">
        <f ca="1">'Summary Financials'!K20</f>
        <v>-407036.4714767916</v>
      </c>
      <c r="AB48" s="45"/>
      <c r="AD48" s="5"/>
      <c r="AE48" s="5"/>
      <c r="AF48" s="5"/>
      <c r="AG48" s="5"/>
      <c r="AH48" s="5"/>
    </row>
    <row r="49" spans="1:41" ht="14.25" customHeight="1" x14ac:dyDescent="0.35">
      <c r="A49" s="26" t="s">
        <v>39</v>
      </c>
      <c r="B49" s="26"/>
      <c r="C49" s="157">
        <f t="shared" ref="C49:L49" ca="1" si="8">+C47+C48</f>
        <v>-1107957.1099709072</v>
      </c>
      <c r="D49" s="157">
        <f t="shared" ca="1" si="8"/>
        <v>-1530722.4618028651</v>
      </c>
      <c r="E49" s="157">
        <f t="shared" ca="1" si="8"/>
        <v>-1494800.3759747767</v>
      </c>
      <c r="F49" s="157">
        <f t="shared" ca="1" si="8"/>
        <v>-1491117.283562124</v>
      </c>
      <c r="G49" s="274">
        <f t="shared" ca="1" si="8"/>
        <v>-1545890.7406373357</v>
      </c>
      <c r="H49" s="274">
        <f t="shared" ca="1" si="8"/>
        <v>-1573942.2250395804</v>
      </c>
      <c r="I49" s="274">
        <f t="shared" ca="1" si="8"/>
        <v>-1602803.0772381937</v>
      </c>
      <c r="J49" s="274">
        <f t="shared" ca="1" si="8"/>
        <v>-1632496.6498736427</v>
      </c>
      <c r="K49" s="274">
        <f t="shared" ca="1" si="8"/>
        <v>-1663046.969378728</v>
      </c>
      <c r="L49" s="274">
        <f t="shared" ca="1" si="8"/>
        <v>-1694478.7554194743</v>
      </c>
      <c r="AB49" s="45"/>
      <c r="AC49" s="5"/>
      <c r="AD49" s="5"/>
      <c r="AF49" s="5"/>
      <c r="AG49" s="5"/>
      <c r="AH49" s="5"/>
    </row>
    <row r="50" spans="1:41" ht="14.25" customHeight="1" x14ac:dyDescent="0.35">
      <c r="A50" s="28"/>
      <c r="B50" s="28"/>
      <c r="C50" s="65"/>
      <c r="D50" s="65"/>
      <c r="E50" s="65"/>
      <c r="F50" s="65"/>
      <c r="G50" s="281"/>
      <c r="H50" s="281"/>
      <c r="I50" s="281"/>
      <c r="J50" s="281"/>
      <c r="K50" s="281"/>
      <c r="L50" s="281"/>
      <c r="AB50" s="45"/>
      <c r="AC50" s="5"/>
      <c r="AD50" s="5"/>
      <c r="AG50" s="5"/>
      <c r="AH50" s="5"/>
    </row>
    <row r="51" spans="1:41" ht="14.25" customHeight="1" x14ac:dyDescent="0.35">
      <c r="A51" s="26" t="s">
        <v>40</v>
      </c>
      <c r="B51" s="26"/>
      <c r="C51" s="144">
        <f ca="1">+'Summary Financials'!B25</f>
        <v>0</v>
      </c>
      <c r="D51" s="144">
        <f ca="1">+'Summary Financials'!C25</f>
        <v>0</v>
      </c>
      <c r="E51" s="144">
        <f ca="1">+'Summary Financials'!D25</f>
        <v>0</v>
      </c>
      <c r="F51" s="144">
        <f ca="1">+'Summary Financials'!E25</f>
        <v>0</v>
      </c>
      <c r="G51" s="270">
        <f ca="1">+'Summary Financials'!F25</f>
        <v>0</v>
      </c>
      <c r="H51" s="270">
        <f ca="1">+'Summary Financials'!G25</f>
        <v>0</v>
      </c>
      <c r="I51" s="270">
        <f ca="1">+'Summary Financials'!H25</f>
        <v>0</v>
      </c>
      <c r="J51" s="270">
        <f ca="1">+'Summary Financials'!I25</f>
        <v>0</v>
      </c>
      <c r="K51" s="270">
        <f ca="1">+'Summary Financials'!J25</f>
        <v>0</v>
      </c>
      <c r="L51" s="270">
        <f ca="1">+'Summary Financials'!K25</f>
        <v>0</v>
      </c>
      <c r="AC51" s="5"/>
      <c r="AD51" s="5"/>
      <c r="AE51" s="5"/>
      <c r="AG51" s="5"/>
      <c r="AH51" s="5"/>
    </row>
    <row r="52" spans="1:41" ht="14.25" customHeight="1" thickBot="1" x14ac:dyDescent="0.4">
      <c r="A52" s="28" t="s">
        <v>41</v>
      </c>
      <c r="B52" s="28"/>
      <c r="C52" s="163">
        <f ca="1">+C49-C51</f>
        <v>-1107957.1099709072</v>
      </c>
      <c r="D52" s="163">
        <f t="shared" ref="D52:L52" ca="1" si="9">+D49+D51</f>
        <v>-1530722.4618028651</v>
      </c>
      <c r="E52" s="163">
        <f t="shared" ca="1" si="9"/>
        <v>-1494800.3759747767</v>
      </c>
      <c r="F52" s="163">
        <f t="shared" ca="1" si="9"/>
        <v>-1491117.283562124</v>
      </c>
      <c r="G52" s="282">
        <f t="shared" ca="1" si="9"/>
        <v>-1545890.7406373357</v>
      </c>
      <c r="H52" s="282">
        <f t="shared" ca="1" si="9"/>
        <v>-1573942.2250395804</v>
      </c>
      <c r="I52" s="282">
        <f t="shared" ca="1" si="9"/>
        <v>-1602803.0772381937</v>
      </c>
      <c r="J52" s="282">
        <f t="shared" ca="1" si="9"/>
        <v>-1632496.6498736427</v>
      </c>
      <c r="K52" s="282">
        <f t="shared" ca="1" si="9"/>
        <v>-1663046.969378728</v>
      </c>
      <c r="L52" s="282">
        <f t="shared" ca="1" si="9"/>
        <v>-1694478.7554194743</v>
      </c>
      <c r="AC52" s="5"/>
      <c r="AF52" s="5"/>
      <c r="AG52" s="5"/>
      <c r="AH52" s="5"/>
    </row>
    <row r="53" spans="1:41" ht="14.25" customHeight="1" thickTop="1" x14ac:dyDescent="0.35">
      <c r="A53" s="39" t="s">
        <v>42</v>
      </c>
      <c r="B53" s="39"/>
      <c r="C53" s="175">
        <f ca="1">+C52</f>
        <v>-1107957.1099709072</v>
      </c>
      <c r="D53" s="175">
        <f ca="1">+C53+D52</f>
        <v>-2638679.5717737721</v>
      </c>
      <c r="E53" s="175">
        <f ca="1">+D53+E52</f>
        <v>-4133479.9477485488</v>
      </c>
      <c r="F53" s="175">
        <f ca="1">+E53+F52</f>
        <v>-5624597.2313106731</v>
      </c>
      <c r="G53" s="283"/>
      <c r="H53" s="283"/>
      <c r="I53" s="283"/>
      <c r="J53" s="283"/>
      <c r="K53" s="283"/>
      <c r="L53" s="283"/>
      <c r="AC53" s="5"/>
      <c r="AD53" s="5"/>
      <c r="AE53" s="5"/>
      <c r="AH53" s="5"/>
    </row>
    <row r="54" spans="1:41" ht="14.25" customHeight="1" x14ac:dyDescent="0.35">
      <c r="A54" s="6"/>
      <c r="B54" s="6"/>
      <c r="C54" s="176"/>
      <c r="D54" s="176"/>
      <c r="E54" s="176"/>
      <c r="F54" s="176"/>
      <c r="G54" s="284"/>
      <c r="H54" s="284"/>
      <c r="I54" s="284"/>
      <c r="J54" s="284"/>
      <c r="K54" s="284"/>
      <c r="L54" s="284"/>
      <c r="AD54" s="5"/>
      <c r="AE54" s="5"/>
      <c r="AF54" s="5"/>
      <c r="AG54" s="5"/>
      <c r="AO54" s="5"/>
    </row>
    <row r="55" spans="1:41" ht="14.25" hidden="1" customHeight="1" x14ac:dyDescent="0.35">
      <c r="A55" s="127" t="s">
        <v>43</v>
      </c>
      <c r="B55" s="127"/>
      <c r="C55" s="128"/>
      <c r="D55" s="128"/>
      <c r="E55" s="128"/>
      <c r="F55" s="128"/>
      <c r="G55" s="285"/>
      <c r="H55" s="285"/>
      <c r="I55" s="285"/>
      <c r="J55" s="285"/>
      <c r="K55" s="285"/>
      <c r="L55" s="28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35">
      <c r="A56" s="24"/>
      <c r="B56" s="24"/>
      <c r="C56" s="30"/>
      <c r="D56" s="30"/>
      <c r="E56" s="30"/>
      <c r="F56" s="30"/>
      <c r="G56" s="286"/>
      <c r="H56" s="286"/>
      <c r="I56" s="286"/>
      <c r="J56" s="286"/>
      <c r="K56" s="286"/>
      <c r="L56" s="286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35">
      <c r="A57" s="24" t="s">
        <v>44</v>
      </c>
      <c r="B57" s="24"/>
      <c r="C57" s="212">
        <f>+Assumptions!C60+Assumptions!C44*Assumptions!C48+Assumptions!D44*Assumptions!D48</f>
        <v>5124680</v>
      </c>
      <c r="D57" s="212">
        <v>0</v>
      </c>
      <c r="E57" s="212">
        <v>0</v>
      </c>
      <c r="F57" s="212">
        <v>0</v>
      </c>
      <c r="G57" s="287">
        <v>0</v>
      </c>
      <c r="H57" s="287">
        <v>0</v>
      </c>
      <c r="I57" s="287">
        <v>0</v>
      </c>
      <c r="J57" s="287">
        <v>0</v>
      </c>
      <c r="K57" s="287">
        <v>0</v>
      </c>
      <c r="L57" s="287">
        <v>0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35">
      <c r="A58" s="24" t="s">
        <v>45</v>
      </c>
      <c r="B58" s="24"/>
      <c r="C58" s="212">
        <f>+Assumptions!C44*(Assumptions!C45)</f>
        <v>396000</v>
      </c>
      <c r="D58" s="212"/>
      <c r="E58" s="212"/>
      <c r="F58" s="212"/>
      <c r="G58" s="287"/>
      <c r="H58" s="287"/>
      <c r="I58" s="287"/>
      <c r="J58" s="287"/>
      <c r="K58" s="287"/>
      <c r="L58" s="287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35">
      <c r="A59" s="24" t="s">
        <v>46</v>
      </c>
      <c r="B59" s="24"/>
      <c r="C59" s="158">
        <f>+Assumptions!D44*(Assumptions!D45)</f>
        <v>216000</v>
      </c>
      <c r="D59" s="158">
        <f>(Assumptions!$C$45*D9)+(Assumptions!$D$45*(D12+D13-D9))</f>
        <v>0</v>
      </c>
      <c r="E59" s="158">
        <f>(Assumptions!$C$45*E9)+(Assumptions!$D$45*(E12+E13-E9))</f>
        <v>0</v>
      </c>
      <c r="F59" s="158">
        <f>(Assumptions!$C$45*F9)+(Assumptions!$D$45*(F12+F13-F9))</f>
        <v>0</v>
      </c>
      <c r="G59" s="287">
        <f>(Assumptions!$C$45*G9)+(Assumptions!$D$45*(G12+G13-G9))</f>
        <v>0</v>
      </c>
      <c r="H59" s="287">
        <f>(Assumptions!$C$45*H9)+(Assumptions!$D$45*(H12+H13-H9))</f>
        <v>0</v>
      </c>
      <c r="I59" s="287">
        <f>(Assumptions!$C$45*I9)+(Assumptions!$D$45*(I12+I13-I9))</f>
        <v>0</v>
      </c>
      <c r="J59" s="287">
        <f>(Assumptions!$C$45*J9)+(Assumptions!$D$45*(J12+J13-J9))</f>
        <v>0</v>
      </c>
      <c r="K59" s="287">
        <f>(Assumptions!$C$45*K9)+(Assumptions!$D$45*(K12+K13-K9))</f>
        <v>0</v>
      </c>
      <c r="L59" s="287">
        <f>(Assumptions!$C$45*L9)+(Assumptions!$D$45*(L12+L13-L9))</f>
        <v>0</v>
      </c>
      <c r="O59" s="184"/>
      <c r="P59" s="133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35">
      <c r="A60" s="239" t="s">
        <v>47</v>
      </c>
      <c r="C60" s="158">
        <f>+-(Assumptions!C62*'Demo financial pro forma'!C12)</f>
        <v>0</v>
      </c>
      <c r="D60" s="158"/>
      <c r="E60" s="158"/>
      <c r="F60" s="158"/>
      <c r="G60" s="103"/>
      <c r="H60" s="103"/>
      <c r="I60" s="103"/>
      <c r="J60" s="103"/>
      <c r="K60" s="103"/>
      <c r="L60" s="103"/>
      <c r="M60" s="258"/>
      <c r="O60">
        <v>5700000</v>
      </c>
      <c r="AB60" s="4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35">
      <c r="A61" s="67" t="s">
        <v>48</v>
      </c>
      <c r="B61" s="67"/>
      <c r="C61" s="159">
        <f>SUM(C57:C60)</f>
        <v>5736680</v>
      </c>
      <c r="D61" s="159">
        <f t="shared" ref="D61:L61" si="10">SUM(D57:D59)</f>
        <v>0</v>
      </c>
      <c r="E61" s="159">
        <f t="shared" si="10"/>
        <v>0</v>
      </c>
      <c r="F61" s="159">
        <f t="shared" si="10"/>
        <v>0</v>
      </c>
      <c r="G61" s="288">
        <f t="shared" si="10"/>
        <v>0</v>
      </c>
      <c r="H61" s="288">
        <f t="shared" si="10"/>
        <v>0</v>
      </c>
      <c r="I61" s="288">
        <f t="shared" si="10"/>
        <v>0</v>
      </c>
      <c r="J61" s="288">
        <f t="shared" si="10"/>
        <v>0</v>
      </c>
      <c r="K61" s="288">
        <f t="shared" si="10"/>
        <v>0</v>
      </c>
      <c r="L61" s="288">
        <f t="shared" si="10"/>
        <v>0</v>
      </c>
      <c r="O61" s="87">
        <v>60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35">
      <c r="A62" s="24" t="s">
        <v>49</v>
      </c>
      <c r="B62" s="24"/>
      <c r="C62" s="160">
        <f t="shared" ref="C62:L62" si="11">+C61</f>
        <v>5736680</v>
      </c>
      <c r="D62" s="160">
        <f t="shared" si="11"/>
        <v>0</v>
      </c>
      <c r="E62" s="160">
        <f t="shared" si="11"/>
        <v>0</v>
      </c>
      <c r="F62" s="160">
        <f t="shared" si="11"/>
        <v>0</v>
      </c>
      <c r="G62" s="289">
        <f t="shared" si="11"/>
        <v>0</v>
      </c>
      <c r="H62" s="289">
        <f t="shared" si="11"/>
        <v>0</v>
      </c>
      <c r="I62" s="289">
        <f t="shared" si="11"/>
        <v>0</v>
      </c>
      <c r="J62" s="289">
        <f t="shared" si="11"/>
        <v>0</v>
      </c>
      <c r="K62" s="289">
        <f t="shared" si="11"/>
        <v>0</v>
      </c>
      <c r="L62" s="289">
        <f t="shared" si="11"/>
        <v>0</v>
      </c>
      <c r="O62" s="85">
        <f>+O60/O61</f>
        <v>95000</v>
      </c>
      <c r="P62" s="133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35">
      <c r="A63" s="24"/>
      <c r="B63" s="24"/>
      <c r="C63" s="161"/>
      <c r="D63" s="161"/>
      <c r="E63" s="161"/>
      <c r="F63" s="161"/>
      <c r="G63" s="290"/>
      <c r="H63" s="290"/>
      <c r="I63" s="290"/>
      <c r="J63" s="290"/>
      <c r="K63" s="290"/>
      <c r="L63" s="290"/>
      <c r="O63" s="9"/>
      <c r="P63" s="184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35">
      <c r="A64" s="24" t="s">
        <v>50</v>
      </c>
      <c r="B64" s="24"/>
      <c r="C64" s="158">
        <f>+C61</f>
        <v>5736680</v>
      </c>
      <c r="D64" s="158">
        <f t="shared" ref="D64:L64" si="12">C64+D61</f>
        <v>5736680</v>
      </c>
      <c r="E64" s="158">
        <f t="shared" si="12"/>
        <v>5736680</v>
      </c>
      <c r="F64" s="158">
        <f t="shared" si="12"/>
        <v>5736680</v>
      </c>
      <c r="G64" s="287">
        <f t="shared" si="12"/>
        <v>5736680</v>
      </c>
      <c r="H64" s="287">
        <f t="shared" si="12"/>
        <v>5736680</v>
      </c>
      <c r="I64" s="287">
        <f t="shared" si="12"/>
        <v>5736680</v>
      </c>
      <c r="J64" s="287">
        <f t="shared" si="12"/>
        <v>5736680</v>
      </c>
      <c r="K64" s="287">
        <f t="shared" si="12"/>
        <v>5736680</v>
      </c>
      <c r="L64" s="287">
        <f t="shared" si="12"/>
        <v>5736680</v>
      </c>
      <c r="P64" s="307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35">
      <c r="A65" s="24" t="s">
        <v>51</v>
      </c>
      <c r="B65" s="24"/>
      <c r="C65" s="158">
        <f ca="1">C46</f>
        <v>-286834</v>
      </c>
      <c r="D65" s="158">
        <f t="shared" ref="D65:L65" ca="1" si="13">C65+D46</f>
        <v>-860502</v>
      </c>
      <c r="E65" s="158">
        <f t="shared" ca="1" si="13"/>
        <v>-1434170</v>
      </c>
      <c r="F65" s="158">
        <f t="shared" ca="1" si="13"/>
        <v>-2007838</v>
      </c>
      <c r="G65" s="287">
        <f t="shared" ca="1" si="13"/>
        <v>-2581506</v>
      </c>
      <c r="H65" s="287">
        <f t="shared" ca="1" si="13"/>
        <v>-3155174</v>
      </c>
      <c r="I65" s="287">
        <f t="shared" ca="1" si="13"/>
        <v>-3728842</v>
      </c>
      <c r="J65" s="287">
        <f t="shared" ca="1" si="13"/>
        <v>-4302510</v>
      </c>
      <c r="K65" s="287">
        <f t="shared" ca="1" si="13"/>
        <v>-4876178</v>
      </c>
      <c r="L65" s="287">
        <f t="shared" ca="1" si="13"/>
        <v>-5449846</v>
      </c>
      <c r="P65" s="133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35">
      <c r="A66" s="24" t="s">
        <v>52</v>
      </c>
      <c r="B66" s="24"/>
      <c r="C66" s="162">
        <f t="shared" ref="C66:L66" ca="1" si="14">SUM(C64:C65)</f>
        <v>5449846</v>
      </c>
      <c r="D66" s="162">
        <f t="shared" ca="1" si="14"/>
        <v>4876178</v>
      </c>
      <c r="E66" s="162">
        <f t="shared" ca="1" si="14"/>
        <v>4302510</v>
      </c>
      <c r="F66" s="162">
        <f t="shared" ca="1" si="14"/>
        <v>3728842</v>
      </c>
      <c r="G66" s="291">
        <f t="shared" ca="1" si="14"/>
        <v>3155174</v>
      </c>
      <c r="H66" s="291">
        <f t="shared" ca="1" si="14"/>
        <v>2581506</v>
      </c>
      <c r="I66" s="291">
        <f t="shared" ca="1" si="14"/>
        <v>2007838</v>
      </c>
      <c r="J66" s="291">
        <f t="shared" ca="1" si="14"/>
        <v>1434170</v>
      </c>
      <c r="K66" s="291">
        <f t="shared" ca="1" si="14"/>
        <v>860502</v>
      </c>
      <c r="L66" s="291">
        <f t="shared" ca="1" si="14"/>
        <v>286834</v>
      </c>
      <c r="O66" s="9"/>
      <c r="P66" s="184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35">
      <c r="A67" s="24"/>
      <c r="B67" s="24"/>
      <c r="C67" s="30"/>
      <c r="D67" s="30"/>
      <c r="E67" s="30"/>
      <c r="F67" s="30"/>
      <c r="G67" s="286"/>
      <c r="H67" s="286"/>
      <c r="I67" s="286"/>
      <c r="J67" s="286"/>
      <c r="K67" s="286"/>
      <c r="L67" s="286"/>
      <c r="P67" s="133"/>
      <c r="AB67" s="4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35">
      <c r="A68" s="127" t="s">
        <v>53</v>
      </c>
      <c r="B68" s="127"/>
      <c r="C68" s="128"/>
      <c r="D68" s="128"/>
      <c r="E68" s="128"/>
      <c r="F68" s="128"/>
      <c r="G68" s="285"/>
      <c r="H68" s="285"/>
      <c r="I68" s="285"/>
      <c r="J68" s="285"/>
      <c r="K68" s="285"/>
      <c r="L68" s="285"/>
      <c r="AB68" s="4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35">
      <c r="A69" s="308" t="s">
        <v>4</v>
      </c>
      <c r="B69" s="24"/>
      <c r="C69" s="158"/>
      <c r="D69" s="158"/>
      <c r="E69" s="158"/>
      <c r="F69" s="158"/>
      <c r="G69" s="103"/>
      <c r="H69" s="103"/>
      <c r="I69" s="103"/>
      <c r="J69" s="103"/>
      <c r="K69" s="103"/>
      <c r="L69" s="103"/>
      <c r="M69" s="30"/>
      <c r="P69" s="307"/>
      <c r="AB69" s="4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35">
      <c r="A70" s="24" t="s">
        <v>54</v>
      </c>
      <c r="B70" s="24"/>
      <c r="C70" s="257">
        <f>(C25+C29)++((C24+C28)*Assumptions!$C$39)</f>
        <v>93075</v>
      </c>
      <c r="D70" s="257">
        <f>(D25+D29)++((D24+D28)*Assumptions!$C$39)</f>
        <v>122859.00000000001</v>
      </c>
      <c r="E70" s="257">
        <f>(E25+E29)++((E24+E28)*Assumptions!$C$39)</f>
        <v>156366</v>
      </c>
      <c r="F70" s="257">
        <f>(F25+F29)++((F24+F28)*Assumptions!$C$39)</f>
        <v>204765.00000000006</v>
      </c>
      <c r="G70" s="103"/>
      <c r="H70" s="103"/>
      <c r="I70" s="103"/>
      <c r="J70" s="103"/>
      <c r="K70" s="103"/>
      <c r="L70" s="103"/>
      <c r="M70" s="258">
        <f>SUM(C70:F70)/SUM($C$72:$F$72)</f>
        <v>0.58490566037735847</v>
      </c>
      <c r="AB70" s="4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35">
      <c r="A71" s="24" t="s">
        <v>55</v>
      </c>
      <c r="B71" s="24"/>
      <c r="C71" s="171">
        <f>+((C24+C28)*Assumptions!$C$39)</f>
        <v>74460</v>
      </c>
      <c r="D71" s="171">
        <f>+((D24+D28)*Assumptions!$C$39)</f>
        <v>93075.000000000015</v>
      </c>
      <c r="E71" s="171">
        <f>+((E24+E28)*Assumptions!$C$39)</f>
        <v>111690</v>
      </c>
      <c r="F71" s="171">
        <f>+((F24+F28)*Assumptions!$C$39)</f>
        <v>130305.00000000003</v>
      </c>
      <c r="G71" s="103"/>
      <c r="H71" s="103"/>
      <c r="I71" s="103"/>
      <c r="J71" s="103"/>
      <c r="K71" s="103"/>
      <c r="L71" s="103"/>
      <c r="M71" s="258">
        <f>SUM(C71:F71)/SUM($C$72:$F$72)</f>
        <v>0.41509433962264147</v>
      </c>
      <c r="AB71" s="4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s="152" customFormat="1" ht="14.25" customHeight="1" x14ac:dyDescent="0.35">
      <c r="A72" s="178" t="s">
        <v>56</v>
      </c>
      <c r="B72" s="178"/>
      <c r="C72" s="179">
        <f>+SUM(C70:C71)</f>
        <v>167535</v>
      </c>
      <c r="D72" s="179">
        <f t="shared" ref="D72:F72" si="15">+SUM(D70:D71)</f>
        <v>215934.00000000003</v>
      </c>
      <c r="E72" s="179">
        <f t="shared" si="15"/>
        <v>268056</v>
      </c>
      <c r="F72" s="179">
        <f t="shared" si="15"/>
        <v>335070.00000000012</v>
      </c>
      <c r="G72" s="103"/>
      <c r="H72" s="103"/>
      <c r="I72" s="103"/>
      <c r="J72" s="103"/>
      <c r="K72" s="103"/>
      <c r="L72" s="103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AA72" s="64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</row>
    <row r="73" spans="1:41" ht="14.25" customHeight="1" x14ac:dyDescent="0.35">
      <c r="A73" s="24"/>
      <c r="B73" s="24"/>
      <c r="C73" s="158"/>
      <c r="D73" s="158"/>
      <c r="E73" s="158"/>
      <c r="F73" s="158"/>
      <c r="G73" s="103"/>
      <c r="H73" s="103"/>
      <c r="I73" s="103"/>
      <c r="J73" s="103"/>
      <c r="K73" s="103"/>
      <c r="L73" s="103"/>
      <c r="M73" s="30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35">
      <c r="A74" s="24" t="s">
        <v>57</v>
      </c>
      <c r="B74" s="24" t="s">
        <v>25</v>
      </c>
      <c r="C74" s="158">
        <f t="shared" ref="C74:F75" si="16">+SUMIF($B$35:$B$42,$B74,C$35:C$42)</f>
        <v>-959858.10997090733</v>
      </c>
      <c r="D74" s="158">
        <f t="shared" si="16"/>
        <v>-966402.32637906121</v>
      </c>
      <c r="E74" s="158">
        <f t="shared" si="16"/>
        <v>-954988.40558784222</v>
      </c>
      <c r="F74" s="158">
        <f t="shared" si="16"/>
        <v>-991741.93599913211</v>
      </c>
      <c r="G74" s="103"/>
      <c r="H74" s="103"/>
      <c r="I74" s="103"/>
      <c r="J74" s="103"/>
      <c r="K74" s="103"/>
      <c r="L74" s="103"/>
      <c r="M74" s="258">
        <f>SUM(C74:F74)/SUM($C$76:$F$76)</f>
        <v>0.97111472183394598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35">
      <c r="A75" s="24" t="s">
        <v>58</v>
      </c>
      <c r="B75" s="24" t="s">
        <v>29</v>
      </c>
      <c r="C75" s="171">
        <f t="shared" si="16"/>
        <v>-28800</v>
      </c>
      <c r="D75" s="171">
        <f t="shared" si="16"/>
        <v>-28800</v>
      </c>
      <c r="E75" s="171">
        <f t="shared" si="16"/>
        <v>-28800</v>
      </c>
      <c r="F75" s="171">
        <f t="shared" si="16"/>
        <v>-28800</v>
      </c>
      <c r="G75" s="103"/>
      <c r="H75" s="103"/>
      <c r="I75" s="103"/>
      <c r="J75" s="103"/>
      <c r="K75" s="103"/>
      <c r="L75" s="103"/>
      <c r="M75" s="258">
        <f>SUM(C75:F75)/SUM($C$76:$F$76)</f>
        <v>2.8885278166054029E-2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s="152" customFormat="1" ht="14.25" customHeight="1" x14ac:dyDescent="0.35">
      <c r="A76" s="178" t="s">
        <v>59</v>
      </c>
      <c r="B76" s="178"/>
      <c r="C76" s="179">
        <f>+C74+C75</f>
        <v>-988658.10997090733</v>
      </c>
      <c r="D76" s="179">
        <f>+D74+D75</f>
        <v>-995202.32637906121</v>
      </c>
      <c r="E76" s="179">
        <f>+E74+E75</f>
        <v>-983788.40558784222</v>
      </c>
      <c r="F76" s="179">
        <f>+F74+F75</f>
        <v>-1020541.9359991321</v>
      </c>
      <c r="G76" s="103"/>
      <c r="H76" s="103"/>
      <c r="I76" s="103"/>
      <c r="J76" s="103"/>
      <c r="K76" s="103"/>
      <c r="L76" s="103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AA76" s="64"/>
      <c r="AD76" s="180"/>
      <c r="AE76" s="180"/>
      <c r="AF76" s="180"/>
      <c r="AG76" s="180"/>
      <c r="AH76" s="180"/>
      <c r="AI76" s="180"/>
      <c r="AJ76" s="180"/>
      <c r="AK76" s="180"/>
      <c r="AL76" s="180"/>
      <c r="AM76" s="180"/>
      <c r="AN76" s="180"/>
      <c r="AO76" s="180"/>
    </row>
    <row r="77" spans="1:41" ht="14.25" customHeight="1" x14ac:dyDescent="0.35">
      <c r="A77" s="24"/>
      <c r="B77" s="24"/>
      <c r="C77" s="158"/>
      <c r="D77" s="158"/>
      <c r="E77" s="158"/>
      <c r="F77" s="158"/>
      <c r="G77" s="103"/>
      <c r="H77" s="103"/>
      <c r="I77" s="103"/>
      <c r="J77" s="103"/>
      <c r="K77" s="103"/>
      <c r="L77" s="103"/>
      <c r="M77" s="30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35">
      <c r="A78" s="24" t="s">
        <v>60</v>
      </c>
      <c r="C78" s="158">
        <f>+C57</f>
        <v>5124680</v>
      </c>
      <c r="D78" s="158">
        <f>+D57</f>
        <v>0</v>
      </c>
      <c r="E78" s="158">
        <f>+E57</f>
        <v>0</v>
      </c>
      <c r="F78" s="158">
        <f>+F57</f>
        <v>0</v>
      </c>
      <c r="G78" s="103"/>
      <c r="H78" s="103"/>
      <c r="I78" s="103"/>
      <c r="J78" s="103"/>
      <c r="K78" s="103"/>
      <c r="L78" s="103"/>
      <c r="M78" s="258">
        <f>+C78/$C$81</f>
        <v>0.89331808641932264</v>
      </c>
      <c r="AB78" s="4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35">
      <c r="A79" s="239" t="s">
        <v>47</v>
      </c>
      <c r="C79" s="158">
        <f>+-(Assumptions!C62*'Demo financial pro forma'!C12)</f>
        <v>0</v>
      </c>
      <c r="D79" s="158"/>
      <c r="E79" s="158"/>
      <c r="F79" s="158"/>
      <c r="G79" s="103"/>
      <c r="H79" s="103"/>
      <c r="I79" s="103"/>
      <c r="J79" s="103"/>
      <c r="K79" s="103"/>
      <c r="L79" s="103"/>
      <c r="M79" s="258"/>
      <c r="AB79" s="4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35">
      <c r="A80" s="24" t="s">
        <v>61</v>
      </c>
      <c r="C80" s="171">
        <f>+C58+C59</f>
        <v>612000</v>
      </c>
      <c r="D80" s="171">
        <f>+D58+D59</f>
        <v>0</v>
      </c>
      <c r="E80" s="171">
        <f>+E58+E59</f>
        <v>0</v>
      </c>
      <c r="F80" s="171">
        <f>+F58+F59</f>
        <v>0</v>
      </c>
      <c r="G80" s="103"/>
      <c r="H80" s="103"/>
      <c r="I80" s="103"/>
      <c r="J80" s="103"/>
      <c r="K80" s="103"/>
      <c r="L80" s="103"/>
      <c r="M80" s="258">
        <f>+C80/$C$81</f>
        <v>0.10668191358067733</v>
      </c>
      <c r="AB80" s="4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s="152" customFormat="1" ht="14.25" customHeight="1" x14ac:dyDescent="0.35">
      <c r="A81" s="178" t="s">
        <v>48</v>
      </c>
      <c r="B81" s="178"/>
      <c r="C81" s="179">
        <f>C62</f>
        <v>5736680</v>
      </c>
      <c r="D81" s="179">
        <f>+D62</f>
        <v>0</v>
      </c>
      <c r="E81" s="179">
        <f>+E62</f>
        <v>0</v>
      </c>
      <c r="F81" s="179">
        <f>+F62</f>
        <v>0</v>
      </c>
      <c r="G81" s="103"/>
      <c r="H81" s="103"/>
      <c r="I81" s="103"/>
      <c r="J81" s="103"/>
      <c r="K81" s="103"/>
      <c r="L81" s="103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AA81" s="64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</row>
    <row r="82" spans="1:41" ht="14.25" customHeight="1" x14ac:dyDescent="0.35">
      <c r="A82" s="24"/>
      <c r="B82" s="24"/>
      <c r="C82" s="158"/>
      <c r="D82" s="158"/>
      <c r="E82" s="158"/>
      <c r="F82" s="158"/>
      <c r="G82" s="103"/>
      <c r="H82" s="103"/>
      <c r="I82" s="103"/>
      <c r="J82" s="103"/>
      <c r="K82" s="103"/>
      <c r="L82" s="103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35">
      <c r="A83" s="24" t="s">
        <v>62</v>
      </c>
      <c r="B83" s="24"/>
      <c r="C83" s="171">
        <f>+C70+C74-C78-C79</f>
        <v>-5991463.1099709077</v>
      </c>
      <c r="D83" s="171">
        <f>+D70+D74-D78</f>
        <v>-843543.32637906121</v>
      </c>
      <c r="E83" s="171">
        <f>+E70+E74-E78</f>
        <v>-798622.40558784222</v>
      </c>
      <c r="F83" s="171">
        <f>+F70+F74-F78</f>
        <v>-786976.93599913199</v>
      </c>
      <c r="G83" s="103"/>
      <c r="H83" s="103"/>
      <c r="I83" s="103"/>
      <c r="J83" s="103"/>
      <c r="K83" s="103"/>
      <c r="L83" s="103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35">
      <c r="A84" s="178"/>
      <c r="B84" s="24"/>
      <c r="C84" s="158"/>
      <c r="D84" s="158"/>
      <c r="E84" s="159" t="s">
        <v>63</v>
      </c>
      <c r="F84" s="225">
        <f>+SUM(C83:F83)</f>
        <v>-8420605.7779369447</v>
      </c>
      <c r="G84" s="103"/>
      <c r="H84" s="103"/>
      <c r="I84" s="103"/>
      <c r="J84" s="103"/>
      <c r="K84" s="103"/>
      <c r="L84" s="103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35">
      <c r="A85" s="24"/>
      <c r="B85" s="24"/>
      <c r="C85" s="158"/>
      <c r="D85" s="158"/>
      <c r="E85" s="158"/>
      <c r="F85" s="158"/>
      <c r="G85" s="103"/>
      <c r="H85" s="103"/>
      <c r="I85" s="103"/>
      <c r="J85" s="103"/>
      <c r="K85" s="103"/>
      <c r="L85" s="103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35">
      <c r="C86" s="30" t="s">
        <v>15</v>
      </c>
      <c r="D86" s="30" t="s">
        <v>23</v>
      </c>
      <c r="E86" s="30"/>
      <c r="F86" s="30"/>
      <c r="G86" s="286"/>
      <c r="H86" s="286"/>
      <c r="I86" s="286"/>
      <c r="J86" s="286"/>
      <c r="K86" s="286"/>
      <c r="L86" s="286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35">
      <c r="A87" s="24" t="s">
        <v>64</v>
      </c>
      <c r="B87" s="24"/>
      <c r="C87" s="217">
        <f>+SUM(C70:F70)</f>
        <v>577065</v>
      </c>
      <c r="D87" s="217">
        <f>+SUM(C78:F78)-SUM(C74:F74)</f>
        <v>8997670.7779369429</v>
      </c>
      <c r="E87" s="216">
        <f>+D87/$D$89</f>
        <v>0.92522265677300142</v>
      </c>
      <c r="F87" s="30"/>
      <c r="G87" s="286"/>
      <c r="H87" s="286"/>
      <c r="I87" s="286"/>
      <c r="J87" s="286"/>
      <c r="K87" s="286"/>
      <c r="L87" s="286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35">
      <c r="A88" s="24" t="s">
        <v>65</v>
      </c>
      <c r="B88" s="24"/>
      <c r="C88" s="217">
        <f>+SUM(C71:F71)</f>
        <v>409530</v>
      </c>
      <c r="D88" s="217">
        <f>+SUM(C80:F80)-SUM(C75:F75)</f>
        <v>727200</v>
      </c>
      <c r="E88" s="216">
        <f>+D88/$D$89</f>
        <v>7.4777343226998638E-2</v>
      </c>
      <c r="F88" s="30"/>
      <c r="G88" s="286"/>
      <c r="H88" s="286"/>
      <c r="I88" s="286"/>
      <c r="J88" s="286"/>
      <c r="K88" s="286"/>
      <c r="L88" s="286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35">
      <c r="A89" s="24" t="s">
        <v>66</v>
      </c>
      <c r="B89" s="24"/>
      <c r="C89" s="158">
        <f>+SUM(C87:C88)</f>
        <v>986595</v>
      </c>
      <c r="D89" s="158">
        <f>+SUM(D87:D88)</f>
        <v>9724870.7779369429</v>
      </c>
      <c r="E89" s="30"/>
      <c r="F89" s="30"/>
      <c r="G89" s="286"/>
      <c r="H89" s="286"/>
      <c r="I89" s="286"/>
      <c r="J89" s="286"/>
      <c r="K89" s="286"/>
      <c r="L89" s="286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35">
      <c r="A90" s="24"/>
      <c r="B90" s="24"/>
      <c r="C90" s="30"/>
      <c r="D90" s="30"/>
      <c r="E90" s="30"/>
      <c r="F90" s="30"/>
      <c r="G90" s="286"/>
      <c r="H90" s="286"/>
      <c r="I90" s="286"/>
      <c r="J90" s="286"/>
      <c r="K90" s="286"/>
      <c r="L90" s="286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35">
      <c r="A91" s="24"/>
      <c r="B91" s="24"/>
      <c r="C91" s="30"/>
      <c r="D91" s="30"/>
      <c r="E91" s="30"/>
      <c r="F91" s="30"/>
      <c r="G91" s="286"/>
      <c r="H91" s="286"/>
      <c r="I91" s="286"/>
      <c r="J91" s="286"/>
      <c r="K91" s="286"/>
      <c r="L91" s="286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35">
      <c r="A92" s="24"/>
      <c r="B92" s="24"/>
      <c r="C92" s="30"/>
      <c r="D92" s="30"/>
      <c r="E92" s="30"/>
      <c r="F92" s="30"/>
      <c r="G92" s="286"/>
      <c r="H92" s="286"/>
      <c r="I92" s="286"/>
      <c r="J92" s="286"/>
      <c r="K92" s="286"/>
      <c r="L92" s="286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35">
      <c r="A93" s="24" t="s">
        <v>67</v>
      </c>
      <c r="B93" s="24"/>
      <c r="C93" s="171">
        <f>+C71+C75-C80</f>
        <v>-566340</v>
      </c>
      <c r="D93" s="171">
        <f>+D71+D75-D80</f>
        <v>64275.000000000015</v>
      </c>
      <c r="E93" s="171">
        <f>+E71+E75-E80</f>
        <v>82890</v>
      </c>
      <c r="F93" s="171">
        <f>+F71+F75-F80</f>
        <v>101505.00000000003</v>
      </c>
      <c r="G93" s="286"/>
      <c r="H93" s="286"/>
      <c r="I93" s="286"/>
      <c r="J93" s="286"/>
      <c r="K93" s="286"/>
      <c r="L93" s="286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35">
      <c r="A94" s="178"/>
      <c r="B94" s="24"/>
      <c r="C94" s="158"/>
      <c r="D94" s="158"/>
      <c r="E94" s="159" t="s">
        <v>63</v>
      </c>
      <c r="F94" s="225">
        <f>+SUM(C93:F93)</f>
        <v>-317670</v>
      </c>
      <c r="G94" s="286"/>
      <c r="H94" s="286"/>
      <c r="I94" s="286"/>
      <c r="J94" s="286"/>
      <c r="K94" s="286"/>
      <c r="L94" s="286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35">
      <c r="A95" s="24"/>
      <c r="B95" s="24"/>
      <c r="C95" s="30"/>
      <c r="D95" s="30"/>
      <c r="E95" s="30"/>
      <c r="F95" s="30"/>
      <c r="G95" s="286"/>
      <c r="H95" s="286"/>
      <c r="I95" s="286"/>
      <c r="J95" s="286"/>
      <c r="K95" s="286"/>
      <c r="L95" s="286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35">
      <c r="A96" s="24"/>
      <c r="B96" s="24"/>
      <c r="C96" s="30"/>
      <c r="D96" s="30"/>
      <c r="E96" s="30"/>
      <c r="F96" s="30"/>
      <c r="G96" s="286"/>
      <c r="H96" s="286"/>
      <c r="I96" s="286"/>
      <c r="J96" s="286"/>
      <c r="K96" s="286"/>
      <c r="L96" s="286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1" ht="14.25" customHeight="1" x14ac:dyDescent="0.35">
      <c r="A97" s="24"/>
      <c r="B97" s="24"/>
      <c r="C97" s="30"/>
      <c r="D97" s="30"/>
      <c r="E97" s="30"/>
      <c r="F97" s="30"/>
      <c r="G97" s="286"/>
      <c r="H97" s="286"/>
      <c r="I97" s="286"/>
      <c r="J97" s="286"/>
      <c r="K97" s="286"/>
      <c r="L97" s="286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ht="14.25" customHeight="1" x14ac:dyDescent="0.35">
      <c r="A98" s="24"/>
      <c r="B98" s="24"/>
      <c r="C98" s="30"/>
      <c r="D98" s="30"/>
      <c r="E98" s="30"/>
      <c r="F98" s="30"/>
      <c r="G98" s="286"/>
      <c r="H98" s="286"/>
      <c r="I98" s="286"/>
      <c r="J98" s="286"/>
      <c r="K98" s="286"/>
      <c r="L98" s="286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1" ht="14.25" customHeight="1" x14ac:dyDescent="0.35">
      <c r="A99" s="24"/>
      <c r="B99" s="24"/>
      <c r="C99" s="30"/>
      <c r="D99" s="30"/>
      <c r="E99" s="30"/>
      <c r="F99" s="30"/>
      <c r="G99" s="286"/>
      <c r="H99" s="286"/>
      <c r="I99" s="286"/>
      <c r="J99" s="286"/>
      <c r="K99" s="286"/>
      <c r="L99" s="286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1" ht="14.25" customHeight="1" x14ac:dyDescent="0.35">
      <c r="A100" s="24"/>
      <c r="B100" s="24"/>
      <c r="C100" s="30"/>
      <c r="D100" s="30"/>
      <c r="E100" s="30"/>
      <c r="F100" s="30"/>
      <c r="G100" s="286"/>
      <c r="H100" s="286"/>
      <c r="I100" s="286"/>
      <c r="J100" s="286"/>
      <c r="K100" s="286"/>
      <c r="L100" s="286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1" ht="14.25" customHeight="1" x14ac:dyDescent="0.35">
      <c r="A101" s="24"/>
      <c r="B101" s="24"/>
      <c r="C101" s="30"/>
      <c r="D101" s="30"/>
      <c r="E101" s="30"/>
      <c r="F101" s="30"/>
      <c r="G101" s="286"/>
      <c r="H101" s="286"/>
      <c r="I101" s="286"/>
      <c r="J101" s="286"/>
      <c r="K101" s="286"/>
      <c r="L101" s="286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 ht="14.25" customHeight="1" x14ac:dyDescent="0.35">
      <c r="A102" s="24"/>
      <c r="B102" s="24"/>
      <c r="C102" s="30"/>
      <c r="D102" s="30"/>
      <c r="E102" s="30"/>
      <c r="F102" s="30"/>
      <c r="G102" s="286"/>
      <c r="H102" s="286"/>
      <c r="I102" s="286"/>
      <c r="J102" s="286"/>
      <c r="K102" s="286"/>
      <c r="L102" s="286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 ht="14.25" customHeight="1" x14ac:dyDescent="0.35">
      <c r="A103" s="24"/>
      <c r="B103" s="24"/>
      <c r="C103" s="30"/>
      <c r="D103" s="30"/>
      <c r="E103" s="30"/>
      <c r="F103" s="30"/>
      <c r="G103" s="286"/>
      <c r="H103" s="286"/>
      <c r="I103" s="286"/>
      <c r="J103" s="286"/>
      <c r="K103" s="286"/>
      <c r="L103" s="286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 ht="14.25" customHeight="1" x14ac:dyDescent="0.35">
      <c r="A104" s="24"/>
      <c r="B104" s="24"/>
      <c r="C104" s="30"/>
      <c r="D104" s="30"/>
      <c r="E104" s="30"/>
      <c r="F104" s="30"/>
      <c r="G104" s="286"/>
      <c r="H104" s="286"/>
      <c r="I104" s="286"/>
      <c r="J104" s="286"/>
      <c r="K104" s="286"/>
      <c r="L104" s="286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ht="14.25" customHeight="1" x14ac:dyDescent="0.35">
      <c r="A105" s="24"/>
      <c r="B105" s="24"/>
      <c r="C105" s="30"/>
      <c r="D105" s="30"/>
      <c r="E105" s="30"/>
      <c r="F105" s="30"/>
      <c r="G105" s="286"/>
      <c r="H105" s="286"/>
      <c r="I105" s="286"/>
      <c r="J105" s="286"/>
      <c r="K105" s="286"/>
      <c r="L105" s="286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 ht="14.25" customHeight="1" x14ac:dyDescent="0.35">
      <c r="A106" s="24"/>
      <c r="B106" s="24"/>
      <c r="C106" s="30"/>
      <c r="D106" s="30"/>
      <c r="E106" s="30"/>
      <c r="F106" s="30"/>
      <c r="G106" s="286"/>
      <c r="H106" s="286"/>
      <c r="I106" s="286"/>
      <c r="J106" s="286"/>
      <c r="K106" s="286"/>
      <c r="L106" s="286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 ht="14.25" customHeight="1" x14ac:dyDescent="0.35">
      <c r="A107" s="24"/>
      <c r="B107" s="24"/>
      <c r="C107" s="31"/>
      <c r="D107" s="31"/>
      <c r="E107" s="31"/>
      <c r="F107" s="31"/>
      <c r="G107" s="292"/>
      <c r="H107" s="292"/>
      <c r="I107" s="292"/>
      <c r="J107" s="292"/>
      <c r="K107" s="292"/>
      <c r="L107" s="292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 ht="14.25" customHeight="1" x14ac:dyDescent="0.35"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 ht="14.25" customHeight="1" x14ac:dyDescent="0.35"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 ht="14.25" customHeight="1" x14ac:dyDescent="0.35"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 ht="14.25" customHeight="1" x14ac:dyDescent="0.35"/>
    <row r="112" spans="1:41" ht="14.25" customHeight="1" x14ac:dyDescent="0.35"/>
    <row r="113" spans="5:5" ht="14.25" customHeight="1" x14ac:dyDescent="0.35"/>
    <row r="114" spans="5:5" ht="14.25" customHeight="1" x14ac:dyDescent="0.35"/>
    <row r="115" spans="5:5" ht="14.25" customHeight="1" x14ac:dyDescent="0.35">
      <c r="E115" s="216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887EA140B0E64E9A5E70105AC9A177" ma:contentTypeVersion="15" ma:contentTypeDescription="Create a new document." ma:contentTypeScope="" ma:versionID="b272641147efb61256283804bf72ba6f">
  <xsd:schema xmlns:xsd="http://www.w3.org/2001/XMLSchema" xmlns:xs="http://www.w3.org/2001/XMLSchema" xmlns:p="http://schemas.microsoft.com/office/2006/metadata/properties" xmlns:ns1="http://schemas.microsoft.com/sharepoint/v3" xmlns:ns2="518b0fe0-eeb5-482b-8fb4-93909db03047" xmlns:ns3="28f9ec00-1501-4549-8cc7-1ebbd528eed1" targetNamespace="http://schemas.microsoft.com/office/2006/metadata/properties" ma:root="true" ma:fieldsID="51a86dd206d31512209d68a4b4cd4522" ns1:_="" ns2:_="" ns3:_="">
    <xsd:import namespace="http://schemas.microsoft.com/sharepoint/v3"/>
    <xsd:import namespace="518b0fe0-eeb5-482b-8fb4-93909db03047"/>
    <xsd:import namespace="28f9ec00-1501-4549-8cc7-1ebbd528ee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b0fe0-eeb5-482b-8fb4-93909db03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9ec00-1501-4549-8cc7-1ebbd528e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ACF74-2703-410A-83AC-CB144A525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8b0fe0-eeb5-482b-8fb4-93909db03047"/>
    <ds:schemaRef ds:uri="28f9ec00-1501-4549-8cc7-1ebbd528e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314D98-8E62-4D7F-A992-41B6DE6E846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18b0fe0-eeb5-482b-8fb4-93909db03047"/>
    <ds:schemaRef ds:uri="http://schemas.microsoft.com/sharepoint/v3"/>
    <ds:schemaRef ds:uri="http://purl.org/dc/terms/"/>
    <ds:schemaRef ds:uri="http://schemas.openxmlformats.org/package/2006/metadata/core-properties"/>
    <ds:schemaRef ds:uri="28f9ec00-1501-4549-8cc7-1ebbd528eed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D2F2CF-98CB-4E8F-A2D8-1EF0B3F97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references--&gt;</vt:lpstr>
      <vt:lpstr>Utility Bills Public SC9</vt:lpstr>
      <vt:lpstr>Utility Bills Public SC2</vt:lpstr>
      <vt:lpstr>Utility Bills City SC9</vt:lpstr>
      <vt:lpstr>Utility Bills City SC2</vt:lpstr>
      <vt:lpstr>Utility Bills summary</vt:lpstr>
      <vt:lpstr>Assumptions</vt:lpstr>
      <vt:lpstr>Summary Financials</vt:lpstr>
      <vt:lpstr>Demo financial pro forma</vt:lpstr>
      <vt:lpstr>Depreciation</vt:lpstr>
      <vt:lpstr>'Demo financial pro forma'!Print_Area</vt:lpstr>
      <vt:lpstr>'Utility Bills City SC2'!Print_Area</vt:lpstr>
      <vt:lpstr>'Utility Bills City SC9'!Print_Area</vt:lpstr>
      <vt:lpstr>'Utility Bills Public SC2'!Print_Area</vt:lpstr>
      <vt:lpstr>'Utility Bills Public SC9'!Print_Area</vt:lpstr>
    </vt:vector>
  </TitlesOfParts>
  <Manager/>
  <Company>Con Edison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Brian</dc:creator>
  <cp:keywords/>
  <dc:description/>
  <cp:lastModifiedBy>Koropey, Boris</cp:lastModifiedBy>
  <cp:revision/>
  <dcterms:created xsi:type="dcterms:W3CDTF">2017-04-06T15:31:57Z</dcterms:created>
  <dcterms:modified xsi:type="dcterms:W3CDTF">2021-03-14T16:54:48Z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0x0101005D887EA140B0E64E9A5E70105AC9A177</vt:lpwstr>
  </property>
  <property fmtid="{D5CDD505-2E9C-101B-9397-08002B2CF9AE}" pid="3" name="AuthorIds_UIVersion_1024">
    <vt:lpwstr>5141</vt:lpwstr>
  </property>
  <property fmtid="{D5CDD505-2E9C-101B-9397-08002B2CF9AE}" pid="4" name="MSIP_Label_6490586b-6766-439a-826f-fa6da183971c_Enabled">
    <vt:lpwstr>true</vt:lpwstr>
  </property>
  <property fmtid="{D5CDD505-2E9C-101B-9397-08002B2CF9AE}" pid="5" name="MSIP_Label_6490586b-6766-439a-826f-fa6da183971c_SetDate">
    <vt:lpwstr>2020-02-19T22:28:21Z</vt:lpwstr>
  </property>
  <property fmtid="{D5CDD505-2E9C-101B-9397-08002B2CF9AE}" pid="6" name="MSIP_Label_6490586b-6766-439a-826f-fa6da183971c_Method">
    <vt:lpwstr>Standard</vt:lpwstr>
  </property>
  <property fmtid="{D5CDD505-2E9C-101B-9397-08002B2CF9AE}" pid="7" name="MSIP_Label_6490586b-6766-439a-826f-fa6da183971c_Name">
    <vt:lpwstr>General</vt:lpwstr>
  </property>
  <property fmtid="{D5CDD505-2E9C-101B-9397-08002B2CF9AE}" pid="8" name="MSIP_Label_6490586b-6766-439a-826f-fa6da183971c_SiteId">
    <vt:lpwstr>e9aef9b7-25ca-4518-a881-33e546773136</vt:lpwstr>
  </property>
  <property fmtid="{D5CDD505-2E9C-101B-9397-08002B2CF9AE}" pid="9" name="MSIP_Label_6490586b-6766-439a-826f-fa6da183971c_ActionId">
    <vt:lpwstr>cd39614c-2bee-4a8c-a99f-0000e61ffd78</vt:lpwstr>
  </property>
  <property fmtid="{D5CDD505-2E9C-101B-9397-08002B2CF9AE}" pid="10" name="MSIP_Label_6490586b-6766-439a-826f-fa6da183971c_ContentBits">
    <vt:lpwstr>0</vt:lpwstr>
  </property>
</Properties>
</file>