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threadedComments/threadedComment3.xml" ContentType="application/vnd.ms-excel.threaded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drawings/drawing2.xml" ContentType="application/vnd.openxmlformats-officedocument.drawing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KOROPEYB\Desktop\Rate Engineering\SC Rate Updates - MSC Capacity\"/>
    </mc:Choice>
  </mc:AlternateContent>
  <xr:revisionPtr revIDLastSave="0" documentId="13_ncr:1_{EC3EC69C-7C42-40D3-ABD0-AEFBD2E385DA}" xr6:coauthVersionLast="46" xr6:coauthVersionMax="46" xr10:uidLastSave="{00000000-0000-0000-0000-000000000000}"/>
  <bookViews>
    <workbookView xWindow="-110" yWindow="-110" windowWidth="22780" windowHeight="14660" tabRatio="830" activeTab="2" xr2:uid="{00000000-000D-0000-FFFF-FFFF00000000}"/>
  </bookViews>
  <sheets>
    <sheet name="Sales Forecast" sheetId="1" r:id="rId1"/>
    <sheet name="Adj Sales Forecast" sheetId="2" r:id="rId2"/>
    <sheet name="Demand Forecast" sheetId="3" r:id="rId3"/>
    <sheet name="Adj Demand Forecast " sheetId="4" r:id="rId4"/>
    <sheet name="Forecasted TOD kW by Period" sheetId="5" r:id="rId5"/>
    <sheet name="Forecasted Conv kW by Period" sheetId="6" r:id="rId6"/>
    <sheet name="TOD % of Reg kW" sheetId="7" r:id="rId7"/>
    <sheet name="Forecasted TOD kWh by Period" sheetId="8" r:id="rId8"/>
    <sheet name="TOD OnOff kWh Ratios" sheetId="9" r:id="rId9"/>
    <sheet name="TODS On Off %" sheetId="10" r:id="rId10"/>
    <sheet name="MSC Cover Page " sheetId="11" r:id="rId11"/>
    <sheet name="Capacity Estimates" sheetId="12" r:id="rId12"/>
    <sheet name="Sheet1" sheetId="50" r:id="rId13"/>
    <sheet name="NYISO Strip Auction Price" sheetId="24" r:id="rId14"/>
    <sheet name="SC 1 Rate III MSC Cap" sheetId="15" r:id="rId15"/>
    <sheet name="Summer SC1 Residential Def Rev" sheetId="49" r:id="rId16"/>
    <sheet name="May - Oct Capacity MSC by Class" sheetId="13" r:id="rId17"/>
    <sheet name="Nov - Apr Capacity MSC by Class" sheetId="14" r:id="rId18"/>
    <sheet name="Lookup Tables for Level Billing" sheetId="16" state="hidden" r:id="rId19"/>
    <sheet name="MSC - Energy SC1" sheetId="17" state="hidden" r:id="rId20"/>
    <sheet name="Level Billing Summary" sheetId="18" state="hidden" r:id="rId21"/>
    <sheet name="MAC Cover Page " sheetId="20" r:id="rId22"/>
    <sheet name="Valued History" sheetId="22" r:id="rId23"/>
    <sheet name="Forecast MAC Total" sheetId="21" r:id="rId24"/>
    <sheet name="MTM MSC Estimates 1,9 Oct" sheetId="19" r:id="rId25"/>
    <sheet name="MTM MSC Estimates 1,9 Nov" sheetId="37" r:id="rId26"/>
    <sheet name="MTM MSC Estimates 1,9 Dec" sheetId="38" r:id="rId27"/>
    <sheet name="MTM MSC Estimates 1,9 Jan" sheetId="39" r:id="rId28"/>
    <sheet name="MTM MSC Estimates 1,9 Feb" sheetId="40" r:id="rId29"/>
    <sheet name="MTM MSC Estimates 1,9 Mar" sheetId="41" r:id="rId30"/>
    <sheet name="MTM MSC Estimates 1,9 Apr" sheetId="42" r:id="rId31"/>
    <sheet name="MTM MSC Estimates 1,9 May21" sheetId="43" r:id="rId32"/>
    <sheet name="MTM MSC Estimates 1,9 Jun21" sheetId="44" r:id="rId33"/>
    <sheet name="MTM MSC Estimates 1,9 Jul21" sheetId="45" r:id="rId34"/>
    <sheet name="MTM MSC Estimates 1,9 Aug21" sheetId="46" r:id="rId35"/>
    <sheet name="MTM MSC Estimates 1,9 Sep21" sheetId="47" r:id="rId36"/>
    <sheet name="MTM MSC Estimates 1,9 Oct21" sheetId="48" r:id="rId37"/>
    <sheet name="May Price Out" sheetId="25" r:id="rId38"/>
    <sheet name="Jun Price Out" sheetId="26" r:id="rId39"/>
    <sheet name="Jul Price Out" sheetId="27" r:id="rId40"/>
    <sheet name="Aug Price Out" sheetId="28" r:id="rId41"/>
    <sheet name="Sep Price Out" sheetId="29" r:id="rId42"/>
    <sheet name="Oct Price Out" sheetId="30" r:id="rId43"/>
    <sheet name="Nov Price Out" sheetId="31" r:id="rId44"/>
    <sheet name="Dec Price Out" sheetId="32" r:id="rId45"/>
    <sheet name="Jan Price Out" sheetId="33" r:id="rId46"/>
    <sheet name="Feb Price Out" sheetId="34" r:id="rId47"/>
    <sheet name="Mar Price Out" sheetId="35" r:id="rId48"/>
    <sheet name="Apr Price Out" sheetId="36" r:id="rId49"/>
  </sheets>
  <externalReferences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  <externalReference r:id="rId143"/>
    <externalReference r:id="rId144"/>
    <externalReference r:id="rId145"/>
    <externalReference r:id="rId146"/>
    <externalReference r:id="rId147"/>
    <externalReference r:id="rId148"/>
    <externalReference r:id="rId149"/>
  </externalReferences>
  <definedNames>
    <definedName name="_xlnm.Print_Area" localSheetId="48">'Apr Price Out'!$A$1:$AB$45</definedName>
    <definedName name="_xlnm.Print_Area" localSheetId="40">'Aug Price Out'!$A$1:$AB$46</definedName>
    <definedName name="_xlnm.Print_Area" localSheetId="11">'Capacity Estimates'!$A$1:$U$76</definedName>
    <definedName name="_xlnm.Print_Area" localSheetId="44">'Dec Price Out'!$A$1:$AB$44</definedName>
    <definedName name="_xlnm.Print_Area" localSheetId="2">'Demand Forecast'!$A$1:$O$33</definedName>
    <definedName name="_xlnm.Print_Area" localSheetId="46">'Feb Price Out'!$A$1:$AB$45</definedName>
    <definedName name="_xlnm.Print_Area" localSheetId="23">'Forecast MAC Total'!$A$1:$R$12</definedName>
    <definedName name="_xlnm.Print_Area" localSheetId="4">'Forecasted TOD kW by Period'!$A$1:$N$31</definedName>
    <definedName name="_xlnm.Print_Area" localSheetId="45">'Jan Price Out'!$A$1:$AB$44</definedName>
    <definedName name="_xlnm.Print_Area" localSheetId="20">'Level Billing Summary'!$A$1:$F$26</definedName>
    <definedName name="_xlnm.Print_Area" localSheetId="21">'MAC Cover Page '!$A$1:$D$46</definedName>
    <definedName name="_xlnm.Print_Area" localSheetId="47">'Mar Price Out'!$A$1:$AB$45</definedName>
    <definedName name="_xlnm.Print_Area" localSheetId="16">'May - Oct Capacity MSC by Class'!$A$1:$J$54</definedName>
    <definedName name="_xlnm.Print_Area" localSheetId="19">'MSC - Energy SC1'!$A$1:$T$59</definedName>
    <definedName name="_xlnm.Print_Area" localSheetId="10">'MSC Cover Page '!$A$1:$D$17</definedName>
    <definedName name="_xlnm.Print_Area" localSheetId="17">'Nov - Apr Capacity MSC by Class'!$A$1:$J$50</definedName>
    <definedName name="_xlnm.Print_Area" localSheetId="43">'Nov Price Out'!$A$1:$AB$44</definedName>
    <definedName name="_xlnm.Print_Area" localSheetId="42">'Oct Price Out'!$A$1:$AB$45</definedName>
    <definedName name="_xlnm.Print_Area" localSheetId="0">'Sales Forecast'!$A$1:$N$47</definedName>
    <definedName name="_xlnm.Print_Area" localSheetId="41">'Sep Price Out'!$A$1:$AB$46</definedName>
    <definedName name="_xlnm.Print_Area" localSheetId="9">'TODS On Off %'!$A$1:$M$58</definedName>
    <definedName name="_xlnm.Print_Area" localSheetId="22">'Valued History'!$A$1:$P$106</definedName>
    <definedName name="_xlnm.Print_Titles" localSheetId="40">'Aug Price Out'!$A:$A</definedName>
    <definedName name="_xlnm.Print_Titles" localSheetId="44">'Dec Price Out'!$A:$A,'Dec Price Out'!$1:$1</definedName>
    <definedName name="_xlnm.Print_Titles" localSheetId="45">'Jan Price Out'!$A:$A,'Jan Price Out'!$1:$1</definedName>
    <definedName name="_xlnm.Print_Titles" localSheetId="19">'MSC - Energy SC1'!$6:$8</definedName>
    <definedName name="_xlnm.Print_Titles" localSheetId="43">'Nov Price Out'!$A:$A,'Nov Price Out'!$1:$1</definedName>
    <definedName name="_xlnm.Print_Titles" localSheetId="42">'Oct Price Out'!$A:$A</definedName>
    <definedName name="_xlnm.Print_Titles" localSheetId="41">'Sep Price Out'!$A:$A</definedName>
    <definedName name="_xlnm.Print_Titles" localSheetId="22">'Valued History'!$1:$8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27" i="3" l="1"/>
  <c r="B49" i="1"/>
  <c r="C38" i="1" l="1"/>
  <c r="D38" i="1"/>
  <c r="E38" i="1"/>
  <c r="F38" i="1"/>
  <c r="G38" i="1"/>
  <c r="H38" i="1"/>
  <c r="I38" i="1"/>
  <c r="J38" i="1"/>
  <c r="K38" i="1"/>
  <c r="L38" i="1"/>
  <c r="M38" i="1"/>
  <c r="B38" i="1"/>
  <c r="B8" i="3" l="1"/>
  <c r="O29" i="3" l="1"/>
  <c r="F22" i="3"/>
  <c r="D22" i="3"/>
  <c r="C22" i="3"/>
  <c r="E22" i="3"/>
  <c r="G22" i="3"/>
  <c r="H22" i="3"/>
  <c r="I22" i="3"/>
  <c r="J22" i="3"/>
  <c r="K22" i="3"/>
  <c r="L22" i="3"/>
  <c r="M22" i="3"/>
  <c r="B22" i="3"/>
  <c r="M19" i="1" l="1"/>
  <c r="L19" i="1"/>
  <c r="K19" i="1"/>
  <c r="J19" i="1"/>
  <c r="I19" i="1"/>
  <c r="H19" i="1"/>
  <c r="G19" i="1"/>
  <c r="F19" i="1"/>
  <c r="E19" i="1"/>
  <c r="D19" i="1"/>
  <c r="C19" i="1"/>
  <c r="B19" i="1"/>
  <c r="M17" i="1"/>
  <c r="L17" i="1"/>
  <c r="K17" i="1"/>
  <c r="J17" i="1"/>
  <c r="I17" i="1"/>
  <c r="H17" i="1"/>
  <c r="G17" i="1"/>
  <c r="F17" i="1"/>
  <c r="E17" i="1"/>
  <c r="D17" i="1"/>
  <c r="C17" i="1"/>
  <c r="B17" i="1"/>
  <c r="C16" i="1"/>
  <c r="D16" i="1"/>
  <c r="E16" i="1"/>
  <c r="F16" i="1"/>
  <c r="G16" i="1"/>
  <c r="H16" i="1"/>
  <c r="I16" i="1"/>
  <c r="J16" i="1"/>
  <c r="K16" i="1"/>
  <c r="L16" i="1"/>
  <c r="M16" i="1"/>
  <c r="B16" i="1"/>
  <c r="M14" i="1"/>
  <c r="L14" i="1"/>
  <c r="K14" i="1"/>
  <c r="J14" i="1"/>
  <c r="I14" i="1"/>
  <c r="H14" i="1"/>
  <c r="G14" i="1"/>
  <c r="F14" i="1"/>
  <c r="E14" i="1"/>
  <c r="D14" i="1"/>
  <c r="C14" i="1"/>
  <c r="B14" i="1"/>
  <c r="H6" i="1" l="1"/>
  <c r="H9" i="1" s="1"/>
  <c r="G9" i="1"/>
  <c r="F9" i="1"/>
  <c r="E9" i="1"/>
  <c r="D9" i="1"/>
  <c r="B9" i="1"/>
  <c r="B6" i="1"/>
  <c r="B9" i="9" l="1"/>
  <c r="P126" i="22" l="1"/>
  <c r="O126" i="22"/>
  <c r="N126" i="22"/>
  <c r="M126" i="22"/>
  <c r="L126" i="22"/>
  <c r="K126" i="22"/>
  <c r="J126" i="22"/>
  <c r="I126" i="22"/>
  <c r="H126" i="22"/>
  <c r="G126" i="22"/>
  <c r="F126" i="22"/>
  <c r="E126" i="22"/>
  <c r="D126" i="22"/>
  <c r="C126" i="22"/>
  <c r="B126" i="22"/>
  <c r="A126" i="22"/>
  <c r="P125" i="22"/>
  <c r="O125" i="22"/>
  <c r="N125" i="22"/>
  <c r="M125" i="22"/>
  <c r="L125" i="22"/>
  <c r="K125" i="22"/>
  <c r="J125" i="22"/>
  <c r="I125" i="22"/>
  <c r="H125" i="22"/>
  <c r="G125" i="22"/>
  <c r="F125" i="22"/>
  <c r="E125" i="22"/>
  <c r="D125" i="22"/>
  <c r="C125" i="22"/>
  <c r="B125" i="22"/>
  <c r="A125" i="22"/>
  <c r="P124" i="22"/>
  <c r="O124" i="22"/>
  <c r="N124" i="22"/>
  <c r="M124" i="22"/>
  <c r="L124" i="22"/>
  <c r="K124" i="22"/>
  <c r="J124" i="22"/>
  <c r="I124" i="22"/>
  <c r="H124" i="22"/>
  <c r="G124" i="22"/>
  <c r="F124" i="22"/>
  <c r="E124" i="22"/>
  <c r="D124" i="22"/>
  <c r="C124" i="22"/>
  <c r="B124" i="22"/>
  <c r="A124" i="22"/>
  <c r="P123" i="22"/>
  <c r="O123" i="22"/>
  <c r="N123" i="22"/>
  <c r="M123" i="22"/>
  <c r="L123" i="22"/>
  <c r="K123" i="22"/>
  <c r="J123" i="22"/>
  <c r="I123" i="22"/>
  <c r="H123" i="22"/>
  <c r="G123" i="22"/>
  <c r="F123" i="22"/>
  <c r="E123" i="22"/>
  <c r="D123" i="22"/>
  <c r="C123" i="22"/>
  <c r="B123" i="22"/>
  <c r="A123" i="22"/>
  <c r="O23" i="21" l="1"/>
  <c r="K23" i="21" l="1"/>
  <c r="E23" i="21" l="1"/>
  <c r="D23" i="21" l="1"/>
  <c r="C23" i="21" l="1"/>
  <c r="B23" i="21"/>
  <c r="B8" i="27" l="1"/>
  <c r="Q22" i="21"/>
  <c r="O22" i="21"/>
  <c r="K22" i="21"/>
  <c r="E22" i="21"/>
  <c r="D22" i="21"/>
  <c r="C22" i="21"/>
  <c r="B22" i="21"/>
  <c r="K29" i="21" l="1"/>
  <c r="K28" i="21"/>
  <c r="K27" i="21"/>
  <c r="K26" i="21"/>
  <c r="K25" i="21"/>
  <c r="K24" i="21"/>
  <c r="J22" i="21" l="1"/>
  <c r="I22" i="21"/>
  <c r="H22" i="21"/>
  <c r="G22" i="21"/>
  <c r="F22" i="21"/>
  <c r="Q21" i="21"/>
  <c r="O21" i="21"/>
  <c r="K21" i="21"/>
  <c r="E21" i="21"/>
  <c r="D21" i="21"/>
  <c r="C21" i="21"/>
  <c r="B21" i="21"/>
  <c r="A21" i="21"/>
  <c r="Q20" i="21"/>
  <c r="O20" i="21"/>
  <c r="K20" i="21"/>
  <c r="E20" i="21"/>
  <c r="D20" i="21"/>
  <c r="C20" i="21"/>
  <c r="B20" i="21"/>
  <c r="A20" i="21"/>
  <c r="Q19" i="21"/>
  <c r="O19" i="21"/>
  <c r="K19" i="21"/>
  <c r="J19" i="21"/>
  <c r="I19" i="21"/>
  <c r="H19" i="21"/>
  <c r="G19" i="21"/>
  <c r="F19" i="21"/>
  <c r="E19" i="21"/>
  <c r="D19" i="21"/>
  <c r="C19" i="21"/>
  <c r="B19" i="21"/>
  <c r="A19" i="21"/>
  <c r="Q12" i="21"/>
  <c r="O12" i="21"/>
  <c r="K12" i="21"/>
  <c r="J12" i="21"/>
  <c r="J23" i="21" s="1"/>
  <c r="I12" i="21"/>
  <c r="I23" i="21" s="1"/>
  <c r="H12" i="21"/>
  <c r="G12" i="21"/>
  <c r="F12" i="21"/>
  <c r="F21" i="21" s="1"/>
  <c r="E12" i="21"/>
  <c r="D12" i="21"/>
  <c r="C12" i="21"/>
  <c r="B12" i="21"/>
  <c r="N23" i="21" s="1"/>
  <c r="P23" i="21" s="1"/>
  <c r="A12" i="21"/>
  <c r="A4" i="21" s="1"/>
  <c r="Q18" i="21"/>
  <c r="O18" i="21"/>
  <c r="K18" i="21"/>
  <c r="I18" i="21"/>
  <c r="E18" i="21"/>
  <c r="D18" i="21"/>
  <c r="C18" i="21"/>
  <c r="B18" i="21"/>
  <c r="A18" i="21"/>
  <c r="B24" i="21"/>
  <c r="C24" i="21"/>
  <c r="D24" i="21"/>
  <c r="E24" i="21"/>
  <c r="F24" i="21"/>
  <c r="G24" i="21"/>
  <c r="H24" i="21"/>
  <c r="I24" i="21"/>
  <c r="J24" i="21"/>
  <c r="O24" i="21"/>
  <c r="B25" i="21"/>
  <c r="C25" i="21"/>
  <c r="D25" i="21"/>
  <c r="N25" i="21" s="1"/>
  <c r="E25" i="21"/>
  <c r="F25" i="21"/>
  <c r="G25" i="21"/>
  <c r="H25" i="21"/>
  <c r="I25" i="21"/>
  <c r="J25" i="21"/>
  <c r="O25" i="21"/>
  <c r="B26" i="21"/>
  <c r="C26" i="21"/>
  <c r="D26" i="21"/>
  <c r="E26" i="21"/>
  <c r="F26" i="21"/>
  <c r="G26" i="21"/>
  <c r="H26" i="21"/>
  <c r="I26" i="21"/>
  <c r="J26" i="21"/>
  <c r="O26" i="21"/>
  <c r="B27" i="21"/>
  <c r="N27" i="21" s="1"/>
  <c r="P27" i="21" s="1"/>
  <c r="C27" i="21"/>
  <c r="D27" i="21"/>
  <c r="E27" i="21"/>
  <c r="F27" i="21"/>
  <c r="G27" i="21"/>
  <c r="H27" i="21"/>
  <c r="I27" i="21"/>
  <c r="J27" i="21"/>
  <c r="O27" i="21"/>
  <c r="B28" i="21"/>
  <c r="N28" i="21" s="1"/>
  <c r="C28" i="21"/>
  <c r="D28" i="21"/>
  <c r="E28" i="21"/>
  <c r="F28" i="21"/>
  <c r="G28" i="21"/>
  <c r="H28" i="21"/>
  <c r="I28" i="21"/>
  <c r="J28" i="21"/>
  <c r="O28" i="21"/>
  <c r="B29" i="21"/>
  <c r="C29" i="21"/>
  <c r="D29" i="21"/>
  <c r="N29" i="21" s="1"/>
  <c r="P29" i="21" s="1"/>
  <c r="E29" i="21"/>
  <c r="F29" i="21"/>
  <c r="G29" i="21"/>
  <c r="H29" i="21"/>
  <c r="I29" i="21"/>
  <c r="J29" i="21"/>
  <c r="O29" i="21"/>
  <c r="J18" i="21" l="1"/>
  <c r="N19" i="21"/>
  <c r="P19" i="21" s="1"/>
  <c r="R19" i="21" s="1"/>
  <c r="B8" i="26" s="1"/>
  <c r="G18" i="21"/>
  <c r="G23" i="21"/>
  <c r="H18" i="21"/>
  <c r="H23" i="21"/>
  <c r="G21" i="21"/>
  <c r="F18" i="21"/>
  <c r="F23" i="21"/>
  <c r="H21" i="21"/>
  <c r="I21" i="21"/>
  <c r="N20" i="21"/>
  <c r="P20" i="21" s="1"/>
  <c r="N21" i="21"/>
  <c r="P21" i="21" s="1"/>
  <c r="R21" i="21" s="1"/>
  <c r="B8" i="28" s="1"/>
  <c r="J21" i="21"/>
  <c r="P25" i="21"/>
  <c r="P28" i="21"/>
  <c r="N26" i="21"/>
  <c r="P26" i="21" s="1"/>
  <c r="N18" i="21"/>
  <c r="P18" i="21" s="1"/>
  <c r="R18" i="21" s="1"/>
  <c r="B8" i="25" s="1"/>
  <c r="N12" i="21"/>
  <c r="P12" i="21" s="1"/>
  <c r="R12" i="21" s="1"/>
  <c r="N24" i="21"/>
  <c r="P24" i="21" s="1"/>
  <c r="N22" i="21" l="1"/>
  <c r="P22" i="21" s="1"/>
  <c r="R22" i="21" s="1"/>
  <c r="B8" i="29" s="1"/>
  <c r="I1" i="42" l="1"/>
  <c r="I1" i="41"/>
  <c r="I1" i="40"/>
  <c r="I1" i="39"/>
  <c r="I1" i="38"/>
  <c r="I1" i="37"/>
  <c r="F5" i="42"/>
  <c r="C3" i="42"/>
  <c r="E5" i="42" s="1"/>
  <c r="F5" i="41"/>
  <c r="C3" i="41"/>
  <c r="E5" i="41" s="1"/>
  <c r="F5" i="40"/>
  <c r="C3" i="40"/>
  <c r="E5" i="40" s="1"/>
  <c r="F5" i="39"/>
  <c r="C3" i="39"/>
  <c r="E5" i="39" s="1"/>
  <c r="F5" i="38"/>
  <c r="C3" i="38"/>
  <c r="E5" i="38" s="1"/>
  <c r="G5" i="39" l="1"/>
  <c r="G5" i="42"/>
  <c r="G5" i="40"/>
  <c r="A5" i="38"/>
  <c r="A5" i="39"/>
  <c r="A5" i="40"/>
  <c r="A5" i="41"/>
  <c r="A5" i="42"/>
  <c r="B5" i="38"/>
  <c r="B5" i="39"/>
  <c r="B5" i="40"/>
  <c r="B5" i="41"/>
  <c r="B5" i="42"/>
  <c r="C5" i="38"/>
  <c r="C5" i="39"/>
  <c r="C5" i="40"/>
  <c r="C5" i="41"/>
  <c r="C5" i="42"/>
  <c r="D5" i="38"/>
  <c r="D5" i="39"/>
  <c r="D5" i="40"/>
  <c r="D5" i="41"/>
  <c r="D5" i="42"/>
  <c r="G5" i="38"/>
  <c r="G5" i="41"/>
  <c r="C3" i="37" l="1"/>
  <c r="A5" i="37" l="1"/>
  <c r="E5" i="37"/>
  <c r="G5" i="37"/>
  <c r="F5" i="37"/>
  <c r="D5" i="37"/>
  <c r="C5" i="37"/>
  <c r="B5" i="37"/>
  <c r="C3" i="19"/>
  <c r="D5" i="19" s="1"/>
  <c r="B5" i="19" l="1"/>
  <c r="C5" i="19"/>
  <c r="A5" i="19"/>
  <c r="G5" i="19"/>
  <c r="F5" i="19"/>
  <c r="E5" i="19"/>
  <c r="F8" i="9" l="1"/>
  <c r="E8" i="9"/>
  <c r="C8" i="9"/>
  <c r="B8" i="9"/>
  <c r="F6" i="9"/>
  <c r="E6" i="9"/>
  <c r="C6" i="9"/>
  <c r="B6" i="9"/>
  <c r="E39" i="7"/>
  <c r="E38" i="7"/>
  <c r="E37" i="7"/>
  <c r="E36" i="7"/>
  <c r="C39" i="7"/>
  <c r="C38" i="7"/>
  <c r="C37" i="7"/>
  <c r="C36" i="7"/>
  <c r="E34" i="7"/>
  <c r="E33" i="7"/>
  <c r="E32" i="7"/>
  <c r="C34" i="7"/>
  <c r="C33" i="7"/>
  <c r="C32" i="7"/>
  <c r="E31" i="7"/>
  <c r="C31" i="7"/>
  <c r="E29" i="7"/>
  <c r="E28" i="7"/>
  <c r="E27" i="7"/>
  <c r="E26" i="7"/>
  <c r="C29" i="7"/>
  <c r="D28" i="7" s="1"/>
  <c r="C27" i="7"/>
  <c r="C26" i="7"/>
  <c r="E24" i="7"/>
  <c r="E23" i="7"/>
  <c r="E22" i="7"/>
  <c r="E21" i="7"/>
  <c r="C24" i="7"/>
  <c r="C23" i="7"/>
  <c r="C22" i="7"/>
  <c r="C21" i="7"/>
  <c r="E19" i="7"/>
  <c r="E18" i="7"/>
  <c r="E17" i="7"/>
  <c r="E16" i="7"/>
  <c r="C19" i="7"/>
  <c r="C18" i="7"/>
  <c r="C17" i="7"/>
  <c r="C16" i="7"/>
  <c r="E14" i="7"/>
  <c r="E13" i="7"/>
  <c r="E12" i="7"/>
  <c r="E11" i="7"/>
  <c r="C14" i="7"/>
  <c r="C13" i="7"/>
  <c r="C12" i="7"/>
  <c r="C11" i="7"/>
  <c r="C9" i="7"/>
  <c r="C8" i="7" l="1"/>
  <c r="C7" i="7"/>
  <c r="C6" i="7"/>
  <c r="V8" i="1" l="1"/>
  <c r="W8" i="1"/>
  <c r="X8" i="1"/>
  <c r="Y8" i="1"/>
  <c r="Z8" i="1"/>
  <c r="AA8" i="1"/>
  <c r="AC8" i="1"/>
  <c r="AD8" i="1"/>
  <c r="AE8" i="1"/>
  <c r="AF8" i="1"/>
  <c r="AG8" i="1"/>
  <c r="AH8" i="1"/>
  <c r="AI8" i="1"/>
  <c r="AJ8" i="1"/>
  <c r="V9" i="1"/>
  <c r="W9" i="1"/>
  <c r="X9" i="1"/>
  <c r="Y9" i="1"/>
  <c r="Z9" i="1"/>
  <c r="AA9" i="1"/>
  <c r="AC9" i="1"/>
  <c r="V10" i="1"/>
  <c r="W10" i="1"/>
  <c r="X10" i="1"/>
  <c r="Y10" i="1"/>
  <c r="Z10" i="1"/>
  <c r="AA10" i="1"/>
  <c r="AC10" i="1"/>
  <c r="AD10" i="1"/>
  <c r="AE10" i="1"/>
  <c r="AF10" i="1"/>
  <c r="AG10" i="1"/>
  <c r="AH10" i="1"/>
  <c r="AI10" i="1"/>
  <c r="AJ10" i="1"/>
  <c r="V11" i="1"/>
  <c r="W11" i="1"/>
  <c r="X11" i="1"/>
  <c r="Y11" i="1"/>
  <c r="Z11" i="1"/>
  <c r="AA11" i="1"/>
  <c r="AC11" i="1"/>
  <c r="AD11" i="1"/>
  <c r="AE11" i="1"/>
  <c r="AF11" i="1"/>
  <c r="AG11" i="1"/>
  <c r="AH11" i="1"/>
  <c r="AI11" i="1"/>
  <c r="AJ11" i="1"/>
  <c r="V12" i="1"/>
  <c r="W12" i="1"/>
  <c r="X12" i="1"/>
  <c r="Y12" i="1"/>
  <c r="Z12" i="1"/>
  <c r="AA12" i="1"/>
  <c r="AC12" i="1"/>
  <c r="AD12" i="1"/>
  <c r="AE12" i="1"/>
  <c r="AF12" i="1"/>
  <c r="AG12" i="1"/>
  <c r="AH12" i="1"/>
  <c r="AI12" i="1"/>
  <c r="AJ12" i="1"/>
  <c r="V14" i="1"/>
  <c r="W14" i="1"/>
  <c r="X14" i="1"/>
  <c r="Y14" i="1"/>
  <c r="Z14" i="1"/>
  <c r="AA14" i="1"/>
  <c r="AC14" i="1"/>
  <c r="AD14" i="1"/>
  <c r="AE14" i="1"/>
  <c r="AF14" i="1"/>
  <c r="AG14" i="1"/>
  <c r="AH14" i="1"/>
  <c r="AI14" i="1"/>
  <c r="AJ14" i="1"/>
  <c r="V15" i="1"/>
  <c r="W15" i="1"/>
  <c r="X15" i="1"/>
  <c r="Y15" i="1"/>
  <c r="Z15" i="1"/>
  <c r="AA15" i="1"/>
  <c r="AC15" i="1"/>
  <c r="AD15" i="1"/>
  <c r="AE15" i="1"/>
  <c r="AF15" i="1"/>
  <c r="AG15" i="1"/>
  <c r="AH15" i="1"/>
  <c r="AI15" i="1"/>
  <c r="AJ15" i="1"/>
  <c r="V16" i="1"/>
  <c r="W16" i="1"/>
  <c r="X16" i="1"/>
  <c r="Y16" i="1"/>
  <c r="Z16" i="1"/>
  <c r="AA16" i="1"/>
  <c r="AC16" i="1"/>
  <c r="AD16" i="1"/>
  <c r="AE16" i="1"/>
  <c r="AF16" i="1"/>
  <c r="AG16" i="1"/>
  <c r="AH16" i="1"/>
  <c r="AI16" i="1"/>
  <c r="AJ16" i="1"/>
  <c r="V17" i="1"/>
  <c r="W17" i="1"/>
  <c r="X17" i="1"/>
  <c r="Y17" i="1"/>
  <c r="Z17" i="1"/>
  <c r="AA17" i="1"/>
  <c r="AC17" i="1"/>
  <c r="AD17" i="1"/>
  <c r="AE17" i="1"/>
  <c r="AF17" i="1"/>
  <c r="AG17" i="1"/>
  <c r="AH17" i="1"/>
  <c r="AI17" i="1"/>
  <c r="AJ17" i="1"/>
  <c r="V18" i="1"/>
  <c r="W18" i="1"/>
  <c r="X18" i="1"/>
  <c r="Y18" i="1"/>
  <c r="Z18" i="1"/>
  <c r="AA18" i="1"/>
  <c r="AC18" i="1"/>
  <c r="AD18" i="1"/>
  <c r="AE18" i="1"/>
  <c r="AF18" i="1"/>
  <c r="AG18" i="1"/>
  <c r="AH18" i="1"/>
  <c r="AI18" i="1"/>
  <c r="AJ18" i="1"/>
  <c r="V19" i="1"/>
  <c r="W19" i="1"/>
  <c r="X19" i="1"/>
  <c r="Y19" i="1"/>
  <c r="Z19" i="1"/>
  <c r="AA19" i="1"/>
  <c r="AC19" i="1"/>
  <c r="AD19" i="1"/>
  <c r="AE19" i="1"/>
  <c r="AF19" i="1"/>
  <c r="AG19" i="1"/>
  <c r="AH19" i="1"/>
  <c r="AI19" i="1"/>
  <c r="AJ19" i="1"/>
  <c r="V21" i="1"/>
  <c r="W21" i="1"/>
  <c r="X21" i="1"/>
  <c r="Y21" i="1"/>
  <c r="Z21" i="1"/>
  <c r="AA21" i="1"/>
  <c r="AC21" i="1"/>
  <c r="AD21" i="1"/>
  <c r="AE21" i="1"/>
  <c r="AF21" i="1"/>
  <c r="AG21" i="1"/>
  <c r="AH21" i="1"/>
  <c r="AI21" i="1"/>
  <c r="AJ21" i="1"/>
  <c r="V23" i="1"/>
  <c r="W23" i="1"/>
  <c r="X23" i="1"/>
  <c r="Y23" i="1"/>
  <c r="Z23" i="1"/>
  <c r="AA23" i="1"/>
  <c r="AC23" i="1"/>
  <c r="AD23" i="1"/>
  <c r="AE23" i="1"/>
  <c r="AF23" i="1"/>
  <c r="AG23" i="1"/>
  <c r="AH23" i="1"/>
  <c r="AI23" i="1"/>
  <c r="AJ23" i="1"/>
  <c r="V24" i="1"/>
  <c r="W24" i="1"/>
  <c r="X24" i="1"/>
  <c r="Y24" i="1"/>
  <c r="Z24" i="1"/>
  <c r="AA24" i="1"/>
  <c r="AC24" i="1"/>
  <c r="AD24" i="1"/>
  <c r="AE24" i="1"/>
  <c r="AF24" i="1"/>
  <c r="AG24" i="1"/>
  <c r="AH24" i="1"/>
  <c r="AI24" i="1"/>
  <c r="AJ24" i="1"/>
  <c r="B18" i="3"/>
  <c r="B6" i="3" l="1"/>
  <c r="M12" i="1"/>
  <c r="B12" i="1"/>
  <c r="M10" i="1"/>
  <c r="L10" i="1"/>
  <c r="K10" i="1"/>
  <c r="J10" i="1"/>
  <c r="I10" i="1"/>
  <c r="H10" i="1"/>
  <c r="G10" i="1"/>
  <c r="F10" i="1"/>
  <c r="E10" i="1"/>
  <c r="D10" i="1"/>
  <c r="C10" i="1"/>
  <c r="B10" i="1"/>
  <c r="B24" i="1" l="1"/>
  <c r="B44" i="1" s="1"/>
  <c r="B46" i="1" s="1"/>
  <c r="C24" i="1"/>
  <c r="C44" i="1" s="1"/>
  <c r="D24" i="1"/>
  <c r="D44" i="1" s="1"/>
  <c r="E24" i="1"/>
  <c r="E44" i="1" s="1"/>
  <c r="F24" i="1"/>
  <c r="F44" i="1" s="1"/>
  <c r="G24" i="1"/>
  <c r="G44" i="1" s="1"/>
  <c r="H24" i="1"/>
  <c r="H44" i="1" s="1"/>
  <c r="I24" i="1"/>
  <c r="I44" i="1" s="1"/>
  <c r="J24" i="1"/>
  <c r="J44" i="1" s="1"/>
  <c r="K24" i="1"/>
  <c r="K44" i="1" s="1"/>
  <c r="L24" i="1"/>
  <c r="L44" i="1" s="1"/>
  <c r="M24" i="1"/>
  <c r="M44" i="1" s="1"/>
  <c r="B15" i="1" l="1"/>
  <c r="C6" i="3" l="1"/>
  <c r="D6" i="3"/>
  <c r="D26" i="3" s="1"/>
  <c r="E6" i="3"/>
  <c r="F6" i="3"/>
  <c r="G6" i="3"/>
  <c r="H6" i="3"/>
  <c r="I6" i="3"/>
  <c r="J6" i="3"/>
  <c r="K6" i="3"/>
  <c r="L6" i="3"/>
  <c r="M6" i="3"/>
  <c r="M26" i="3" s="1"/>
  <c r="T6" i="3" l="1"/>
  <c r="R6" i="3"/>
  <c r="Q6" i="3"/>
  <c r="P6" i="3"/>
  <c r="O6" i="3"/>
  <c r="S6" i="3"/>
  <c r="M13" i="3"/>
  <c r="M10" i="3"/>
  <c r="H18" i="3" l="1"/>
  <c r="H27" i="3" s="1"/>
  <c r="I18" i="3"/>
  <c r="I27" i="3" s="1"/>
  <c r="J18" i="3"/>
  <c r="J27" i="3" s="1"/>
  <c r="L18" i="3"/>
  <c r="L27" i="3" s="1"/>
  <c r="C18" i="3"/>
  <c r="C27" i="3" s="1"/>
  <c r="K18" i="3"/>
  <c r="K27" i="3" s="1"/>
  <c r="D18" i="3"/>
  <c r="D27" i="3" s="1"/>
  <c r="G18" i="3"/>
  <c r="G27" i="3" s="1"/>
  <c r="E18" i="3"/>
  <c r="E27" i="3" s="1"/>
  <c r="M18" i="3"/>
  <c r="M27" i="3" s="1"/>
  <c r="F18" i="3"/>
  <c r="F27" i="3" s="1"/>
  <c r="O18" i="3"/>
  <c r="P18" i="3"/>
  <c r="Q18" i="3"/>
  <c r="R18" i="3"/>
  <c r="S18" i="3"/>
  <c r="T18" i="3"/>
  <c r="M12" i="3" l="1"/>
  <c r="M9" i="3" l="1"/>
  <c r="E6" i="7" l="1"/>
  <c r="M23" i="1" l="1"/>
  <c r="B23" i="1"/>
  <c r="M21" i="1"/>
  <c r="B21" i="1"/>
  <c r="M18" i="1"/>
  <c r="B18" i="1"/>
  <c r="M15" i="1"/>
  <c r="M43" i="1" l="1"/>
  <c r="B43" i="1"/>
  <c r="M11" i="1"/>
  <c r="B11" i="1"/>
  <c r="M42" i="1" l="1"/>
  <c r="B42" i="1" l="1"/>
  <c r="M9" i="1" l="1"/>
  <c r="M8" i="1" l="1"/>
  <c r="Y43" i="12" l="1"/>
  <c r="Y42" i="12"/>
  <c r="Y41" i="12"/>
  <c r="Z43" i="12"/>
  <c r="Z42" i="12"/>
  <c r="Y27" i="12"/>
  <c r="D153" i="15" s="1"/>
  <c r="Y26" i="12"/>
  <c r="C153" i="15" s="1"/>
  <c r="Y25" i="12"/>
  <c r="B153" i="15" l="1"/>
  <c r="Y30" i="12"/>
  <c r="AA45" i="12" s="1"/>
  <c r="AJ38" i="1"/>
  <c r="AI38" i="1"/>
  <c r="AH38" i="1"/>
  <c r="AG38" i="1"/>
  <c r="AF38" i="1"/>
  <c r="AE38" i="1"/>
  <c r="AD38" i="1"/>
  <c r="Y45" i="12" l="1"/>
  <c r="AC38" i="1"/>
  <c r="W38" i="1"/>
  <c r="X38" i="1"/>
  <c r="Y38" i="1"/>
  <c r="Z38" i="1"/>
  <c r="AA38" i="1"/>
  <c r="AC44" i="1" a="1"/>
  <c r="AJ44" i="1" s="1"/>
  <c r="V38" i="1"/>
  <c r="AD44" i="1" l="1"/>
  <c r="AE44" i="1"/>
  <c r="AH44" i="1"/>
  <c r="AF44" i="1"/>
  <c r="AG44" i="1"/>
  <c r="AI44" i="1"/>
  <c r="AC44" i="1"/>
  <c r="AJ42" i="1" l="1"/>
  <c r="AI42" i="1"/>
  <c r="AH42" i="1"/>
  <c r="AG42" i="1"/>
  <c r="AF42" i="1"/>
  <c r="AE42" i="1"/>
  <c r="AD42" i="1"/>
  <c r="AC42" i="1"/>
  <c r="AD43" i="1" l="1"/>
  <c r="AD46" i="1" s="1"/>
  <c r="AE43" i="1"/>
  <c r="AE46" i="1" s="1"/>
  <c r="AF43" i="1"/>
  <c r="AF46" i="1" s="1"/>
  <c r="AG43" i="1"/>
  <c r="AG46" i="1" s="1"/>
  <c r="AH43" i="1"/>
  <c r="AH46" i="1" s="1"/>
  <c r="AI43" i="1"/>
  <c r="AI46" i="1" s="1"/>
  <c r="AJ43" i="1"/>
  <c r="AJ46" i="1" s="1"/>
  <c r="AC43" i="1"/>
  <c r="AC46" i="1" s="1"/>
  <c r="W46" i="1"/>
  <c r="X46" i="1"/>
  <c r="Y46" i="1"/>
  <c r="Z46" i="1"/>
  <c r="AA46" i="1"/>
  <c r="V46" i="1"/>
  <c r="AC37" i="1" l="1"/>
  <c r="AC39" i="1" s="1"/>
  <c r="W37" i="1" l="1"/>
  <c r="W39" i="1" s="1"/>
  <c r="Y37" i="1"/>
  <c r="Y39" i="1" s="1"/>
  <c r="Z37" i="1"/>
  <c r="Z39" i="1" s="1"/>
  <c r="AA37" i="1"/>
  <c r="AA39" i="1" s="1"/>
  <c r="X37" i="1"/>
  <c r="X39" i="1" s="1"/>
  <c r="V37" i="1" l="1"/>
  <c r="V39" i="1" s="1"/>
  <c r="W135" i="15"/>
  <c r="J5" i="10" l="1"/>
  <c r="C8" i="10"/>
  <c r="C10" i="6"/>
  <c r="D32" i="4"/>
  <c r="D56" i="2"/>
  <c r="AD33" i="2" l="1"/>
  <c r="AC33" i="2"/>
  <c r="AB33" i="2"/>
  <c r="AA33" i="2"/>
  <c r="Z33" i="2"/>
  <c r="Y33" i="2"/>
  <c r="X33" i="2"/>
  <c r="W33" i="2"/>
  <c r="B33" i="2"/>
  <c r="AC18" i="3"/>
  <c r="AC23" i="4" s="1"/>
  <c r="AB18" i="3"/>
  <c r="AB23" i="4" s="1"/>
  <c r="AA18" i="3"/>
  <c r="AA23" i="4" s="1"/>
  <c r="Z18" i="3"/>
  <c r="Y18" i="3"/>
  <c r="X18" i="3"/>
  <c r="X23" i="4" s="1"/>
  <c r="W18" i="3"/>
  <c r="W23" i="4" s="1"/>
  <c r="V18" i="3"/>
  <c r="V23" i="4" s="1"/>
  <c r="AC22" i="4"/>
  <c r="AB22" i="4"/>
  <c r="AA22" i="4"/>
  <c r="Z22" i="4"/>
  <c r="Y22" i="4"/>
  <c r="X22" i="4"/>
  <c r="W22" i="4"/>
  <c r="V22" i="4"/>
  <c r="AC18" i="4"/>
  <c r="AC20" i="4" s="1"/>
  <c r="AB18" i="4"/>
  <c r="AB20" i="4" s="1"/>
  <c r="AA18" i="4"/>
  <c r="AA20" i="4" s="1"/>
  <c r="Z18" i="4"/>
  <c r="Z20" i="4" s="1"/>
  <c r="Y18" i="4"/>
  <c r="Y20" i="4" s="1"/>
  <c r="X18" i="4"/>
  <c r="X20" i="4" s="1"/>
  <c r="W18" i="4"/>
  <c r="W20" i="4" s="1"/>
  <c r="V18" i="4"/>
  <c r="V20" i="4" s="1"/>
  <c r="T23" i="4"/>
  <c r="S23" i="4"/>
  <c r="R23" i="4"/>
  <c r="T22" i="4"/>
  <c r="S22" i="4"/>
  <c r="R22" i="4"/>
  <c r="Q22" i="4"/>
  <c r="P22" i="4"/>
  <c r="O22" i="4"/>
  <c r="T18" i="4"/>
  <c r="T20" i="4" s="1"/>
  <c r="S18" i="4"/>
  <c r="S20" i="4" s="1"/>
  <c r="R18" i="4"/>
  <c r="R20" i="4" s="1"/>
  <c r="Q18" i="4"/>
  <c r="Q20" i="4" s="1"/>
  <c r="P18" i="4"/>
  <c r="P20" i="4" s="1"/>
  <c r="O18" i="4"/>
  <c r="O20" i="4" s="1"/>
  <c r="AC17" i="4"/>
  <c r="AB17" i="4"/>
  <c r="AA17" i="4"/>
  <c r="Z17" i="4"/>
  <c r="Y17" i="4"/>
  <c r="X17" i="4"/>
  <c r="W17" i="4"/>
  <c r="V17" i="4"/>
  <c r="AC16" i="4"/>
  <c r="AC15" i="4" s="1"/>
  <c r="AB16" i="4"/>
  <c r="AA16" i="4"/>
  <c r="Z16" i="4"/>
  <c r="Y16" i="4"/>
  <c r="X16" i="4"/>
  <c r="X15" i="4" s="1"/>
  <c r="W16" i="4"/>
  <c r="W15" i="4" s="1"/>
  <c r="V16" i="4"/>
  <c r="AC12" i="4"/>
  <c r="AB12" i="4"/>
  <c r="AA12" i="4"/>
  <c r="Z12" i="4"/>
  <c r="Y12" i="4"/>
  <c r="X12" i="4"/>
  <c r="W12" i="4"/>
  <c r="V12" i="4"/>
  <c r="AC11" i="4"/>
  <c r="AB11" i="4"/>
  <c r="AA11" i="4"/>
  <c r="Z11" i="4"/>
  <c r="Y11" i="4"/>
  <c r="X11" i="4"/>
  <c r="W11" i="4"/>
  <c r="V11" i="4"/>
  <c r="AC10" i="4"/>
  <c r="AB10" i="4"/>
  <c r="AB9" i="4" s="1"/>
  <c r="AA10" i="4"/>
  <c r="AA9" i="4" s="1"/>
  <c r="Z10" i="4"/>
  <c r="Y10" i="4"/>
  <c r="X10" i="4"/>
  <c r="W10" i="4"/>
  <c r="V10" i="4"/>
  <c r="T17" i="4"/>
  <c r="S17" i="4"/>
  <c r="R17" i="4"/>
  <c r="Q17" i="4"/>
  <c r="P17" i="4"/>
  <c r="O17" i="4"/>
  <c r="T16" i="4"/>
  <c r="S16" i="4"/>
  <c r="R16" i="4"/>
  <c r="Q16" i="4"/>
  <c r="O16" i="4"/>
  <c r="T12" i="4"/>
  <c r="S12" i="4"/>
  <c r="R12" i="4"/>
  <c r="Q12" i="4"/>
  <c r="P12" i="4"/>
  <c r="O12" i="4"/>
  <c r="T11" i="4"/>
  <c r="S11" i="4"/>
  <c r="R11" i="4"/>
  <c r="Q11" i="4"/>
  <c r="P11" i="4"/>
  <c r="O11" i="4"/>
  <c r="T10" i="4"/>
  <c r="S10" i="4"/>
  <c r="R10" i="4"/>
  <c r="Q10" i="4"/>
  <c r="P10" i="4"/>
  <c r="O10" i="4"/>
  <c r="AC7" i="4"/>
  <c r="AB7" i="4"/>
  <c r="AA7" i="4"/>
  <c r="Y7" i="4"/>
  <c r="X7" i="4"/>
  <c r="T7" i="4"/>
  <c r="R7" i="4"/>
  <c r="Q7" i="4"/>
  <c r="P7" i="4"/>
  <c r="O7" i="4"/>
  <c r="AB6" i="3"/>
  <c r="AD11" i="2"/>
  <c r="AC11" i="2"/>
  <c r="AB11" i="2"/>
  <c r="AA11" i="2"/>
  <c r="Z11" i="2"/>
  <c r="Y11" i="2"/>
  <c r="X11" i="2"/>
  <c r="W11" i="2"/>
  <c r="AD35" i="2"/>
  <c r="AC35" i="2"/>
  <c r="AB35" i="2"/>
  <c r="AA35" i="2"/>
  <c r="Z35" i="2"/>
  <c r="Y35" i="2"/>
  <c r="X35" i="2"/>
  <c r="W35" i="2"/>
  <c r="AD34" i="2"/>
  <c r="AC34" i="2"/>
  <c r="AB34" i="2"/>
  <c r="AA34" i="2"/>
  <c r="Z34" i="2"/>
  <c r="Y34" i="2"/>
  <c r="X34" i="2"/>
  <c r="W34" i="2"/>
  <c r="AD30" i="2"/>
  <c r="AC30" i="2"/>
  <c r="AB30" i="2"/>
  <c r="AA30" i="2"/>
  <c r="Z30" i="2"/>
  <c r="Y30" i="2"/>
  <c r="X30" i="2"/>
  <c r="W30" i="2"/>
  <c r="AD28" i="2"/>
  <c r="AC28" i="2"/>
  <c r="AB28" i="2"/>
  <c r="AA28" i="2"/>
  <c r="Z28" i="2"/>
  <c r="Y28" i="2"/>
  <c r="X28" i="2"/>
  <c r="W28" i="2"/>
  <c r="AD29" i="2"/>
  <c r="AC29" i="2"/>
  <c r="AB29" i="2"/>
  <c r="AA29" i="2"/>
  <c r="Z29" i="2"/>
  <c r="Y29" i="2"/>
  <c r="X29" i="2"/>
  <c r="W29" i="2"/>
  <c r="AD25" i="2"/>
  <c r="AD27" i="2" s="1"/>
  <c r="AC25" i="2"/>
  <c r="AC27" i="2" s="1"/>
  <c r="AB25" i="2"/>
  <c r="AB27" i="2" s="1"/>
  <c r="AA25" i="2"/>
  <c r="AA27" i="2" s="1"/>
  <c r="Z25" i="2"/>
  <c r="Z27" i="2" s="1"/>
  <c r="Y25" i="2"/>
  <c r="Y27" i="2" s="1"/>
  <c r="X25" i="2"/>
  <c r="X27" i="2" s="1"/>
  <c r="W25" i="2"/>
  <c r="W27" i="2" s="1"/>
  <c r="AD23" i="2"/>
  <c r="AC23" i="2"/>
  <c r="AB23" i="2"/>
  <c r="AA23" i="2"/>
  <c r="Z23" i="2"/>
  <c r="Y23" i="2"/>
  <c r="X23" i="2"/>
  <c r="W23" i="2"/>
  <c r="AD24" i="2"/>
  <c r="AC24" i="2"/>
  <c r="AB24" i="2"/>
  <c r="AA24" i="2"/>
  <c r="Z24" i="2"/>
  <c r="Y24" i="2"/>
  <c r="X24" i="2"/>
  <c r="W24" i="2"/>
  <c r="AD22" i="2"/>
  <c r="AC22" i="2"/>
  <c r="AB22" i="2"/>
  <c r="AA22" i="2"/>
  <c r="Z22" i="2"/>
  <c r="Y22" i="2"/>
  <c r="X22" i="2"/>
  <c r="W22" i="2"/>
  <c r="X9" i="4" l="1"/>
  <c r="Z9" i="4"/>
  <c r="AC9" i="4"/>
  <c r="S9" i="4"/>
  <c r="Q15" i="4"/>
  <c r="V15" i="4"/>
  <c r="O9" i="4"/>
  <c r="Y9" i="4"/>
  <c r="Y15" i="4"/>
  <c r="O23" i="4"/>
  <c r="Y23" i="4"/>
  <c r="O6" i="4"/>
  <c r="Z23" i="4"/>
  <c r="AB29" i="3"/>
  <c r="P23" i="4"/>
  <c r="R9" i="4"/>
  <c r="Q23" i="4"/>
  <c r="AB6" i="4"/>
  <c r="AB15" i="4"/>
  <c r="Y21" i="2"/>
  <c r="AA21" i="2"/>
  <c r="Q9" i="4"/>
  <c r="O15" i="4"/>
  <c r="Z15" i="4"/>
  <c r="T9" i="4"/>
  <c r="R15" i="4"/>
  <c r="T15" i="4"/>
  <c r="S15" i="4"/>
  <c r="V9" i="4"/>
  <c r="AA15" i="4"/>
  <c r="P9" i="4"/>
  <c r="W9" i="4"/>
  <c r="AC21" i="2"/>
  <c r="AD21" i="2"/>
  <c r="W21" i="2"/>
  <c r="X21" i="2"/>
  <c r="Z7" i="4"/>
  <c r="AB21" i="2"/>
  <c r="S7" i="4"/>
  <c r="Z21" i="2"/>
  <c r="V7" i="4"/>
  <c r="P16" i="4"/>
  <c r="P15" i="4" s="1"/>
  <c r="W7" i="4"/>
  <c r="AD18" i="2" l="1"/>
  <c r="AC18" i="2"/>
  <c r="AB18" i="2"/>
  <c r="AA18" i="2"/>
  <c r="Z18" i="2"/>
  <c r="Y18" i="2"/>
  <c r="X18" i="2"/>
  <c r="W18" i="2"/>
  <c r="Y17" i="2"/>
  <c r="AD17" i="2"/>
  <c r="AC17" i="2"/>
  <c r="AB17" i="2"/>
  <c r="AA17" i="2"/>
  <c r="Z17" i="2"/>
  <c r="X17" i="2"/>
  <c r="W17" i="2"/>
  <c r="AD16" i="2"/>
  <c r="AC16" i="2"/>
  <c r="AB16" i="2"/>
  <c r="AA16" i="2"/>
  <c r="Z16" i="2"/>
  <c r="Y16" i="2"/>
  <c r="X16" i="2"/>
  <c r="W16" i="2"/>
  <c r="AJ37" i="1" l="1"/>
  <c r="AJ39" i="1" s="1"/>
  <c r="AI37" i="1"/>
  <c r="AI39" i="1" s="1"/>
  <c r="AH37" i="1"/>
  <c r="AH39" i="1" s="1"/>
  <c r="AG37" i="1"/>
  <c r="AG39" i="1" s="1"/>
  <c r="AF37" i="1"/>
  <c r="AF39" i="1" s="1"/>
  <c r="AE37" i="1"/>
  <c r="AE39" i="1" s="1"/>
  <c r="AD37" i="1"/>
  <c r="AD39" i="1" s="1"/>
  <c r="W13" i="2"/>
  <c r="AD6" i="2"/>
  <c r="AC6" i="2"/>
  <c r="AB6" i="2"/>
  <c r="AA6" i="2"/>
  <c r="Z6" i="2"/>
  <c r="Y6" i="2"/>
  <c r="X6" i="2"/>
  <c r="W6" i="2"/>
  <c r="X13" i="2" l="1"/>
  <c r="X48" i="2" s="1"/>
  <c r="Y13" i="2"/>
  <c r="Y48" i="2" s="1"/>
  <c r="Z13" i="2"/>
  <c r="Z48" i="2" s="1"/>
  <c r="AA13" i="2"/>
  <c r="AA48" i="2" s="1"/>
  <c r="AB13" i="2"/>
  <c r="AB48" i="2" s="1"/>
  <c r="AC13" i="2"/>
  <c r="AC48" i="2" s="1"/>
  <c r="AD13" i="2"/>
  <c r="AD48" i="2" s="1"/>
  <c r="W48" i="2"/>
  <c r="H51" i="13" l="1"/>
  <c r="G51" i="13"/>
  <c r="F51" i="13"/>
  <c r="F6" i="50" l="1"/>
  <c r="G6" i="50" s="1"/>
  <c r="H6" i="50" s="1"/>
  <c r="F5" i="50"/>
  <c r="G5" i="50" s="1"/>
  <c r="H5" i="50" s="1"/>
  <c r="J5" i="50"/>
  <c r="G35" i="49" l="1"/>
  <c r="P122" i="22" l="1"/>
  <c r="O122" i="22"/>
  <c r="N122" i="22"/>
  <c r="M122" i="22"/>
  <c r="L122" i="22"/>
  <c r="K122" i="22"/>
  <c r="J122" i="22"/>
  <c r="I122" i="22"/>
  <c r="H122" i="22"/>
  <c r="G122" i="22"/>
  <c r="F122" i="22"/>
  <c r="E122" i="22"/>
  <c r="D122" i="22"/>
  <c r="C122" i="22"/>
  <c r="B122" i="22"/>
  <c r="A122" i="22"/>
  <c r="I27" i="49" l="1"/>
  <c r="J16" i="49"/>
  <c r="J10" i="49" s="1"/>
  <c r="J15" i="49"/>
  <c r="D23" i="49" l="1"/>
  <c r="V12" i="49" l="1"/>
  <c r="V13" i="49"/>
  <c r="V14" i="49"/>
  <c r="V15" i="49"/>
  <c r="V16" i="49"/>
  <c r="V17" i="49"/>
  <c r="V11" i="49"/>
  <c r="V18" i="49" l="1"/>
  <c r="L3" i="43" l="1"/>
  <c r="G23" i="49" l="1"/>
  <c r="B25" i="13" l="1"/>
  <c r="AX19" i="24" l="1"/>
  <c r="G16" i="49" l="1"/>
  <c r="G17" i="49"/>
  <c r="G18" i="49"/>
  <c r="G15" i="49"/>
  <c r="F16" i="49"/>
  <c r="F17" i="49"/>
  <c r="F18" i="49"/>
  <c r="F15" i="49"/>
  <c r="G19" i="49" l="1"/>
  <c r="G26" i="49" l="1"/>
  <c r="L135" i="15"/>
  <c r="AX21" i="24"/>
  <c r="AX16" i="24"/>
  <c r="X16" i="12" l="1"/>
  <c r="X27" i="12" l="1"/>
  <c r="X26" i="12"/>
  <c r="X25" i="12"/>
  <c r="X17" i="12"/>
  <c r="X15" i="12"/>
  <c r="X37" i="12" l="1"/>
  <c r="X36" i="12"/>
  <c r="D14" i="49" l="1"/>
  <c r="D13" i="49"/>
  <c r="B13" i="49" s="1"/>
  <c r="D17" i="49" l="1"/>
  <c r="D15" i="49"/>
  <c r="D19" i="49" l="1"/>
  <c r="B19" i="49" s="1"/>
  <c r="B17" i="49"/>
  <c r="H19" i="49"/>
  <c r="D10" i="49"/>
  <c r="B10" i="49"/>
  <c r="B15" i="49" s="1"/>
  <c r="D7" i="49"/>
  <c r="B7" i="49"/>
  <c r="G10" i="49" l="1"/>
  <c r="F7" i="49"/>
  <c r="B21" i="49"/>
  <c r="U33" i="2"/>
  <c r="T33" i="2"/>
  <c r="S33" i="2"/>
  <c r="R33" i="2"/>
  <c r="Q33" i="2"/>
  <c r="U19" i="2"/>
  <c r="U20" i="2" s="1"/>
  <c r="U45" i="2" s="1"/>
  <c r="T19" i="2"/>
  <c r="S19" i="2"/>
  <c r="R19" i="2"/>
  <c r="Q19" i="2"/>
  <c r="Q20" i="2" s="1"/>
  <c r="Q45" i="2" s="1"/>
  <c r="P19" i="2"/>
  <c r="P20" i="2" s="1"/>
  <c r="P45" i="2" s="1"/>
  <c r="P33" i="2"/>
  <c r="U35" i="2"/>
  <c r="T35" i="2"/>
  <c r="S35" i="2"/>
  <c r="R35" i="2"/>
  <c r="Q35" i="2"/>
  <c r="P35" i="2"/>
  <c r="U34" i="2"/>
  <c r="T34" i="2"/>
  <c r="S34" i="2"/>
  <c r="R34" i="2"/>
  <c r="Q34" i="2"/>
  <c r="P34" i="2"/>
  <c r="U30" i="2"/>
  <c r="T30" i="2"/>
  <c r="S30" i="2"/>
  <c r="R30" i="2"/>
  <c r="Q30" i="2"/>
  <c r="P30" i="2"/>
  <c r="U28" i="2"/>
  <c r="T28" i="2"/>
  <c r="S28" i="2"/>
  <c r="R28" i="2"/>
  <c r="Q28" i="2"/>
  <c r="P28" i="2"/>
  <c r="U29" i="2"/>
  <c r="T29" i="2"/>
  <c r="S29" i="2"/>
  <c r="R29" i="2"/>
  <c r="Q29" i="2"/>
  <c r="P29" i="2"/>
  <c r="P25" i="2"/>
  <c r="U25" i="2"/>
  <c r="T25" i="2"/>
  <c r="S25" i="2"/>
  <c r="R25" i="2"/>
  <c r="Q25" i="2"/>
  <c r="U23" i="2"/>
  <c r="T23" i="2"/>
  <c r="S23" i="2"/>
  <c r="R23" i="2"/>
  <c r="Q23" i="2"/>
  <c r="P23" i="2"/>
  <c r="P24" i="2"/>
  <c r="U24" i="2"/>
  <c r="T24" i="2"/>
  <c r="S24" i="2"/>
  <c r="R24" i="2"/>
  <c r="Q24" i="2"/>
  <c r="U22" i="2"/>
  <c r="T22" i="2"/>
  <c r="S22" i="2"/>
  <c r="R22" i="2"/>
  <c r="Q22" i="2"/>
  <c r="P22" i="2"/>
  <c r="R20" i="2" l="1"/>
  <c r="R45" i="2" s="1"/>
  <c r="R43" i="2" s="1"/>
  <c r="R44" i="2" s="1"/>
  <c r="S20" i="2"/>
  <c r="S45" i="2" s="1"/>
  <c r="S43" i="2" s="1"/>
  <c r="S44" i="2" s="1"/>
  <c r="Q21" i="2"/>
  <c r="T20" i="2"/>
  <c r="T45" i="2" s="1"/>
  <c r="T43" i="2" s="1"/>
  <c r="T44" i="2" s="1"/>
  <c r="U43" i="2"/>
  <c r="U44" i="2" s="1"/>
  <c r="Q43" i="2"/>
  <c r="Q44" i="2" s="1"/>
  <c r="U21" i="2"/>
  <c r="P43" i="2"/>
  <c r="P44" i="2" s="1"/>
  <c r="P21" i="2"/>
  <c r="R21" i="2" l="1"/>
  <c r="T21" i="2"/>
  <c r="S21" i="2"/>
  <c r="U18" i="2"/>
  <c r="T18" i="2"/>
  <c r="S18" i="2"/>
  <c r="R18" i="2"/>
  <c r="Q18" i="2"/>
  <c r="P18" i="2"/>
  <c r="U17" i="2"/>
  <c r="T17" i="2"/>
  <c r="S17" i="2"/>
  <c r="R17" i="2"/>
  <c r="Q17" i="2"/>
  <c r="P17" i="2"/>
  <c r="U16" i="2"/>
  <c r="T16" i="2"/>
  <c r="S16" i="2"/>
  <c r="R16" i="2"/>
  <c r="Q16" i="2"/>
  <c r="P16" i="2"/>
  <c r="U13" i="2" l="1"/>
  <c r="T13" i="2"/>
  <c r="S13" i="2"/>
  <c r="R13" i="2"/>
  <c r="Q13" i="2"/>
  <c r="P13" i="2"/>
  <c r="S6" i="2"/>
  <c r="U6" i="2"/>
  <c r="T6" i="2"/>
  <c r="R6" i="2"/>
  <c r="Q6" i="2"/>
  <c r="P6" i="2"/>
  <c r="P48" i="2" l="1"/>
  <c r="Q24" i="21" s="1"/>
  <c r="R24" i="21" s="1"/>
  <c r="B8" i="31" s="1"/>
  <c r="S48" i="2"/>
  <c r="Q27" i="21" s="1"/>
  <c r="R27" i="21" s="1"/>
  <c r="B8" i="34" s="1"/>
  <c r="R48" i="2"/>
  <c r="Q26" i="21" s="1"/>
  <c r="R26" i="21" s="1"/>
  <c r="B8" i="33" s="1"/>
  <c r="T48" i="2"/>
  <c r="Q28" i="21" s="1"/>
  <c r="R28" i="21" s="1"/>
  <c r="B8" i="35" s="1"/>
  <c r="Q48" i="2"/>
  <c r="Q25" i="21" s="1"/>
  <c r="R25" i="21" s="1"/>
  <c r="B8" i="32" s="1"/>
  <c r="U48" i="2"/>
  <c r="Q29" i="21" s="1"/>
  <c r="R29" i="21" s="1"/>
  <c r="B8" i="36" s="1"/>
  <c r="P121" i="22" l="1"/>
  <c r="O121" i="22"/>
  <c r="N121" i="22"/>
  <c r="M121" i="22"/>
  <c r="L121" i="22"/>
  <c r="K121" i="22"/>
  <c r="J121" i="22"/>
  <c r="I121" i="22"/>
  <c r="H121" i="22"/>
  <c r="G121" i="22"/>
  <c r="F121" i="22"/>
  <c r="E121" i="22"/>
  <c r="D121" i="22"/>
  <c r="C121" i="22"/>
  <c r="B121" i="22"/>
  <c r="A121" i="22"/>
  <c r="U25" i="12" l="1"/>
  <c r="C37" i="13" l="1"/>
  <c r="C37" i="14" s="1"/>
  <c r="B37" i="13"/>
  <c r="B37" i="14" s="1"/>
  <c r="B20" i="13" l="1"/>
  <c r="L147" i="15" l="1"/>
  <c r="L153" i="15" s="1"/>
  <c r="B35" i="13"/>
  <c r="B34" i="13"/>
  <c r="B33" i="13"/>
  <c r="B32" i="13"/>
  <c r="B31" i="13"/>
  <c r="B29" i="13"/>
  <c r="B57" i="13" s="1"/>
  <c r="B28" i="13"/>
  <c r="B27" i="13"/>
  <c r="B23" i="13"/>
  <c r="B22" i="13"/>
  <c r="B21" i="13"/>
  <c r="C57" i="13" l="1"/>
  <c r="B24" i="13"/>
  <c r="B36" i="13" s="1"/>
  <c r="B38" i="13" s="1"/>
  <c r="I120" i="22"/>
  <c r="J120" i="22"/>
  <c r="F120" i="22"/>
  <c r="H120" i="22"/>
  <c r="A120" i="22"/>
  <c r="D119" i="22" l="1"/>
  <c r="E119" i="22"/>
  <c r="F119" i="22"/>
  <c r="G119" i="22"/>
  <c r="H119" i="22"/>
  <c r="I119" i="22"/>
  <c r="J119" i="22"/>
  <c r="K119" i="22"/>
  <c r="L119" i="22"/>
  <c r="M119" i="22"/>
  <c r="N119" i="22"/>
  <c r="O119" i="22"/>
  <c r="P119" i="22"/>
  <c r="C119" i="22"/>
  <c r="B119" i="22"/>
  <c r="M159" i="15" l="1"/>
  <c r="B118" i="22" l="1"/>
  <c r="C118" i="22"/>
  <c r="D118" i="22"/>
  <c r="E118" i="22"/>
  <c r="F118" i="22"/>
  <c r="G118" i="22"/>
  <c r="H118" i="22"/>
  <c r="I118" i="22"/>
  <c r="J118" i="22"/>
  <c r="K118" i="22"/>
  <c r="L118" i="22"/>
  <c r="M118" i="22"/>
  <c r="N118" i="22"/>
  <c r="M117" i="22" l="1"/>
  <c r="D117" i="22"/>
  <c r="F117" i="22"/>
  <c r="G117" i="22"/>
  <c r="H117" i="22"/>
  <c r="I117" i="22"/>
  <c r="J117" i="22"/>
  <c r="K117" i="22"/>
  <c r="R10" i="21"/>
  <c r="Q10" i="21"/>
  <c r="P10" i="21"/>
  <c r="O10" i="21"/>
  <c r="N10" i="21"/>
  <c r="K10" i="21"/>
  <c r="I10" i="21"/>
  <c r="H10" i="21"/>
  <c r="F10" i="21"/>
  <c r="E10" i="21"/>
  <c r="D10" i="21"/>
  <c r="C10" i="21"/>
  <c r="B10" i="21"/>
  <c r="X43" i="12" l="1"/>
  <c r="X42" i="12"/>
  <c r="X41" i="12"/>
  <c r="X62" i="12" l="1"/>
  <c r="U37" i="12"/>
  <c r="W41" i="12" l="1"/>
  <c r="W25" i="12" l="1"/>
  <c r="W30" i="12" s="1"/>
  <c r="U41" i="12"/>
  <c r="W27" i="12" l="1"/>
  <c r="W32" i="12" s="1"/>
  <c r="W26" i="12"/>
  <c r="T135" i="15" l="1"/>
  <c r="O135" i="15"/>
  <c r="Z160" i="15" l="1"/>
  <c r="Z148" i="15"/>
  <c r="Z151" i="15"/>
  <c r="Z150" i="15"/>
  <c r="Z149" i="15"/>
  <c r="Z163" i="15"/>
  <c r="Z162" i="15"/>
  <c r="Z161" i="15"/>
  <c r="M116" i="22"/>
  <c r="K116" i="22"/>
  <c r="J116" i="22"/>
  <c r="I116" i="22"/>
  <c r="H116" i="22"/>
  <c r="G116" i="22"/>
  <c r="F116" i="22"/>
  <c r="D116" i="22"/>
  <c r="A116" i="22"/>
  <c r="F50" i="13" l="1"/>
  <c r="M8" i="21" l="1"/>
  <c r="L8" i="21"/>
  <c r="W17" i="12" l="1"/>
  <c r="Y17" i="12" s="1"/>
  <c r="W16" i="12"/>
  <c r="W15" i="12"/>
  <c r="Y15" i="12" s="1"/>
  <c r="W36" i="12" l="1"/>
  <c r="W45" i="12" s="1"/>
  <c r="Y16" i="12"/>
  <c r="Y36" i="12" s="1"/>
  <c r="W37" i="12"/>
  <c r="AA49" i="12" l="1"/>
  <c r="C27" i="42"/>
  <c r="C27" i="41"/>
  <c r="C27" i="40"/>
  <c r="C27" i="39"/>
  <c r="C27" i="38"/>
  <c r="C27" i="37" l="1"/>
  <c r="Y32" i="12" l="1"/>
  <c r="Y31" i="12"/>
  <c r="AA58" i="12" s="1"/>
  <c r="Y58" i="12"/>
  <c r="Y51" i="12"/>
  <c r="Y70" i="12" s="1"/>
  <c r="Y59" i="12"/>
  <c r="AA59" i="12" l="1"/>
  <c r="Y62" i="12"/>
  <c r="AA62" i="12" s="1"/>
  <c r="Y63" i="12"/>
  <c r="Y65" i="12"/>
  <c r="Y37" i="12"/>
  <c r="Y46" i="12" s="1"/>
  <c r="Y38" i="12"/>
  <c r="Y47" i="12" s="1"/>
  <c r="Y66" i="12"/>
  <c r="AA63" i="12" l="1"/>
  <c r="AA47" i="12"/>
  <c r="AA51" i="12" s="1"/>
  <c r="AA46" i="12"/>
  <c r="AA50" i="12" s="1"/>
  <c r="Y49" i="12"/>
  <c r="Y53" i="12" s="1"/>
  <c r="I153" i="15" s="1"/>
  <c r="O153" i="15" s="1"/>
  <c r="Y68" i="12"/>
  <c r="Y72" i="12" s="1"/>
  <c r="C16" i="14" l="1"/>
  <c r="J153" i="15"/>
  <c r="P153" i="15" s="1"/>
  <c r="C3" i="48"/>
  <c r="C3" i="47"/>
  <c r="C3" i="46"/>
  <c r="C3" i="45"/>
  <c r="C3" i="44"/>
  <c r="C3" i="43"/>
  <c r="B16" i="14" l="1"/>
  <c r="F5" i="43"/>
  <c r="E5" i="43"/>
  <c r="G5" i="43"/>
  <c r="D5" i="43"/>
  <c r="C5" i="43"/>
  <c r="A5" i="43"/>
  <c r="B5" i="43"/>
  <c r="G5" i="46"/>
  <c r="F5" i="46"/>
  <c r="E5" i="46"/>
  <c r="D5" i="46"/>
  <c r="C5" i="46"/>
  <c r="B5" i="46"/>
  <c r="A5" i="46"/>
  <c r="E5" i="44"/>
  <c r="G5" i="44"/>
  <c r="F5" i="44"/>
  <c r="D5" i="44"/>
  <c r="A5" i="44"/>
  <c r="C5" i="44"/>
  <c r="B5" i="44"/>
  <c r="G5" i="47"/>
  <c r="F5" i="47"/>
  <c r="E5" i="47"/>
  <c r="C5" i="47"/>
  <c r="D5" i="47"/>
  <c r="B5" i="47"/>
  <c r="A5" i="47"/>
  <c r="G5" i="45"/>
  <c r="F5" i="45"/>
  <c r="E5" i="45"/>
  <c r="A5" i="45"/>
  <c r="C5" i="45"/>
  <c r="D5" i="45"/>
  <c r="B5" i="45"/>
  <c r="G5" i="48"/>
  <c r="F5" i="48"/>
  <c r="E5" i="48"/>
  <c r="D5" i="48"/>
  <c r="C5" i="48"/>
  <c r="B5" i="48"/>
  <c r="A5" i="48"/>
  <c r="D15" i="48"/>
  <c r="C13" i="47"/>
  <c r="D13" i="46"/>
  <c r="D13" i="45"/>
  <c r="D13" i="44"/>
  <c r="D13" i="43"/>
  <c r="C15" i="43" l="1"/>
  <c r="D15" i="43"/>
  <c r="C9" i="48"/>
  <c r="C11" i="48" s="1"/>
  <c r="C13" i="48"/>
  <c r="D9" i="48"/>
  <c r="D11" i="48" s="1"/>
  <c r="D13" i="48"/>
  <c r="C15" i="48"/>
  <c r="I15" i="48" s="1"/>
  <c r="D15" i="47"/>
  <c r="D9" i="47"/>
  <c r="D11" i="47" s="1"/>
  <c r="D13" i="47"/>
  <c r="C15" i="47"/>
  <c r="C9" i="47"/>
  <c r="C11" i="47" s="1"/>
  <c r="C15" i="46"/>
  <c r="D15" i="46"/>
  <c r="C9" i="46"/>
  <c r="C11" i="46" s="1"/>
  <c r="C13" i="46"/>
  <c r="D9" i="46"/>
  <c r="D11" i="46" s="1"/>
  <c r="C15" i="45"/>
  <c r="D15" i="45"/>
  <c r="C9" i="45"/>
  <c r="C11" i="45" s="1"/>
  <c r="C13" i="45"/>
  <c r="D9" i="45"/>
  <c r="D11" i="45" s="1"/>
  <c r="C15" i="44"/>
  <c r="D15" i="44"/>
  <c r="C13" i="44"/>
  <c r="C9" i="44"/>
  <c r="C11" i="44" s="1"/>
  <c r="D9" i="44"/>
  <c r="D11" i="44" s="1"/>
  <c r="C9" i="43"/>
  <c r="C11" i="43" s="1"/>
  <c r="C13" i="43"/>
  <c r="D9" i="43"/>
  <c r="D11" i="43" s="1"/>
  <c r="I15" i="46" l="1"/>
  <c r="I15" i="45"/>
  <c r="I15" i="44"/>
  <c r="I15" i="47"/>
  <c r="I15" i="43"/>
  <c r="I11" i="47"/>
  <c r="E11" i="43"/>
  <c r="I11" i="43"/>
  <c r="E11" i="47"/>
  <c r="E13" i="48"/>
  <c r="E9" i="48"/>
  <c r="I13" i="48"/>
  <c r="I9" i="48"/>
  <c r="E15" i="48"/>
  <c r="F15" i="48" s="1"/>
  <c r="I11" i="48"/>
  <c r="E11" i="48"/>
  <c r="E15" i="47"/>
  <c r="F15" i="47" s="1"/>
  <c r="E13" i="47"/>
  <c r="E9" i="47"/>
  <c r="I13" i="47"/>
  <c r="I9" i="47"/>
  <c r="E11" i="46"/>
  <c r="I11" i="46"/>
  <c r="I13" i="46"/>
  <c r="I9" i="46"/>
  <c r="E9" i="46"/>
  <c r="E15" i="46"/>
  <c r="F15" i="46" s="1"/>
  <c r="E13" i="46"/>
  <c r="E11" i="45"/>
  <c r="I11" i="45"/>
  <c r="I13" i="45"/>
  <c r="I9" i="45"/>
  <c r="E15" i="45"/>
  <c r="F15" i="45" s="1"/>
  <c r="E13" i="45"/>
  <c r="E9" i="45"/>
  <c r="E11" i="44"/>
  <c r="I11" i="44"/>
  <c r="I13" i="44"/>
  <c r="I9" i="44"/>
  <c r="E15" i="44"/>
  <c r="F15" i="44" s="1"/>
  <c r="E13" i="44"/>
  <c r="E9" i="44"/>
  <c r="I13" i="43"/>
  <c r="I9" i="43"/>
  <c r="E15" i="43"/>
  <c r="F15" i="43" s="1"/>
  <c r="E13" i="43"/>
  <c r="E9" i="43"/>
  <c r="A5" i="13" l="1"/>
  <c r="U27" i="12"/>
  <c r="U26" i="12"/>
  <c r="T27" i="12" l="1"/>
  <c r="T26" i="12"/>
  <c r="T25" i="12"/>
  <c r="W31" i="12" l="1"/>
  <c r="W58" i="12"/>
  <c r="G115" i="22" l="1"/>
  <c r="H115" i="22"/>
  <c r="I115" i="22"/>
  <c r="J115" i="22"/>
  <c r="M115" i="22"/>
  <c r="O115" i="22"/>
  <c r="A115" i="22"/>
  <c r="AA6" i="3" l="1"/>
  <c r="Z6" i="3"/>
  <c r="Y6" i="3"/>
  <c r="X6" i="3"/>
  <c r="W6" i="3"/>
  <c r="R6" i="4" l="1"/>
  <c r="R29" i="3"/>
  <c r="Y29" i="3"/>
  <c r="Y6" i="4"/>
  <c r="AA29" i="3"/>
  <c r="AA6" i="4"/>
  <c r="Q6" i="4"/>
  <c r="Q29" i="3"/>
  <c r="W29" i="3"/>
  <c r="W6" i="4"/>
  <c r="S6" i="4"/>
  <c r="S29" i="3"/>
  <c r="Z29" i="3"/>
  <c r="Z6" i="4"/>
  <c r="AC6" i="3"/>
  <c r="V6" i="3"/>
  <c r="X29" i="3"/>
  <c r="X6" i="4"/>
  <c r="T29" i="3"/>
  <c r="T6" i="4"/>
  <c r="P6" i="4" l="1"/>
  <c r="P29" i="3"/>
  <c r="AC6" i="4"/>
  <c r="AC29" i="3"/>
  <c r="V6" i="4"/>
  <c r="V29" i="3"/>
  <c r="H15" i="19"/>
  <c r="D33" i="39" l="1"/>
  <c r="D35" i="39" s="1"/>
  <c r="D37" i="39"/>
  <c r="C33" i="39"/>
  <c r="C35" i="39" s="1"/>
  <c r="C37" i="39"/>
  <c r="G29" i="39"/>
  <c r="E29" i="39"/>
  <c r="D39" i="39"/>
  <c r="D29" i="39"/>
  <c r="C39" i="39"/>
  <c r="C29" i="39"/>
  <c r="B29" i="39"/>
  <c r="A29" i="39"/>
  <c r="F29" i="39"/>
  <c r="D39" i="41"/>
  <c r="C39" i="41"/>
  <c r="D29" i="41"/>
  <c r="C29" i="41"/>
  <c r="B29" i="41"/>
  <c r="D37" i="41"/>
  <c r="D33" i="41"/>
  <c r="D35" i="41" s="1"/>
  <c r="A29" i="41"/>
  <c r="C37" i="41"/>
  <c r="C33" i="41"/>
  <c r="C35" i="41" s="1"/>
  <c r="G29" i="41"/>
  <c r="F29" i="41"/>
  <c r="E29" i="41"/>
  <c r="D39" i="40"/>
  <c r="C29" i="40"/>
  <c r="C39" i="40"/>
  <c r="B29" i="40"/>
  <c r="D33" i="40"/>
  <c r="D35" i="40" s="1"/>
  <c r="A29" i="40"/>
  <c r="C33" i="40"/>
  <c r="C35" i="40" s="1"/>
  <c r="D37" i="40"/>
  <c r="G29" i="40"/>
  <c r="C37" i="40"/>
  <c r="F29" i="40"/>
  <c r="E29" i="40"/>
  <c r="D29" i="40"/>
  <c r="F29" i="42"/>
  <c r="D39" i="42"/>
  <c r="E29" i="42"/>
  <c r="C39" i="42"/>
  <c r="D29" i="42"/>
  <c r="C29" i="42"/>
  <c r="B29" i="42"/>
  <c r="D37" i="42"/>
  <c r="D33" i="42"/>
  <c r="D35" i="42" s="1"/>
  <c r="A29" i="42"/>
  <c r="C37" i="42"/>
  <c r="C33" i="42"/>
  <c r="C35" i="42" s="1"/>
  <c r="G29" i="42"/>
  <c r="F29" i="37"/>
  <c r="E29" i="37"/>
  <c r="D29" i="37"/>
  <c r="C33" i="37"/>
  <c r="C35" i="37" s="1"/>
  <c r="C39" i="37"/>
  <c r="D37" i="37"/>
  <c r="B29" i="37"/>
  <c r="D39" i="37"/>
  <c r="G29" i="37"/>
  <c r="C37" i="37"/>
  <c r="C29" i="37"/>
  <c r="A29" i="37"/>
  <c r="D33" i="37"/>
  <c r="D35" i="37" s="1"/>
  <c r="C37" i="38"/>
  <c r="D39" i="38"/>
  <c r="C39" i="38"/>
  <c r="C29" i="38"/>
  <c r="B29" i="38"/>
  <c r="D33" i="38"/>
  <c r="D35" i="38" s="1"/>
  <c r="A29" i="38"/>
  <c r="D37" i="38"/>
  <c r="C33" i="38"/>
  <c r="C35" i="38" s="1"/>
  <c r="G29" i="38"/>
  <c r="F29" i="38"/>
  <c r="E29" i="38"/>
  <c r="D29" i="38"/>
  <c r="D13" i="39"/>
  <c r="D15" i="39"/>
  <c r="C9" i="39"/>
  <c r="C11" i="39" s="1"/>
  <c r="C13" i="39"/>
  <c r="D9" i="39"/>
  <c r="D11" i="39" s="1"/>
  <c r="C15" i="39"/>
  <c r="D15" i="19"/>
  <c r="C13" i="19"/>
  <c r="C15" i="19"/>
  <c r="D13" i="19"/>
  <c r="D9" i="19"/>
  <c r="C9" i="19"/>
  <c r="D15" i="40"/>
  <c r="D9" i="40"/>
  <c r="D11" i="40" s="1"/>
  <c r="D13" i="40"/>
  <c r="C13" i="40"/>
  <c r="C15" i="40"/>
  <c r="C9" i="40"/>
  <c r="C11" i="40" s="1"/>
  <c r="D13" i="37"/>
  <c r="D9" i="37"/>
  <c r="D11" i="37" s="1"/>
  <c r="C15" i="37"/>
  <c r="C13" i="37"/>
  <c r="D15" i="37"/>
  <c r="C9" i="37"/>
  <c r="C11" i="37" s="1"/>
  <c r="D13" i="41"/>
  <c r="D15" i="41"/>
  <c r="C15" i="41"/>
  <c r="C13" i="41"/>
  <c r="D9" i="41"/>
  <c r="D11" i="41" s="1"/>
  <c r="C9" i="41"/>
  <c r="C11" i="41" s="1"/>
  <c r="D15" i="38"/>
  <c r="D9" i="38"/>
  <c r="D11" i="38" s="1"/>
  <c r="D13" i="38"/>
  <c r="C15" i="38"/>
  <c r="C9" i="38"/>
  <c r="C11" i="38" s="1"/>
  <c r="C13" i="38"/>
  <c r="D15" i="42"/>
  <c r="D9" i="42"/>
  <c r="D11" i="42" s="1"/>
  <c r="C13" i="42"/>
  <c r="C15" i="42"/>
  <c r="C9" i="42"/>
  <c r="C11" i="42" s="1"/>
  <c r="D13" i="42"/>
  <c r="W43" i="12"/>
  <c r="W42" i="12"/>
  <c r="W46" i="12" s="1"/>
  <c r="V15" i="12"/>
  <c r="V16" i="12"/>
  <c r="V36" i="12" s="1"/>
  <c r="V17" i="12"/>
  <c r="V37" i="12" s="1"/>
  <c r="V30" i="12"/>
  <c r="V31" i="12"/>
  <c r="V32" i="12"/>
  <c r="V51" i="12"/>
  <c r="V70" i="12" s="1"/>
  <c r="V63" i="12"/>
  <c r="E9" i="19" l="1"/>
  <c r="V46" i="12"/>
  <c r="V45" i="12"/>
  <c r="E13" i="41"/>
  <c r="I13" i="40"/>
  <c r="W62" i="12"/>
  <c r="W65" i="12" s="1"/>
  <c r="E37" i="41"/>
  <c r="E39" i="37"/>
  <c r="F39" i="37" s="1"/>
  <c r="I11" i="41"/>
  <c r="I11" i="37"/>
  <c r="I13" i="41"/>
  <c r="I13" i="38"/>
  <c r="I35" i="38"/>
  <c r="I13" i="37"/>
  <c r="I37" i="37"/>
  <c r="I13" i="42"/>
  <c r="E13" i="38"/>
  <c r="I9" i="40"/>
  <c r="E39" i="38"/>
  <c r="F39" i="38" s="1"/>
  <c r="I33" i="38"/>
  <c r="I37" i="38"/>
  <c r="E33" i="38"/>
  <c r="E37" i="38"/>
  <c r="I33" i="37"/>
  <c r="I9" i="39"/>
  <c r="I35" i="41"/>
  <c r="E35" i="41"/>
  <c r="E37" i="37"/>
  <c r="I11" i="42"/>
  <c r="E11" i="39"/>
  <c r="I35" i="39"/>
  <c r="E35" i="39"/>
  <c r="E11" i="40"/>
  <c r="I13" i="39"/>
  <c r="E39" i="41"/>
  <c r="F39" i="41" s="1"/>
  <c r="I11" i="38"/>
  <c r="I35" i="37"/>
  <c r="E35" i="37"/>
  <c r="E33" i="41"/>
  <c r="I35" i="40"/>
  <c r="E35" i="40"/>
  <c r="I9" i="41"/>
  <c r="E39" i="39"/>
  <c r="F39" i="39" s="1"/>
  <c r="I33" i="39"/>
  <c r="I37" i="39"/>
  <c r="E33" i="39"/>
  <c r="E37" i="39"/>
  <c r="I37" i="40"/>
  <c r="E37" i="40"/>
  <c r="E39" i="40"/>
  <c r="F39" i="40" s="1"/>
  <c r="I33" i="40"/>
  <c r="E33" i="40"/>
  <c r="E39" i="42"/>
  <c r="F39" i="42" s="1"/>
  <c r="I37" i="42"/>
  <c r="I33" i="42"/>
  <c r="E37" i="42"/>
  <c r="E33" i="42"/>
  <c r="E33" i="37"/>
  <c r="I33" i="41"/>
  <c r="I11" i="40"/>
  <c r="I9" i="37"/>
  <c r="E15" i="42"/>
  <c r="F15" i="42" s="1"/>
  <c r="E9" i="41"/>
  <c r="E15" i="37"/>
  <c r="F15" i="37" s="1"/>
  <c r="E13" i="39"/>
  <c r="E35" i="42"/>
  <c r="I35" i="42"/>
  <c r="E35" i="38"/>
  <c r="I37" i="41"/>
  <c r="E9" i="37"/>
  <c r="E9" i="40"/>
  <c r="E15" i="38"/>
  <c r="F15" i="38" s="1"/>
  <c r="E9" i="42"/>
  <c r="E11" i="41"/>
  <c r="E15" i="39"/>
  <c r="F15" i="39" s="1"/>
  <c r="E13" i="37"/>
  <c r="E11" i="38"/>
  <c r="E11" i="37"/>
  <c r="E13" i="42"/>
  <c r="E11" i="42"/>
  <c r="I9" i="38"/>
  <c r="E9" i="39"/>
  <c r="E13" i="40"/>
  <c r="E15" i="41"/>
  <c r="F15" i="41" s="1"/>
  <c r="E9" i="38"/>
  <c r="I11" i="39"/>
  <c r="E15" i="40"/>
  <c r="F15" i="40" s="1"/>
  <c r="I9" i="42"/>
  <c r="V59" i="12"/>
  <c r="V66" i="12" s="1"/>
  <c r="V38" i="12"/>
  <c r="V47" i="12" s="1"/>
  <c r="V49" i="12" s="1"/>
  <c r="V53" i="12" s="1"/>
  <c r="V62" i="12" s="1"/>
  <c r="V58" i="12"/>
  <c r="V65" i="12" s="1"/>
  <c r="V68" i="12" l="1"/>
  <c r="V72" i="12" s="1"/>
  <c r="P114" i="22" l="1"/>
  <c r="O114" i="22"/>
  <c r="N114" i="22"/>
  <c r="M114" i="22"/>
  <c r="L114" i="22"/>
  <c r="K114" i="22"/>
  <c r="J114" i="22"/>
  <c r="I114" i="22"/>
  <c r="H114" i="22"/>
  <c r="G114" i="22"/>
  <c r="F114" i="22"/>
  <c r="E114" i="22"/>
  <c r="D114" i="22"/>
  <c r="C114" i="22"/>
  <c r="B114" i="22"/>
  <c r="A114" i="22"/>
  <c r="P112" i="22"/>
  <c r="O112" i="22"/>
  <c r="N112" i="22"/>
  <c r="M112" i="22"/>
  <c r="L112" i="22"/>
  <c r="K112" i="22"/>
  <c r="J112" i="22"/>
  <c r="I112" i="22"/>
  <c r="H112" i="22"/>
  <c r="G112" i="22"/>
  <c r="F112" i="22"/>
  <c r="E112" i="22"/>
  <c r="D112" i="22"/>
  <c r="C112" i="22"/>
  <c r="B112" i="22"/>
  <c r="A112" i="22"/>
  <c r="P111" i="22"/>
  <c r="O111" i="22"/>
  <c r="N111" i="22"/>
  <c r="M111" i="22"/>
  <c r="L111" i="22"/>
  <c r="K111" i="22"/>
  <c r="J111" i="22"/>
  <c r="I111" i="22"/>
  <c r="H111" i="22"/>
  <c r="G111" i="22"/>
  <c r="F111" i="22"/>
  <c r="E111" i="22"/>
  <c r="D111" i="22"/>
  <c r="C111" i="22"/>
  <c r="B111" i="22"/>
  <c r="A111" i="22"/>
  <c r="P110" i="22"/>
  <c r="O110" i="22"/>
  <c r="N110" i="22"/>
  <c r="M110" i="22"/>
  <c r="L110" i="22"/>
  <c r="K110" i="22"/>
  <c r="J110" i="22"/>
  <c r="I110" i="22"/>
  <c r="H110" i="22"/>
  <c r="G110" i="22"/>
  <c r="F110" i="22"/>
  <c r="E110" i="22"/>
  <c r="D110" i="22"/>
  <c r="C110" i="22"/>
  <c r="B110" i="22"/>
  <c r="A110" i="22"/>
  <c r="M153" i="15" l="1"/>
  <c r="X153" i="15"/>
  <c r="B30" i="14" l="1"/>
  <c r="B26" i="14"/>
  <c r="C68" i="13" l="1"/>
  <c r="B68" i="13"/>
  <c r="C73" i="13"/>
  <c r="C70" i="13"/>
  <c r="B70" i="13"/>
  <c r="D70" i="13" s="1"/>
  <c r="E70" i="13" s="1"/>
  <c r="D68" i="13" l="1"/>
  <c r="E68" i="13" s="1"/>
  <c r="G66" i="17" l="1"/>
  <c r="G65" i="17"/>
  <c r="G64" i="17"/>
  <c r="G68" i="17"/>
  <c r="T140" i="15" l="1"/>
  <c r="T139" i="15"/>
  <c r="Z139" i="15" s="1"/>
  <c r="T138" i="15"/>
  <c r="Z138" i="15" s="1"/>
  <c r="T137" i="15"/>
  <c r="Z137" i="15" s="1"/>
  <c r="T136" i="15"/>
  <c r="Z136" i="15" s="1"/>
  <c r="T134" i="15"/>
  <c r="T133" i="15"/>
  <c r="T132" i="15"/>
  <c r="T131" i="15"/>
  <c r="T130" i="15"/>
  <c r="T129" i="15"/>
  <c r="T128" i="15" l="1"/>
  <c r="T127" i="15" l="1"/>
  <c r="T126" i="15"/>
  <c r="T125" i="15"/>
  <c r="T124" i="15"/>
  <c r="T123" i="15"/>
  <c r="C42" i="30" l="1"/>
  <c r="C41" i="30"/>
  <c r="C40" i="30"/>
  <c r="C39" i="30"/>
  <c r="C38" i="30"/>
  <c r="C37" i="30"/>
  <c r="C36" i="30"/>
  <c r="C35" i="30"/>
  <c r="C34" i="30"/>
  <c r="C33" i="30"/>
  <c r="C31" i="30"/>
  <c r="C30" i="30"/>
  <c r="C29" i="30"/>
  <c r="C28" i="30"/>
  <c r="C27" i="30"/>
  <c r="C26" i="30"/>
  <c r="C24" i="30"/>
  <c r="C23" i="30"/>
  <c r="C22" i="30"/>
  <c r="C21" i="30"/>
  <c r="C19" i="30"/>
  <c r="D18" i="30"/>
  <c r="C18" i="30"/>
  <c r="C17" i="30"/>
  <c r="C16" i="30"/>
  <c r="C15" i="30"/>
  <c r="C14" i="30"/>
  <c r="C13" i="30"/>
  <c r="C12" i="30"/>
  <c r="C11" i="30"/>
  <c r="C10" i="30"/>
  <c r="C9" i="30"/>
  <c r="C8" i="30"/>
  <c r="C42" i="29"/>
  <c r="C41" i="29"/>
  <c r="C40" i="29"/>
  <c r="C39" i="29"/>
  <c r="C38" i="29"/>
  <c r="C37" i="29"/>
  <c r="C36" i="29"/>
  <c r="C35" i="29"/>
  <c r="C34" i="29"/>
  <c r="C33" i="29"/>
  <c r="C31" i="29"/>
  <c r="C30" i="29"/>
  <c r="C29" i="29"/>
  <c r="C28" i="29"/>
  <c r="C27" i="29"/>
  <c r="C26" i="29"/>
  <c r="C24" i="29"/>
  <c r="C23" i="29"/>
  <c r="C22" i="29"/>
  <c r="C21" i="29"/>
  <c r="C19" i="29"/>
  <c r="D18" i="29"/>
  <c r="C18" i="29"/>
  <c r="C17" i="29"/>
  <c r="C16" i="29"/>
  <c r="C15" i="29"/>
  <c r="C14" i="29"/>
  <c r="C13" i="29"/>
  <c r="C12" i="29"/>
  <c r="C11" i="29"/>
  <c r="C10" i="29"/>
  <c r="C9" i="29"/>
  <c r="C8" i="29"/>
  <c r="C42" i="28"/>
  <c r="C41" i="28"/>
  <c r="C40" i="28"/>
  <c r="C39" i="28"/>
  <c r="C38" i="28"/>
  <c r="C37" i="28"/>
  <c r="C36" i="28"/>
  <c r="C35" i="28"/>
  <c r="C34" i="28"/>
  <c r="C33" i="28"/>
  <c r="C31" i="28"/>
  <c r="C30" i="28"/>
  <c r="C29" i="28"/>
  <c r="C28" i="28"/>
  <c r="C27" i="28"/>
  <c r="C26" i="28"/>
  <c r="C24" i="28"/>
  <c r="C23" i="28"/>
  <c r="C22" i="28"/>
  <c r="C21" i="28"/>
  <c r="C19" i="28"/>
  <c r="D18" i="28"/>
  <c r="C18" i="28"/>
  <c r="C17" i="28"/>
  <c r="C16" i="28"/>
  <c r="C15" i="28"/>
  <c r="C14" i="28"/>
  <c r="C13" i="28"/>
  <c r="C12" i="28"/>
  <c r="C11" i="28"/>
  <c r="C10" i="28"/>
  <c r="C9" i="28"/>
  <c r="C8" i="28"/>
  <c r="C42" i="27"/>
  <c r="C41" i="27"/>
  <c r="C40" i="27"/>
  <c r="C39" i="27"/>
  <c r="C38" i="27"/>
  <c r="C37" i="27"/>
  <c r="C36" i="27"/>
  <c r="C35" i="27"/>
  <c r="C34" i="27"/>
  <c r="C33" i="27"/>
  <c r="C31" i="27"/>
  <c r="C30" i="27"/>
  <c r="C29" i="27"/>
  <c r="C28" i="27"/>
  <c r="C27" i="27"/>
  <c r="C26" i="27"/>
  <c r="C24" i="27"/>
  <c r="C23" i="27"/>
  <c r="C22" i="27"/>
  <c r="C21" i="27"/>
  <c r="C19" i="27"/>
  <c r="D18" i="27"/>
  <c r="C18" i="27"/>
  <c r="C17" i="27"/>
  <c r="C16" i="27"/>
  <c r="C15" i="27"/>
  <c r="C14" i="27"/>
  <c r="C13" i="27"/>
  <c r="C12" i="27"/>
  <c r="C11" i="27"/>
  <c r="C10" i="27"/>
  <c r="C9" i="27"/>
  <c r="C8" i="27"/>
  <c r="C42" i="26"/>
  <c r="C41" i="26"/>
  <c r="C40" i="26"/>
  <c r="C39" i="26"/>
  <c r="C38" i="26"/>
  <c r="C37" i="26"/>
  <c r="C36" i="26"/>
  <c r="C35" i="26"/>
  <c r="C34" i="26"/>
  <c r="C33" i="26"/>
  <c r="C31" i="26"/>
  <c r="C30" i="26"/>
  <c r="C29" i="26"/>
  <c r="C28" i="26"/>
  <c r="C27" i="26"/>
  <c r="C26" i="26"/>
  <c r="C24" i="26"/>
  <c r="C23" i="26"/>
  <c r="C22" i="26"/>
  <c r="C21" i="26"/>
  <c r="C19" i="26"/>
  <c r="D18" i="26"/>
  <c r="C18" i="26"/>
  <c r="C17" i="26"/>
  <c r="C16" i="26"/>
  <c r="C15" i="26"/>
  <c r="C14" i="26"/>
  <c r="C13" i="26"/>
  <c r="C12" i="26"/>
  <c r="C11" i="26"/>
  <c r="C10" i="26"/>
  <c r="C9" i="26"/>
  <c r="C8" i="26"/>
  <c r="P18" i="25"/>
  <c r="F30" i="25"/>
  <c r="D18" i="25" l="1"/>
  <c r="P42" i="36"/>
  <c r="T42" i="36" s="1"/>
  <c r="O42" i="36"/>
  <c r="D42" i="36"/>
  <c r="J42" i="36" s="1"/>
  <c r="Z42" i="36" s="1"/>
  <c r="C42" i="36"/>
  <c r="O41" i="36"/>
  <c r="C41" i="36"/>
  <c r="P40" i="36"/>
  <c r="T40" i="36" s="1"/>
  <c r="O40" i="36"/>
  <c r="D40" i="36"/>
  <c r="J40" i="36" s="1"/>
  <c r="C40" i="36"/>
  <c r="O39" i="36"/>
  <c r="C39" i="36"/>
  <c r="P38" i="36"/>
  <c r="T38" i="36" s="1"/>
  <c r="O38" i="36"/>
  <c r="D38" i="36"/>
  <c r="J38" i="36" s="1"/>
  <c r="C38" i="36"/>
  <c r="O37" i="36"/>
  <c r="C37" i="36"/>
  <c r="P36" i="36"/>
  <c r="T36" i="36" s="1"/>
  <c r="O36" i="36"/>
  <c r="D36" i="36"/>
  <c r="J36" i="36" s="1"/>
  <c r="C36" i="36"/>
  <c r="O35" i="36"/>
  <c r="C35" i="36"/>
  <c r="P34" i="36"/>
  <c r="T34" i="36" s="1"/>
  <c r="O34" i="36"/>
  <c r="D34" i="36"/>
  <c r="J34" i="36" s="1"/>
  <c r="C34" i="36"/>
  <c r="O33" i="36"/>
  <c r="C33" i="36"/>
  <c r="P31" i="36"/>
  <c r="T31" i="36" s="1"/>
  <c r="O31" i="36"/>
  <c r="S31" i="36" s="1"/>
  <c r="G31" i="36"/>
  <c r="D31" i="36"/>
  <c r="C31" i="36"/>
  <c r="O30" i="36"/>
  <c r="F30" i="36"/>
  <c r="E30" i="36"/>
  <c r="C30" i="36"/>
  <c r="P29" i="36"/>
  <c r="T29" i="36" s="1"/>
  <c r="O29" i="36"/>
  <c r="D29" i="36"/>
  <c r="J29" i="36" s="1"/>
  <c r="C29" i="36"/>
  <c r="O28" i="36"/>
  <c r="C28" i="36"/>
  <c r="P27" i="36"/>
  <c r="T27" i="36" s="1"/>
  <c r="O27" i="36"/>
  <c r="D27" i="36"/>
  <c r="J27" i="36" s="1"/>
  <c r="C27" i="36"/>
  <c r="O26" i="36"/>
  <c r="C26" i="36"/>
  <c r="O24" i="36"/>
  <c r="C24" i="36"/>
  <c r="O23" i="36"/>
  <c r="C23" i="36"/>
  <c r="O22" i="36"/>
  <c r="C22" i="36"/>
  <c r="O21" i="36"/>
  <c r="C21" i="36"/>
  <c r="O19" i="36"/>
  <c r="H19" i="36"/>
  <c r="R19" i="36" s="1"/>
  <c r="C19" i="36"/>
  <c r="O18" i="36"/>
  <c r="H18" i="36"/>
  <c r="R18" i="36" s="1"/>
  <c r="C18" i="36"/>
  <c r="R17" i="36"/>
  <c r="Q17" i="36"/>
  <c r="P17" i="36"/>
  <c r="O17" i="36"/>
  <c r="C17" i="36"/>
  <c r="R16" i="36"/>
  <c r="Q16" i="36"/>
  <c r="O16" i="36"/>
  <c r="C16" i="36"/>
  <c r="R15" i="36"/>
  <c r="Q15" i="36"/>
  <c r="O15" i="36"/>
  <c r="S15" i="36" s="1"/>
  <c r="C15" i="36"/>
  <c r="O14" i="36"/>
  <c r="H14" i="36"/>
  <c r="R14" i="36" s="1"/>
  <c r="C14" i="36"/>
  <c r="P13" i="36"/>
  <c r="O13" i="36"/>
  <c r="H13" i="36"/>
  <c r="R13" i="36" s="1"/>
  <c r="D13" i="36"/>
  <c r="C13" i="36"/>
  <c r="O12" i="36"/>
  <c r="H12" i="36"/>
  <c r="R12" i="36" s="1"/>
  <c r="C12" i="36"/>
  <c r="O11" i="36"/>
  <c r="H11" i="36"/>
  <c r="R11" i="36" s="1"/>
  <c r="C11" i="36"/>
  <c r="P10" i="36"/>
  <c r="O10" i="36"/>
  <c r="D10" i="36"/>
  <c r="C10" i="36"/>
  <c r="O9" i="36"/>
  <c r="H9" i="36"/>
  <c r="R9" i="36" s="1"/>
  <c r="C9" i="36"/>
  <c r="O8" i="36"/>
  <c r="H8" i="36"/>
  <c r="R8" i="36" s="1"/>
  <c r="C8" i="36"/>
  <c r="J6" i="36"/>
  <c r="T6" i="36" s="1"/>
  <c r="Z6" i="36" s="1"/>
  <c r="P5" i="36"/>
  <c r="A2" i="36"/>
  <c r="P42" i="35"/>
  <c r="T42" i="35" s="1"/>
  <c r="O42" i="35"/>
  <c r="D42" i="35"/>
  <c r="J42" i="35" s="1"/>
  <c r="C42" i="35"/>
  <c r="O41" i="35"/>
  <c r="C41" i="35"/>
  <c r="R40" i="35"/>
  <c r="P40" i="35"/>
  <c r="O40" i="35"/>
  <c r="D40" i="35"/>
  <c r="J40" i="35" s="1"/>
  <c r="C40" i="35"/>
  <c r="O39" i="35"/>
  <c r="C39" i="35"/>
  <c r="R38" i="35"/>
  <c r="P38" i="35"/>
  <c r="O38" i="35"/>
  <c r="D38" i="35"/>
  <c r="J38" i="35" s="1"/>
  <c r="C38" i="35"/>
  <c r="O37" i="35"/>
  <c r="C37" i="35"/>
  <c r="R36" i="35"/>
  <c r="P36" i="35"/>
  <c r="O36" i="35"/>
  <c r="D36" i="35"/>
  <c r="J36" i="35" s="1"/>
  <c r="C36" i="35"/>
  <c r="O35" i="35"/>
  <c r="C35" i="35"/>
  <c r="R34" i="35"/>
  <c r="P34" i="35"/>
  <c r="O34" i="35"/>
  <c r="D34" i="35"/>
  <c r="J34" i="35" s="1"/>
  <c r="C34" i="35"/>
  <c r="O33" i="35"/>
  <c r="C33" i="35"/>
  <c r="P31" i="35"/>
  <c r="T31" i="35" s="1"/>
  <c r="O31" i="35"/>
  <c r="S31" i="35" s="1"/>
  <c r="G31" i="35"/>
  <c r="D31" i="35"/>
  <c r="J31" i="35" s="1"/>
  <c r="L31" i="35" s="1"/>
  <c r="C31" i="35"/>
  <c r="O30" i="35"/>
  <c r="F30" i="35"/>
  <c r="H30" i="35" s="1"/>
  <c r="E30" i="35"/>
  <c r="G30" i="35" s="1"/>
  <c r="Q30" i="35" s="1"/>
  <c r="C30" i="35"/>
  <c r="R29" i="35"/>
  <c r="P29" i="35"/>
  <c r="O29" i="35"/>
  <c r="D29" i="35"/>
  <c r="J29" i="35" s="1"/>
  <c r="C29" i="35"/>
  <c r="O28" i="35"/>
  <c r="C28" i="35"/>
  <c r="R27" i="35"/>
  <c r="P27" i="35"/>
  <c r="O27" i="35"/>
  <c r="D27" i="35"/>
  <c r="J27" i="35" s="1"/>
  <c r="C27" i="35"/>
  <c r="O26" i="35"/>
  <c r="C26" i="35"/>
  <c r="O24" i="35"/>
  <c r="C24" i="35"/>
  <c r="O23" i="35"/>
  <c r="C23" i="35"/>
  <c r="O22" i="35"/>
  <c r="C22" i="35"/>
  <c r="O21" i="35"/>
  <c r="C21" i="35"/>
  <c r="O19" i="35"/>
  <c r="H19" i="35"/>
  <c r="R19" i="35" s="1"/>
  <c r="C19" i="35"/>
  <c r="O18" i="35"/>
  <c r="H18" i="35"/>
  <c r="R18" i="35" s="1"/>
  <c r="C18" i="35"/>
  <c r="R17" i="35"/>
  <c r="Q17" i="35"/>
  <c r="P17" i="35"/>
  <c r="T17" i="35" s="1"/>
  <c r="O17" i="35"/>
  <c r="C17" i="35"/>
  <c r="R16" i="35"/>
  <c r="Q16" i="35"/>
  <c r="O16" i="35"/>
  <c r="C16" i="35"/>
  <c r="R15" i="35"/>
  <c r="Q15" i="35"/>
  <c r="O15" i="35"/>
  <c r="C15" i="35"/>
  <c r="O14" i="35"/>
  <c r="H14" i="35"/>
  <c r="R14" i="35" s="1"/>
  <c r="C14" i="35"/>
  <c r="P13" i="35"/>
  <c r="O13" i="35"/>
  <c r="H13" i="35"/>
  <c r="R13" i="35" s="1"/>
  <c r="D13" i="35"/>
  <c r="C13" i="35"/>
  <c r="O12" i="35"/>
  <c r="H12" i="35"/>
  <c r="R12" i="35" s="1"/>
  <c r="C12" i="35"/>
  <c r="O11" i="35"/>
  <c r="H11" i="35"/>
  <c r="R11" i="35" s="1"/>
  <c r="C11" i="35"/>
  <c r="R10" i="35"/>
  <c r="P10" i="35"/>
  <c r="O10" i="35"/>
  <c r="D10" i="35"/>
  <c r="C10" i="35"/>
  <c r="O9" i="35"/>
  <c r="H9" i="35"/>
  <c r="R9" i="35" s="1"/>
  <c r="C9" i="35"/>
  <c r="O8" i="35"/>
  <c r="H8" i="35"/>
  <c r="R8" i="35" s="1"/>
  <c r="C8" i="35"/>
  <c r="J6" i="35"/>
  <c r="T6" i="35" s="1"/>
  <c r="Z6" i="35" s="1"/>
  <c r="P5" i="35"/>
  <c r="A2" i="35"/>
  <c r="P42" i="34"/>
  <c r="T42" i="34" s="1"/>
  <c r="O42" i="34"/>
  <c r="D42" i="34"/>
  <c r="J42" i="34" s="1"/>
  <c r="C42" i="34"/>
  <c r="O41" i="34"/>
  <c r="C41" i="34"/>
  <c r="P40" i="34"/>
  <c r="T40" i="34" s="1"/>
  <c r="O40" i="34"/>
  <c r="D40" i="34"/>
  <c r="J40" i="34" s="1"/>
  <c r="C40" i="34"/>
  <c r="O39" i="34"/>
  <c r="C39" i="34"/>
  <c r="P38" i="34"/>
  <c r="T38" i="34" s="1"/>
  <c r="O38" i="34"/>
  <c r="D38" i="34"/>
  <c r="J38" i="34" s="1"/>
  <c r="C38" i="34"/>
  <c r="O37" i="34"/>
  <c r="C37" i="34"/>
  <c r="P36" i="34"/>
  <c r="T36" i="34" s="1"/>
  <c r="O36" i="34"/>
  <c r="D36" i="34"/>
  <c r="J36" i="34" s="1"/>
  <c r="C36" i="34"/>
  <c r="O35" i="34"/>
  <c r="C35" i="34"/>
  <c r="P34" i="34"/>
  <c r="T34" i="34" s="1"/>
  <c r="O34" i="34"/>
  <c r="D34" i="34"/>
  <c r="J34" i="34" s="1"/>
  <c r="C34" i="34"/>
  <c r="O33" i="34"/>
  <c r="C33" i="34"/>
  <c r="P31" i="34"/>
  <c r="T31" i="34" s="1"/>
  <c r="O31" i="34"/>
  <c r="S31" i="34" s="1"/>
  <c r="G31" i="34"/>
  <c r="D31" i="34"/>
  <c r="J31" i="34" s="1"/>
  <c r="C31" i="34"/>
  <c r="O30" i="34"/>
  <c r="F30" i="34"/>
  <c r="E30" i="34"/>
  <c r="C30" i="34"/>
  <c r="P29" i="34"/>
  <c r="T29" i="34" s="1"/>
  <c r="O29" i="34"/>
  <c r="D29" i="34"/>
  <c r="J29" i="34" s="1"/>
  <c r="C29" i="34"/>
  <c r="O28" i="34"/>
  <c r="C28" i="34"/>
  <c r="P27" i="34"/>
  <c r="T27" i="34" s="1"/>
  <c r="O27" i="34"/>
  <c r="D27" i="34"/>
  <c r="J27" i="34" s="1"/>
  <c r="C27" i="34"/>
  <c r="O26" i="34"/>
  <c r="C26" i="34"/>
  <c r="O24" i="34"/>
  <c r="C24" i="34"/>
  <c r="O23" i="34"/>
  <c r="C23" i="34"/>
  <c r="O22" i="34"/>
  <c r="C22" i="34"/>
  <c r="O21" i="34"/>
  <c r="C21" i="34"/>
  <c r="O19" i="34"/>
  <c r="H19" i="34"/>
  <c r="R19" i="34" s="1"/>
  <c r="C19" i="34"/>
  <c r="O18" i="34"/>
  <c r="H18" i="34"/>
  <c r="R18" i="34" s="1"/>
  <c r="C18" i="34"/>
  <c r="R17" i="34"/>
  <c r="Q17" i="34"/>
  <c r="P17" i="34"/>
  <c r="O17" i="34"/>
  <c r="C17" i="34"/>
  <c r="R16" i="34"/>
  <c r="Q16" i="34"/>
  <c r="O16" i="34"/>
  <c r="S16" i="34" s="1"/>
  <c r="C16" i="34"/>
  <c r="R15" i="34"/>
  <c r="Q15" i="34"/>
  <c r="O15" i="34"/>
  <c r="S15" i="34" s="1"/>
  <c r="Y15" i="34" s="1"/>
  <c r="C15" i="34"/>
  <c r="O14" i="34"/>
  <c r="H14" i="34"/>
  <c r="R14" i="34" s="1"/>
  <c r="C14" i="34"/>
  <c r="P13" i="34"/>
  <c r="O13" i="34"/>
  <c r="H13" i="34"/>
  <c r="R13" i="34" s="1"/>
  <c r="D13" i="34"/>
  <c r="C13" i="34"/>
  <c r="O12" i="34"/>
  <c r="H12" i="34"/>
  <c r="R12" i="34" s="1"/>
  <c r="C12" i="34"/>
  <c r="O11" i="34"/>
  <c r="H11" i="34"/>
  <c r="R11" i="34" s="1"/>
  <c r="C11" i="34"/>
  <c r="R10" i="34"/>
  <c r="P10" i="34"/>
  <c r="O10" i="34"/>
  <c r="D10" i="34"/>
  <c r="C10" i="34"/>
  <c r="O9" i="34"/>
  <c r="H9" i="34"/>
  <c r="R9" i="34" s="1"/>
  <c r="C9" i="34"/>
  <c r="O8" i="34"/>
  <c r="H8" i="34"/>
  <c r="R8" i="34" s="1"/>
  <c r="C8" i="34"/>
  <c r="J6" i="34"/>
  <c r="T6" i="34" s="1"/>
  <c r="Z6" i="34" s="1"/>
  <c r="P5" i="34"/>
  <c r="A2" i="34"/>
  <c r="P42" i="33"/>
  <c r="T42" i="33" s="1"/>
  <c r="O42" i="33"/>
  <c r="D42" i="33"/>
  <c r="J42" i="33" s="1"/>
  <c r="C42" i="33"/>
  <c r="O41" i="33"/>
  <c r="C41" i="33"/>
  <c r="P40" i="33"/>
  <c r="T40" i="33" s="1"/>
  <c r="O40" i="33"/>
  <c r="D40" i="33"/>
  <c r="J40" i="33" s="1"/>
  <c r="C40" i="33"/>
  <c r="O39" i="33"/>
  <c r="C39" i="33"/>
  <c r="P38" i="33"/>
  <c r="T38" i="33" s="1"/>
  <c r="O38" i="33"/>
  <c r="D38" i="33"/>
  <c r="J38" i="33" s="1"/>
  <c r="C38" i="33"/>
  <c r="O37" i="33"/>
  <c r="C37" i="33"/>
  <c r="P36" i="33"/>
  <c r="T36" i="33" s="1"/>
  <c r="O36" i="33"/>
  <c r="D36" i="33"/>
  <c r="J36" i="33" s="1"/>
  <c r="C36" i="33"/>
  <c r="O35" i="33"/>
  <c r="C35" i="33"/>
  <c r="P34" i="33"/>
  <c r="T34" i="33" s="1"/>
  <c r="O34" i="33"/>
  <c r="D34" i="33"/>
  <c r="J34" i="33" s="1"/>
  <c r="C34" i="33"/>
  <c r="O33" i="33"/>
  <c r="C33" i="33"/>
  <c r="P31" i="33"/>
  <c r="T31" i="33" s="1"/>
  <c r="O31" i="33"/>
  <c r="S31" i="33" s="1"/>
  <c r="G31" i="33"/>
  <c r="D31" i="33"/>
  <c r="J31" i="33" s="1"/>
  <c r="C31" i="33"/>
  <c r="O30" i="33"/>
  <c r="F30" i="33"/>
  <c r="H30" i="33" s="1"/>
  <c r="E30" i="33"/>
  <c r="C30" i="33"/>
  <c r="P29" i="33"/>
  <c r="T29" i="33" s="1"/>
  <c r="O29" i="33"/>
  <c r="D29" i="33"/>
  <c r="J29" i="33" s="1"/>
  <c r="Z29" i="33" s="1"/>
  <c r="C29" i="33"/>
  <c r="O28" i="33"/>
  <c r="C28" i="33"/>
  <c r="P27" i="33"/>
  <c r="T27" i="33" s="1"/>
  <c r="O27" i="33"/>
  <c r="D27" i="33"/>
  <c r="J27" i="33" s="1"/>
  <c r="C27" i="33"/>
  <c r="O26" i="33"/>
  <c r="C26" i="33"/>
  <c r="O24" i="33"/>
  <c r="C24" i="33"/>
  <c r="O23" i="33"/>
  <c r="C23" i="33"/>
  <c r="O22" i="33"/>
  <c r="C22" i="33"/>
  <c r="O21" i="33"/>
  <c r="C21" i="33"/>
  <c r="O19" i="33"/>
  <c r="H19" i="33"/>
  <c r="R19" i="33" s="1"/>
  <c r="C19" i="33"/>
  <c r="R18" i="33"/>
  <c r="O18" i="33"/>
  <c r="H18" i="33"/>
  <c r="C18" i="33"/>
  <c r="R17" i="33"/>
  <c r="Q17" i="33"/>
  <c r="P17" i="33"/>
  <c r="O17" i="33"/>
  <c r="C17" i="33"/>
  <c r="R16" i="33"/>
  <c r="Q16" i="33"/>
  <c r="O16" i="33"/>
  <c r="C16" i="33"/>
  <c r="R15" i="33"/>
  <c r="Q15" i="33"/>
  <c r="O15" i="33"/>
  <c r="C15" i="33"/>
  <c r="O14" i="33"/>
  <c r="H14" i="33"/>
  <c r="R14" i="33" s="1"/>
  <c r="C14" i="33"/>
  <c r="P13" i="33"/>
  <c r="O13" i="33"/>
  <c r="H13" i="33"/>
  <c r="R13" i="33" s="1"/>
  <c r="D13" i="33"/>
  <c r="C13" i="33"/>
  <c r="O12" i="33"/>
  <c r="H12" i="33"/>
  <c r="R12" i="33" s="1"/>
  <c r="C12" i="33"/>
  <c r="O11" i="33"/>
  <c r="H11" i="33"/>
  <c r="R11" i="33" s="1"/>
  <c r="C11" i="33"/>
  <c r="R10" i="33"/>
  <c r="P10" i="33"/>
  <c r="O10" i="33"/>
  <c r="D10" i="33"/>
  <c r="C10" i="33"/>
  <c r="O9" i="33"/>
  <c r="H9" i="33"/>
  <c r="R9" i="33" s="1"/>
  <c r="C9" i="33"/>
  <c r="O8" i="33"/>
  <c r="H8" i="33"/>
  <c r="R8" i="33" s="1"/>
  <c r="C8" i="33"/>
  <c r="J6" i="33"/>
  <c r="T6" i="33" s="1"/>
  <c r="Z6" i="33" s="1"/>
  <c r="P5" i="33"/>
  <c r="A2" i="33"/>
  <c r="P42" i="32"/>
  <c r="T42" i="32" s="1"/>
  <c r="O42" i="32"/>
  <c r="D42" i="32"/>
  <c r="J42" i="32" s="1"/>
  <c r="C42" i="32"/>
  <c r="O41" i="32"/>
  <c r="C41" i="32"/>
  <c r="P40" i="32"/>
  <c r="T40" i="32" s="1"/>
  <c r="O40" i="32"/>
  <c r="D40" i="32"/>
  <c r="J40" i="32" s="1"/>
  <c r="C40" i="32"/>
  <c r="O39" i="32"/>
  <c r="C39" i="32"/>
  <c r="P38" i="32"/>
  <c r="T38" i="32" s="1"/>
  <c r="O38" i="32"/>
  <c r="D38" i="32"/>
  <c r="J38" i="32" s="1"/>
  <c r="Z38" i="32" s="1"/>
  <c r="C38" i="32"/>
  <c r="O37" i="32"/>
  <c r="C37" i="32"/>
  <c r="P36" i="32"/>
  <c r="T36" i="32" s="1"/>
  <c r="O36" i="32"/>
  <c r="D36" i="32"/>
  <c r="J36" i="32" s="1"/>
  <c r="C36" i="32"/>
  <c r="O35" i="32"/>
  <c r="C35" i="32"/>
  <c r="P34" i="32"/>
  <c r="T34" i="32" s="1"/>
  <c r="O34" i="32"/>
  <c r="D34" i="32"/>
  <c r="J34" i="32" s="1"/>
  <c r="C34" i="32"/>
  <c r="O33" i="32"/>
  <c r="C33" i="32"/>
  <c r="S31" i="32"/>
  <c r="P31" i="32"/>
  <c r="T31" i="32" s="1"/>
  <c r="O31" i="32"/>
  <c r="G31" i="32"/>
  <c r="D31" i="32"/>
  <c r="C31" i="32"/>
  <c r="O30" i="32"/>
  <c r="F30" i="32"/>
  <c r="H30" i="32" s="1"/>
  <c r="R30" i="32" s="1"/>
  <c r="E30" i="32"/>
  <c r="G30" i="32" s="1"/>
  <c r="Q30" i="32" s="1"/>
  <c r="S30" i="32" s="1"/>
  <c r="C30" i="32"/>
  <c r="P29" i="32"/>
  <c r="T29" i="32" s="1"/>
  <c r="O29" i="32"/>
  <c r="D29" i="32"/>
  <c r="J29" i="32" s="1"/>
  <c r="Z29" i="32" s="1"/>
  <c r="C29" i="32"/>
  <c r="O28" i="32"/>
  <c r="C28" i="32"/>
  <c r="P27" i="32"/>
  <c r="T27" i="32" s="1"/>
  <c r="O27" i="32"/>
  <c r="D27" i="32"/>
  <c r="J27" i="32" s="1"/>
  <c r="C27" i="32"/>
  <c r="O26" i="32"/>
  <c r="C26" i="32"/>
  <c r="O24" i="32"/>
  <c r="C24" i="32"/>
  <c r="O23" i="32"/>
  <c r="C23" i="32"/>
  <c r="O22" i="32"/>
  <c r="C22" i="32"/>
  <c r="O21" i="32"/>
  <c r="C21" i="32"/>
  <c r="O19" i="32"/>
  <c r="H19" i="32"/>
  <c r="R19" i="32" s="1"/>
  <c r="C19" i="32"/>
  <c r="O18" i="32"/>
  <c r="H18" i="32"/>
  <c r="R18" i="32" s="1"/>
  <c r="C18" i="32"/>
  <c r="R17" i="32"/>
  <c r="Q17" i="32"/>
  <c r="P17" i="32"/>
  <c r="O17" i="32"/>
  <c r="C17" i="32"/>
  <c r="R16" i="32"/>
  <c r="Q16" i="32"/>
  <c r="O16" i="32"/>
  <c r="C16" i="32"/>
  <c r="R15" i="32"/>
  <c r="Q15" i="32"/>
  <c r="O15" i="32"/>
  <c r="C15" i="32"/>
  <c r="O14" i="32"/>
  <c r="H14" i="32"/>
  <c r="R14" i="32" s="1"/>
  <c r="C14" i="32"/>
  <c r="P13" i="32"/>
  <c r="O13" i="32"/>
  <c r="H13" i="32"/>
  <c r="R13" i="32" s="1"/>
  <c r="D13" i="32"/>
  <c r="C13" i="32"/>
  <c r="O12" i="32"/>
  <c r="H12" i="32"/>
  <c r="R12" i="32" s="1"/>
  <c r="C12" i="32"/>
  <c r="O11" i="32"/>
  <c r="H11" i="32"/>
  <c r="R11" i="32" s="1"/>
  <c r="C11" i="32"/>
  <c r="P10" i="32"/>
  <c r="O10" i="32"/>
  <c r="H10" i="32"/>
  <c r="R10" i="32" s="1"/>
  <c r="D10" i="32"/>
  <c r="C10" i="32"/>
  <c r="O9" i="32"/>
  <c r="H9" i="32"/>
  <c r="R9" i="32" s="1"/>
  <c r="C9" i="32"/>
  <c r="O8" i="32"/>
  <c r="H8" i="32"/>
  <c r="R8" i="32" s="1"/>
  <c r="C8" i="32"/>
  <c r="J6" i="32"/>
  <c r="T6" i="32" s="1"/>
  <c r="Z6" i="32" s="1"/>
  <c r="P5" i="32"/>
  <c r="A2" i="32"/>
  <c r="T42" i="31"/>
  <c r="O42" i="31"/>
  <c r="J42" i="31"/>
  <c r="C42" i="31"/>
  <c r="O41" i="31"/>
  <c r="C41" i="31"/>
  <c r="T40" i="31"/>
  <c r="O40" i="31"/>
  <c r="J40" i="31"/>
  <c r="C40" i="31"/>
  <c r="O39" i="31"/>
  <c r="C39" i="31"/>
  <c r="T38" i="31"/>
  <c r="O38" i="31"/>
  <c r="J38" i="31"/>
  <c r="C38" i="31"/>
  <c r="O37" i="31"/>
  <c r="C37" i="31"/>
  <c r="T36" i="31"/>
  <c r="O36" i="31"/>
  <c r="J36" i="31"/>
  <c r="C36" i="31"/>
  <c r="O35" i="31"/>
  <c r="C35" i="31"/>
  <c r="T34" i="31"/>
  <c r="O34" i="31"/>
  <c r="J34" i="31"/>
  <c r="C34" i="31"/>
  <c r="O33" i="31"/>
  <c r="C33" i="31"/>
  <c r="T31" i="31"/>
  <c r="O31" i="31"/>
  <c r="S31" i="31" s="1"/>
  <c r="J31" i="31"/>
  <c r="L31" i="31" s="1"/>
  <c r="G31" i="31"/>
  <c r="C31" i="31"/>
  <c r="O30" i="31"/>
  <c r="F30" i="31"/>
  <c r="H30" i="31" s="1"/>
  <c r="R30" i="31" s="1"/>
  <c r="E30" i="31"/>
  <c r="C30" i="31"/>
  <c r="T29" i="31"/>
  <c r="O29" i="31"/>
  <c r="J29" i="31"/>
  <c r="C29" i="31"/>
  <c r="O28" i="31"/>
  <c r="C28" i="31"/>
  <c r="T27" i="31"/>
  <c r="O27" i="31"/>
  <c r="J27" i="31"/>
  <c r="C27" i="31"/>
  <c r="O26" i="31"/>
  <c r="C26" i="31"/>
  <c r="O24" i="31"/>
  <c r="C24" i="31"/>
  <c r="O23" i="31"/>
  <c r="C23" i="31"/>
  <c r="O22" i="31"/>
  <c r="C22" i="31"/>
  <c r="O21" i="31"/>
  <c r="C21" i="31"/>
  <c r="O19" i="31"/>
  <c r="H19" i="31"/>
  <c r="R19" i="31" s="1"/>
  <c r="C19" i="31"/>
  <c r="P18" i="31"/>
  <c r="O18" i="31"/>
  <c r="H18" i="31"/>
  <c r="R18" i="31" s="1"/>
  <c r="D18" i="31"/>
  <c r="D18" i="33" s="1"/>
  <c r="C18" i="31"/>
  <c r="R17" i="31"/>
  <c r="Q17" i="31"/>
  <c r="T17" i="31" s="1"/>
  <c r="Z17" i="31" s="1"/>
  <c r="O17" i="31"/>
  <c r="C17" i="31"/>
  <c r="R16" i="31"/>
  <c r="Q16" i="31"/>
  <c r="O16" i="31"/>
  <c r="C16" i="31"/>
  <c r="R15" i="31"/>
  <c r="Q15" i="31"/>
  <c r="O15" i="31"/>
  <c r="C15" i="31"/>
  <c r="O14" i="31"/>
  <c r="H14" i="31"/>
  <c r="R14" i="31" s="1"/>
  <c r="C14" i="31"/>
  <c r="O13" i="31"/>
  <c r="H13" i="31"/>
  <c r="R13" i="31" s="1"/>
  <c r="C13" i="31"/>
  <c r="O12" i="31"/>
  <c r="H12" i="31"/>
  <c r="R12" i="31" s="1"/>
  <c r="C12" i="31"/>
  <c r="O11" i="31"/>
  <c r="H11" i="31"/>
  <c r="R11" i="31" s="1"/>
  <c r="C11" i="31"/>
  <c r="O10" i="31"/>
  <c r="H10" i="31"/>
  <c r="R10" i="31" s="1"/>
  <c r="C10" i="31"/>
  <c r="O9" i="31"/>
  <c r="H9" i="31"/>
  <c r="R9" i="31" s="1"/>
  <c r="C9" i="31"/>
  <c r="O8" i="31"/>
  <c r="H8" i="31"/>
  <c r="R8" i="31" s="1"/>
  <c r="C8" i="31"/>
  <c r="J6" i="31"/>
  <c r="T6" i="31" s="1"/>
  <c r="Z6" i="31" s="1"/>
  <c r="P5" i="31"/>
  <c r="A2" i="31"/>
  <c r="P42" i="30"/>
  <c r="T42" i="30" s="1"/>
  <c r="O42" i="30"/>
  <c r="J42" i="30"/>
  <c r="O41" i="30"/>
  <c r="P40" i="30"/>
  <c r="T40" i="30" s="1"/>
  <c r="O40" i="30"/>
  <c r="J40" i="30"/>
  <c r="O39" i="30"/>
  <c r="P38" i="30"/>
  <c r="T38" i="30" s="1"/>
  <c r="O38" i="30"/>
  <c r="J38" i="30"/>
  <c r="O37" i="30"/>
  <c r="P36" i="30"/>
  <c r="T36" i="30" s="1"/>
  <c r="O36" i="30"/>
  <c r="J36" i="30"/>
  <c r="O35" i="30"/>
  <c r="P34" i="30"/>
  <c r="T34" i="30" s="1"/>
  <c r="O34" i="30"/>
  <c r="J34" i="30"/>
  <c r="O33" i="30"/>
  <c r="P31" i="30"/>
  <c r="T31" i="30" s="1"/>
  <c r="O31" i="30"/>
  <c r="S31" i="30" s="1"/>
  <c r="G31" i="30"/>
  <c r="I31" i="30" s="1"/>
  <c r="O30" i="30"/>
  <c r="F30" i="30"/>
  <c r="H30" i="30" s="1"/>
  <c r="P29" i="30"/>
  <c r="T29" i="30" s="1"/>
  <c r="O29" i="30"/>
  <c r="J29" i="30"/>
  <c r="O28" i="30"/>
  <c r="P27" i="30"/>
  <c r="T27" i="30" s="1"/>
  <c r="O27" i="30"/>
  <c r="J27" i="30"/>
  <c r="O26" i="30"/>
  <c r="O24" i="30"/>
  <c r="O23" i="30"/>
  <c r="O22" i="30"/>
  <c r="O21" i="30"/>
  <c r="O19" i="30"/>
  <c r="H19" i="30"/>
  <c r="R19" i="30" s="1"/>
  <c r="O18" i="30"/>
  <c r="H18" i="30"/>
  <c r="R18" i="30" s="1"/>
  <c r="R17" i="30"/>
  <c r="Q17" i="30"/>
  <c r="P17" i="30"/>
  <c r="O17" i="30"/>
  <c r="R16" i="30"/>
  <c r="Q16" i="30"/>
  <c r="P16" i="30"/>
  <c r="O16" i="30"/>
  <c r="R15" i="30"/>
  <c r="Q15" i="30"/>
  <c r="P15" i="30"/>
  <c r="O15" i="30"/>
  <c r="R14" i="30"/>
  <c r="O14" i="30"/>
  <c r="H14" i="30"/>
  <c r="P13" i="30"/>
  <c r="O13" i="30"/>
  <c r="H13" i="30"/>
  <c r="R13" i="30" s="1"/>
  <c r="O12" i="30"/>
  <c r="H12" i="30"/>
  <c r="R12" i="30" s="1"/>
  <c r="O11" i="30"/>
  <c r="H11" i="30"/>
  <c r="R11" i="30" s="1"/>
  <c r="P10" i="30"/>
  <c r="O10" i="30"/>
  <c r="H10" i="30"/>
  <c r="R10" i="30" s="1"/>
  <c r="O9" i="30"/>
  <c r="H9" i="30"/>
  <c r="R9" i="30" s="1"/>
  <c r="O8" i="30"/>
  <c r="H8" i="30"/>
  <c r="R8" i="30" s="1"/>
  <c r="J6" i="30"/>
  <c r="T6" i="30" s="1"/>
  <c r="Z6" i="30" s="1"/>
  <c r="P5" i="30"/>
  <c r="A2" i="30"/>
  <c r="P42" i="29"/>
  <c r="T42" i="29" s="1"/>
  <c r="O42" i="29"/>
  <c r="J42" i="29"/>
  <c r="O41" i="29"/>
  <c r="P40" i="29"/>
  <c r="T40" i="29" s="1"/>
  <c r="O40" i="29"/>
  <c r="J40" i="29"/>
  <c r="O39" i="29"/>
  <c r="P38" i="29"/>
  <c r="T38" i="29" s="1"/>
  <c r="O38" i="29"/>
  <c r="J38" i="29"/>
  <c r="O37" i="29"/>
  <c r="P36" i="29"/>
  <c r="T36" i="29" s="1"/>
  <c r="O36" i="29"/>
  <c r="J36" i="29"/>
  <c r="O35" i="29"/>
  <c r="P34" i="29"/>
  <c r="T34" i="29" s="1"/>
  <c r="O34" i="29"/>
  <c r="J34" i="29"/>
  <c r="O33" i="29"/>
  <c r="P31" i="29"/>
  <c r="T31" i="29" s="1"/>
  <c r="O31" i="29"/>
  <c r="S31" i="29" s="1"/>
  <c r="J31" i="29"/>
  <c r="G31" i="29"/>
  <c r="I31" i="29" s="1"/>
  <c r="K31" i="29" s="1"/>
  <c r="O30" i="29"/>
  <c r="F30" i="29"/>
  <c r="P29" i="29"/>
  <c r="T29" i="29" s="1"/>
  <c r="O29" i="29"/>
  <c r="J29" i="29"/>
  <c r="O28" i="29"/>
  <c r="P27" i="29"/>
  <c r="T27" i="29" s="1"/>
  <c r="O27" i="29"/>
  <c r="J27" i="29"/>
  <c r="O26" i="29"/>
  <c r="O24" i="29"/>
  <c r="O23" i="29"/>
  <c r="O22" i="29"/>
  <c r="O21" i="29"/>
  <c r="O19" i="29"/>
  <c r="H19" i="29"/>
  <c r="R19" i="29" s="1"/>
  <c r="O18" i="29"/>
  <c r="H18" i="29"/>
  <c r="R18" i="29" s="1"/>
  <c r="R17" i="29"/>
  <c r="Q17" i="29"/>
  <c r="P17" i="29"/>
  <c r="O17" i="29"/>
  <c r="R16" i="29"/>
  <c r="Q16" i="29"/>
  <c r="P16" i="29"/>
  <c r="O16" i="29"/>
  <c r="R15" i="29"/>
  <c r="Q15" i="29"/>
  <c r="P15" i="29"/>
  <c r="O15" i="29"/>
  <c r="O14" i="29"/>
  <c r="H14" i="29"/>
  <c r="R14" i="29" s="1"/>
  <c r="P13" i="29"/>
  <c r="O13" i="29"/>
  <c r="H13" i="29"/>
  <c r="R13" i="29" s="1"/>
  <c r="O12" i="29"/>
  <c r="H12" i="29"/>
  <c r="R12" i="29" s="1"/>
  <c r="O11" i="29"/>
  <c r="H11" i="29"/>
  <c r="R11" i="29" s="1"/>
  <c r="P10" i="29"/>
  <c r="O10" i="29"/>
  <c r="H10" i="29"/>
  <c r="R10" i="29" s="1"/>
  <c r="O9" i="29"/>
  <c r="H9" i="29"/>
  <c r="R9" i="29" s="1"/>
  <c r="O8" i="29"/>
  <c r="H8" i="29"/>
  <c r="R8" i="29" s="1"/>
  <c r="J6" i="29"/>
  <c r="T6" i="29" s="1"/>
  <c r="Z6" i="29" s="1"/>
  <c r="P5" i="29"/>
  <c r="A2" i="29"/>
  <c r="P42" i="28"/>
  <c r="T42" i="28" s="1"/>
  <c r="O42" i="28"/>
  <c r="J42" i="28"/>
  <c r="O41" i="28"/>
  <c r="P40" i="28"/>
  <c r="T40" i="28" s="1"/>
  <c r="O40" i="28"/>
  <c r="J40" i="28"/>
  <c r="O39" i="28"/>
  <c r="P38" i="28"/>
  <c r="T38" i="28" s="1"/>
  <c r="O38" i="28"/>
  <c r="J38" i="28"/>
  <c r="O37" i="28"/>
  <c r="P36" i="28"/>
  <c r="T36" i="28" s="1"/>
  <c r="O36" i="28"/>
  <c r="J36" i="28"/>
  <c r="O35" i="28"/>
  <c r="P34" i="28"/>
  <c r="T34" i="28" s="1"/>
  <c r="O34" i="28"/>
  <c r="J34" i="28"/>
  <c r="O33" i="28"/>
  <c r="P31" i="28"/>
  <c r="T31" i="28" s="1"/>
  <c r="O31" i="28"/>
  <c r="S31" i="28" s="1"/>
  <c r="G31" i="28"/>
  <c r="J31" i="28"/>
  <c r="L31" i="28" s="1"/>
  <c r="O30" i="28"/>
  <c r="F30" i="28"/>
  <c r="H30" i="28" s="1"/>
  <c r="R30" i="28" s="1"/>
  <c r="P29" i="28"/>
  <c r="T29" i="28" s="1"/>
  <c r="O29" i="28"/>
  <c r="J29" i="28"/>
  <c r="O28" i="28"/>
  <c r="P27" i="28"/>
  <c r="T27" i="28" s="1"/>
  <c r="O27" i="28"/>
  <c r="J27" i="28"/>
  <c r="O26" i="28"/>
  <c r="O24" i="28"/>
  <c r="O23" i="28"/>
  <c r="O22" i="28"/>
  <c r="O21" i="28"/>
  <c r="O19" i="28"/>
  <c r="H19" i="28"/>
  <c r="R19" i="28" s="1"/>
  <c r="O18" i="28"/>
  <c r="H18" i="28"/>
  <c r="R18" i="28" s="1"/>
  <c r="R17" i="28"/>
  <c r="Q17" i="28"/>
  <c r="P17" i="28"/>
  <c r="O17" i="28"/>
  <c r="R16" i="28"/>
  <c r="Q16" i="28"/>
  <c r="P16" i="28"/>
  <c r="O16" i="28"/>
  <c r="R15" i="28"/>
  <c r="Q15" i="28"/>
  <c r="P15" i="28"/>
  <c r="O15" i="28"/>
  <c r="O14" i="28"/>
  <c r="H14" i="28"/>
  <c r="R14" i="28" s="1"/>
  <c r="P13" i="28"/>
  <c r="O13" i="28"/>
  <c r="H13" i="28"/>
  <c r="R13" i="28" s="1"/>
  <c r="O12" i="28"/>
  <c r="H12" i="28"/>
  <c r="R12" i="28" s="1"/>
  <c r="O11" i="28"/>
  <c r="H11" i="28"/>
  <c r="R11" i="28" s="1"/>
  <c r="P10" i="28"/>
  <c r="O10" i="28"/>
  <c r="O9" i="28"/>
  <c r="H9" i="28"/>
  <c r="R9" i="28" s="1"/>
  <c r="O8" i="28"/>
  <c r="H8" i="28"/>
  <c r="R8" i="28" s="1"/>
  <c r="J6" i="28"/>
  <c r="T6" i="28" s="1"/>
  <c r="Z6" i="28" s="1"/>
  <c r="P5" i="28"/>
  <c r="A2" i="28"/>
  <c r="P42" i="27"/>
  <c r="T42" i="27" s="1"/>
  <c r="O42" i="27"/>
  <c r="J42" i="27"/>
  <c r="O41" i="27"/>
  <c r="P40" i="27"/>
  <c r="T40" i="27" s="1"/>
  <c r="O40" i="27"/>
  <c r="J40" i="27"/>
  <c r="O39" i="27"/>
  <c r="P38" i="27"/>
  <c r="T38" i="27" s="1"/>
  <c r="O38" i="27"/>
  <c r="J38" i="27"/>
  <c r="O37" i="27"/>
  <c r="P36" i="27"/>
  <c r="T36" i="27" s="1"/>
  <c r="O36" i="27"/>
  <c r="J36" i="27"/>
  <c r="O35" i="27"/>
  <c r="P34" i="27"/>
  <c r="T34" i="27" s="1"/>
  <c r="O34" i="27"/>
  <c r="J34" i="27"/>
  <c r="O33" i="27"/>
  <c r="P31" i="27"/>
  <c r="T31" i="27" s="1"/>
  <c r="O31" i="27"/>
  <c r="S31" i="27" s="1"/>
  <c r="G31" i="27"/>
  <c r="I31" i="27" s="1"/>
  <c r="O30" i="27"/>
  <c r="F30" i="27"/>
  <c r="P29" i="27"/>
  <c r="T29" i="27" s="1"/>
  <c r="O29" i="27"/>
  <c r="J29" i="27"/>
  <c r="O28" i="27"/>
  <c r="P27" i="27"/>
  <c r="T27" i="27" s="1"/>
  <c r="O27" i="27"/>
  <c r="J27" i="27"/>
  <c r="O26" i="27"/>
  <c r="O24" i="27"/>
  <c r="O23" i="27"/>
  <c r="O22" i="27"/>
  <c r="O21" i="27"/>
  <c r="O19" i="27"/>
  <c r="H19" i="27"/>
  <c r="R19" i="27" s="1"/>
  <c r="O18" i="27"/>
  <c r="H18" i="27"/>
  <c r="R18" i="27" s="1"/>
  <c r="R17" i="27"/>
  <c r="Q17" i="27"/>
  <c r="P17" i="27"/>
  <c r="O17" i="27"/>
  <c r="R16" i="27"/>
  <c r="Q16" i="27"/>
  <c r="P16" i="27"/>
  <c r="O16" i="27"/>
  <c r="R15" i="27"/>
  <c r="Q15" i="27"/>
  <c r="P15" i="27"/>
  <c r="O15" i="27"/>
  <c r="O14" i="27"/>
  <c r="H14" i="27"/>
  <c r="R14" i="27" s="1"/>
  <c r="P13" i="27"/>
  <c r="O13" i="27"/>
  <c r="H13" i="27"/>
  <c r="R13" i="27" s="1"/>
  <c r="O12" i="27"/>
  <c r="H12" i="27"/>
  <c r="R12" i="27" s="1"/>
  <c r="O11" i="27"/>
  <c r="H11" i="27"/>
  <c r="R11" i="27" s="1"/>
  <c r="P10" i="27"/>
  <c r="O10" i="27"/>
  <c r="H10" i="27"/>
  <c r="R10" i="27" s="1"/>
  <c r="O9" i="27"/>
  <c r="H9" i="27"/>
  <c r="R9" i="27" s="1"/>
  <c r="O8" i="27"/>
  <c r="H8" i="27"/>
  <c r="R8" i="27" s="1"/>
  <c r="J6" i="27"/>
  <c r="T6" i="27" s="1"/>
  <c r="Z6" i="27" s="1"/>
  <c r="P5" i="27"/>
  <c r="A2" i="27"/>
  <c r="P42" i="26"/>
  <c r="T42" i="26" s="1"/>
  <c r="O42" i="26"/>
  <c r="J42" i="26"/>
  <c r="O41" i="26"/>
  <c r="P40" i="26"/>
  <c r="T40" i="26" s="1"/>
  <c r="O40" i="26"/>
  <c r="J40" i="26"/>
  <c r="O39" i="26"/>
  <c r="P38" i="26"/>
  <c r="T38" i="26" s="1"/>
  <c r="O38" i="26"/>
  <c r="J38" i="26"/>
  <c r="O37" i="26"/>
  <c r="P36" i="26"/>
  <c r="T36" i="26" s="1"/>
  <c r="O36" i="26"/>
  <c r="J36" i="26"/>
  <c r="O35" i="26"/>
  <c r="P34" i="26"/>
  <c r="T34" i="26" s="1"/>
  <c r="O34" i="26"/>
  <c r="J34" i="26"/>
  <c r="O33" i="26"/>
  <c r="P31" i="26"/>
  <c r="T31" i="26" s="1"/>
  <c r="O31" i="26"/>
  <c r="S31" i="26" s="1"/>
  <c r="G31" i="26"/>
  <c r="O30" i="26"/>
  <c r="F30" i="26"/>
  <c r="H30" i="26" s="1"/>
  <c r="R30" i="26" s="1"/>
  <c r="P29" i="26"/>
  <c r="T29" i="26" s="1"/>
  <c r="O29" i="26"/>
  <c r="J29" i="26"/>
  <c r="O28" i="26"/>
  <c r="P27" i="26"/>
  <c r="T27" i="26" s="1"/>
  <c r="O27" i="26"/>
  <c r="J27" i="26"/>
  <c r="O26" i="26"/>
  <c r="O24" i="26"/>
  <c r="O23" i="26"/>
  <c r="O22" i="26"/>
  <c r="O21" i="26"/>
  <c r="O19" i="26"/>
  <c r="H19" i="26"/>
  <c r="R19" i="26" s="1"/>
  <c r="O18" i="26"/>
  <c r="H18" i="26"/>
  <c r="R18" i="26" s="1"/>
  <c r="R17" i="26"/>
  <c r="Q17" i="26"/>
  <c r="P17" i="26"/>
  <c r="O17" i="26"/>
  <c r="R16" i="26"/>
  <c r="Q16" i="26"/>
  <c r="P16" i="26"/>
  <c r="O16" i="26"/>
  <c r="R15" i="26"/>
  <c r="Q15" i="26"/>
  <c r="P15" i="26"/>
  <c r="T15" i="26" s="1"/>
  <c r="Z15" i="26" s="1"/>
  <c r="O15" i="26"/>
  <c r="O14" i="26"/>
  <c r="H14" i="26"/>
  <c r="R14" i="26" s="1"/>
  <c r="R13" i="26"/>
  <c r="P13" i="26"/>
  <c r="O13" i="26"/>
  <c r="H13" i="26"/>
  <c r="O12" i="26"/>
  <c r="H12" i="26"/>
  <c r="R12" i="26" s="1"/>
  <c r="O11" i="26"/>
  <c r="H11" i="26"/>
  <c r="R11" i="26" s="1"/>
  <c r="P10" i="26"/>
  <c r="O10" i="26"/>
  <c r="H10" i="26"/>
  <c r="R10" i="26" s="1"/>
  <c r="O9" i="26"/>
  <c r="H9" i="26"/>
  <c r="R9" i="26" s="1"/>
  <c r="O8" i="26"/>
  <c r="H8" i="26"/>
  <c r="R8" i="26" s="1"/>
  <c r="J6" i="26"/>
  <c r="T6" i="26" s="1"/>
  <c r="Z6" i="26" s="1"/>
  <c r="P5" i="26"/>
  <c r="A2" i="26"/>
  <c r="T42" i="25"/>
  <c r="O42" i="25"/>
  <c r="J42" i="25"/>
  <c r="C42" i="25"/>
  <c r="O41" i="25"/>
  <c r="C41" i="25"/>
  <c r="T40" i="25"/>
  <c r="O40" i="25"/>
  <c r="J40" i="25"/>
  <c r="C40" i="25"/>
  <c r="O39" i="25"/>
  <c r="C39" i="25"/>
  <c r="T38" i="25"/>
  <c r="O38" i="25"/>
  <c r="J38" i="25"/>
  <c r="C38" i="25"/>
  <c r="O37" i="25"/>
  <c r="C37" i="25"/>
  <c r="T36" i="25"/>
  <c r="O36" i="25"/>
  <c r="J36" i="25"/>
  <c r="C36" i="25"/>
  <c r="O35" i="25"/>
  <c r="C35" i="25"/>
  <c r="T34" i="25"/>
  <c r="O34" i="25"/>
  <c r="J34" i="25"/>
  <c r="C34" i="25"/>
  <c r="O33" i="25"/>
  <c r="C33" i="25"/>
  <c r="T31" i="25"/>
  <c r="O31" i="25"/>
  <c r="S31" i="25" s="1"/>
  <c r="J31" i="25"/>
  <c r="G31" i="25"/>
  <c r="C31" i="25"/>
  <c r="O30" i="25"/>
  <c r="C30" i="25"/>
  <c r="T29" i="25"/>
  <c r="O29" i="25"/>
  <c r="J29" i="25"/>
  <c r="C29" i="25"/>
  <c r="O28" i="25"/>
  <c r="C28" i="25"/>
  <c r="T27" i="25"/>
  <c r="O27" i="25"/>
  <c r="J27" i="25"/>
  <c r="C27" i="25"/>
  <c r="O26" i="25"/>
  <c r="C26" i="25"/>
  <c r="O24" i="25"/>
  <c r="C24" i="25"/>
  <c r="C23" i="25"/>
  <c r="O22" i="25"/>
  <c r="C22" i="25"/>
  <c r="O21" i="25"/>
  <c r="C21" i="25"/>
  <c r="O19" i="25"/>
  <c r="H19" i="25"/>
  <c r="R19" i="25" s="1"/>
  <c r="C19" i="25"/>
  <c r="O18" i="25"/>
  <c r="H18" i="25"/>
  <c r="R18" i="25" s="1"/>
  <c r="C18" i="25"/>
  <c r="O17" i="25"/>
  <c r="C17" i="25"/>
  <c r="O16" i="25"/>
  <c r="C16" i="25"/>
  <c r="O15" i="25"/>
  <c r="C15" i="25"/>
  <c r="O14" i="25"/>
  <c r="H14" i="25"/>
  <c r="R14" i="25" s="1"/>
  <c r="C14" i="25"/>
  <c r="O13" i="25"/>
  <c r="H13" i="25"/>
  <c r="R13" i="25" s="1"/>
  <c r="C13" i="25"/>
  <c r="O12" i="25"/>
  <c r="H12" i="25"/>
  <c r="R12" i="25" s="1"/>
  <c r="C12" i="25"/>
  <c r="O11" i="25"/>
  <c r="H11" i="25"/>
  <c r="R11" i="25" s="1"/>
  <c r="C11" i="25"/>
  <c r="O10" i="25"/>
  <c r="H10" i="25"/>
  <c r="R10" i="25" s="1"/>
  <c r="C10" i="25"/>
  <c r="O9" i="25"/>
  <c r="H9" i="25"/>
  <c r="R9" i="25" s="1"/>
  <c r="C9" i="25"/>
  <c r="O8" i="25"/>
  <c r="H8" i="25"/>
  <c r="R8" i="25" s="1"/>
  <c r="C8" i="25"/>
  <c r="T6" i="25"/>
  <c r="Z6" i="25" s="1"/>
  <c r="P5" i="25"/>
  <c r="A2" i="25"/>
  <c r="U31" i="32" l="1"/>
  <c r="Z40" i="25"/>
  <c r="T17" i="36"/>
  <c r="Z17" i="36" s="1"/>
  <c r="Z27" i="31"/>
  <c r="Z42" i="32"/>
  <c r="S16" i="35"/>
  <c r="S17" i="28"/>
  <c r="Y17" i="28" s="1"/>
  <c r="Z40" i="28"/>
  <c r="Z38" i="31"/>
  <c r="Z40" i="31"/>
  <c r="Z42" i="31"/>
  <c r="Z40" i="33"/>
  <c r="S17" i="34"/>
  <c r="Z34" i="34"/>
  <c r="U31" i="28"/>
  <c r="Y31" i="30"/>
  <c r="Z38" i="30"/>
  <c r="Z40" i="30"/>
  <c r="U31" i="31"/>
  <c r="Z36" i="33"/>
  <c r="T17" i="34"/>
  <c r="Z17" i="34" s="1"/>
  <c r="Z27" i="36"/>
  <c r="S15" i="31"/>
  <c r="Y15" i="31" s="1"/>
  <c r="S16" i="31"/>
  <c r="Y16" i="31" s="1"/>
  <c r="S17" i="31"/>
  <c r="S15" i="33"/>
  <c r="Y15" i="33" s="1"/>
  <c r="Z38" i="34"/>
  <c r="S15" i="35"/>
  <c r="T36" i="35"/>
  <c r="T17" i="28"/>
  <c r="Z17" i="28" s="1"/>
  <c r="U31" i="30"/>
  <c r="Z27" i="32"/>
  <c r="S17" i="33"/>
  <c r="S30" i="35"/>
  <c r="T17" i="26"/>
  <c r="Z17" i="26" s="1"/>
  <c r="T16" i="27"/>
  <c r="Z16" i="27" s="1"/>
  <c r="U31" i="34"/>
  <c r="Z27" i="25"/>
  <c r="Z29" i="25"/>
  <c r="U31" i="25"/>
  <c r="S15" i="27"/>
  <c r="U31" i="27"/>
  <c r="Z40" i="27"/>
  <c r="Z42" i="27"/>
  <c r="Z27" i="28"/>
  <c r="T16" i="29"/>
  <c r="Z16" i="29" s="1"/>
  <c r="S15" i="30"/>
  <c r="Y15" i="30" s="1"/>
  <c r="S17" i="30"/>
  <c r="Y17" i="30" s="1"/>
  <c r="S15" i="32"/>
  <c r="Y15" i="32" s="1"/>
  <c r="S16" i="32"/>
  <c r="Y16" i="32" s="1"/>
  <c r="S16" i="33"/>
  <c r="T17" i="33"/>
  <c r="Z17" i="33" s="1"/>
  <c r="Z29" i="34"/>
  <c r="Z29" i="36"/>
  <c r="Z36" i="36"/>
  <c r="Z42" i="34"/>
  <c r="Z31" i="34"/>
  <c r="L31" i="34"/>
  <c r="Z38" i="36"/>
  <c r="Z29" i="27"/>
  <c r="Z38" i="33"/>
  <c r="I31" i="25"/>
  <c r="K31" i="25" s="1"/>
  <c r="Z34" i="26"/>
  <c r="T16" i="28"/>
  <c r="Z16" i="28" s="1"/>
  <c r="Z27" i="29"/>
  <c r="Z42" i="30"/>
  <c r="Z38" i="26"/>
  <c r="S16" i="28"/>
  <c r="Y16" i="28" s="1"/>
  <c r="Z29" i="29"/>
  <c r="U31" i="29"/>
  <c r="Z34" i="29"/>
  <c r="Z36" i="29"/>
  <c r="Z36" i="32"/>
  <c r="Z34" i="33"/>
  <c r="Z42" i="33"/>
  <c r="I31" i="34"/>
  <c r="K31" i="34" s="1"/>
  <c r="T29" i="35"/>
  <c r="T38" i="35"/>
  <c r="I31" i="36"/>
  <c r="Y31" i="36" s="1"/>
  <c r="Z40" i="26"/>
  <c r="Z34" i="25"/>
  <c r="Z36" i="25"/>
  <c r="S15" i="26"/>
  <c r="Y15" i="26" s="1"/>
  <c r="AA15" i="26" s="1"/>
  <c r="Z29" i="26"/>
  <c r="T15" i="27"/>
  <c r="Z15" i="27" s="1"/>
  <c r="T17" i="27"/>
  <c r="Z17" i="27" s="1"/>
  <c r="Z27" i="27"/>
  <c r="Y31" i="27"/>
  <c r="Z34" i="27"/>
  <c r="S15" i="29"/>
  <c r="Y15" i="29" s="1"/>
  <c r="S16" i="29"/>
  <c r="Y16" i="29" s="1"/>
  <c r="Z40" i="29"/>
  <c r="Z34" i="30"/>
  <c r="Z31" i="31"/>
  <c r="Z34" i="31"/>
  <c r="S17" i="32"/>
  <c r="Y17" i="32" s="1"/>
  <c r="Z40" i="34"/>
  <c r="S17" i="35"/>
  <c r="Y17" i="35" s="1"/>
  <c r="Z31" i="35"/>
  <c r="S16" i="36"/>
  <c r="Y16" i="36" s="1"/>
  <c r="S17" i="36"/>
  <c r="S16" i="30"/>
  <c r="Y16" i="30" s="1"/>
  <c r="T16" i="30"/>
  <c r="Z16" i="30" s="1"/>
  <c r="T15" i="30"/>
  <c r="Z15" i="30" s="1"/>
  <c r="T15" i="29"/>
  <c r="Z15" i="29" s="1"/>
  <c r="S15" i="28"/>
  <c r="Y15" i="28" s="1"/>
  <c r="T15" i="28"/>
  <c r="Z15" i="28" s="1"/>
  <c r="S17" i="27"/>
  <c r="Y17" i="27" s="1"/>
  <c r="AA17" i="27" s="1"/>
  <c r="S16" i="27"/>
  <c r="Y16" i="27" s="1"/>
  <c r="AA16" i="27" s="1"/>
  <c r="U15" i="26"/>
  <c r="S17" i="26"/>
  <c r="Z38" i="28"/>
  <c r="Z31" i="28"/>
  <c r="Z27" i="26"/>
  <c r="Z42" i="25"/>
  <c r="I30" i="32"/>
  <c r="Y30" i="32" s="1"/>
  <c r="I31" i="28"/>
  <c r="K31" i="28" s="1"/>
  <c r="G30" i="34"/>
  <c r="I31" i="31"/>
  <c r="T27" i="35"/>
  <c r="Z27" i="35" s="1"/>
  <c r="R30" i="35"/>
  <c r="I31" i="26"/>
  <c r="Y31" i="26" s="1"/>
  <c r="R30" i="30"/>
  <c r="I31" i="35"/>
  <c r="K31" i="35" s="1"/>
  <c r="I31" i="32"/>
  <c r="K31" i="32" s="1"/>
  <c r="I30" i="35"/>
  <c r="T34" i="35"/>
  <c r="Z34" i="35" s="1"/>
  <c r="T40" i="35"/>
  <c r="Z40" i="35" s="1"/>
  <c r="I31" i="33"/>
  <c r="Y31" i="33" s="1"/>
  <c r="J31" i="27"/>
  <c r="K31" i="27"/>
  <c r="U31" i="26"/>
  <c r="U16" i="27"/>
  <c r="T16" i="26"/>
  <c r="Z16" i="26" s="1"/>
  <c r="S16" i="26"/>
  <c r="Z31" i="25"/>
  <c r="Z38" i="25"/>
  <c r="Z42" i="26"/>
  <c r="P18" i="30"/>
  <c r="P18" i="28"/>
  <c r="P18" i="29"/>
  <c r="P18" i="27"/>
  <c r="Z17" i="35"/>
  <c r="P18" i="26"/>
  <c r="Z36" i="26"/>
  <c r="Y15" i="27"/>
  <c r="U15" i="27"/>
  <c r="H30" i="25"/>
  <c r="L31" i="25"/>
  <c r="Z36" i="27"/>
  <c r="U16" i="28"/>
  <c r="T17" i="30"/>
  <c r="Z17" i="30" s="1"/>
  <c r="Z34" i="28"/>
  <c r="H30" i="27"/>
  <c r="R30" i="27" s="1"/>
  <c r="Z29" i="28"/>
  <c r="Z38" i="27"/>
  <c r="H30" i="29"/>
  <c r="R30" i="29" s="1"/>
  <c r="J31" i="26"/>
  <c r="Z36" i="28"/>
  <c r="K31" i="30"/>
  <c r="J31" i="30"/>
  <c r="Y17" i="31"/>
  <c r="AA17" i="31" s="1"/>
  <c r="U17" i="31"/>
  <c r="S17" i="29"/>
  <c r="Y31" i="29"/>
  <c r="Z42" i="29"/>
  <c r="Z27" i="30"/>
  <c r="T17" i="29"/>
  <c r="Z17" i="29" s="1"/>
  <c r="Z31" i="29"/>
  <c r="L31" i="29"/>
  <c r="Z38" i="29"/>
  <c r="Z29" i="30"/>
  <c r="Z42" i="28"/>
  <c r="Y16" i="33"/>
  <c r="Z36" i="30"/>
  <c r="Z29" i="31"/>
  <c r="D18" i="36"/>
  <c r="D18" i="34"/>
  <c r="D18" i="35"/>
  <c r="D18" i="32"/>
  <c r="Z36" i="31"/>
  <c r="P18" i="36"/>
  <c r="P18" i="33"/>
  <c r="P18" i="32"/>
  <c r="P18" i="35"/>
  <c r="P18" i="34"/>
  <c r="J31" i="32"/>
  <c r="G30" i="31"/>
  <c r="Q30" i="31" s="1"/>
  <c r="S30" i="31" s="1"/>
  <c r="T17" i="32"/>
  <c r="Z17" i="32" s="1"/>
  <c r="Z34" i="32"/>
  <c r="K31" i="33"/>
  <c r="Y16" i="34"/>
  <c r="U31" i="33"/>
  <c r="G30" i="33"/>
  <c r="I30" i="33" s="1"/>
  <c r="Z40" i="32"/>
  <c r="Z27" i="33"/>
  <c r="U17" i="34"/>
  <c r="Y17" i="34"/>
  <c r="AA17" i="34" s="1"/>
  <c r="Z31" i="33"/>
  <c r="L31" i="33"/>
  <c r="Z27" i="34"/>
  <c r="Y16" i="35"/>
  <c r="Y15" i="35"/>
  <c r="H30" i="34"/>
  <c r="R30" i="34" s="1"/>
  <c r="R30" i="33"/>
  <c r="Z36" i="34"/>
  <c r="Z38" i="35"/>
  <c r="J31" i="36"/>
  <c r="Z36" i="35"/>
  <c r="Z29" i="35"/>
  <c r="U31" i="35"/>
  <c r="Z42" i="35"/>
  <c r="Y15" i="36"/>
  <c r="Z40" i="36"/>
  <c r="U31" i="36"/>
  <c r="Z34" i="36"/>
  <c r="G30" i="36"/>
  <c r="I30" i="36" s="1"/>
  <c r="H30" i="36"/>
  <c r="R30" i="36" s="1"/>
  <c r="Y31" i="25" l="1"/>
  <c r="K31" i="36"/>
  <c r="AA16" i="30"/>
  <c r="AA16" i="28"/>
  <c r="U17" i="28"/>
  <c r="U17" i="35"/>
  <c r="AA31" i="33"/>
  <c r="U17" i="33"/>
  <c r="Y31" i="34"/>
  <c r="AA31" i="34" s="1"/>
  <c r="Y30" i="35"/>
  <c r="AA17" i="28"/>
  <c r="AA15" i="27"/>
  <c r="AA15" i="30"/>
  <c r="U16" i="29"/>
  <c r="AA16" i="29"/>
  <c r="Y17" i="33"/>
  <c r="AA17" i="33" s="1"/>
  <c r="U15" i="29"/>
  <c r="U16" i="30"/>
  <c r="AA17" i="35"/>
  <c r="AA15" i="29"/>
  <c r="AA15" i="28"/>
  <c r="Y17" i="36"/>
  <c r="AA17" i="36" s="1"/>
  <c r="U17" i="36"/>
  <c r="AA17" i="32"/>
  <c r="U15" i="28"/>
  <c r="U17" i="27"/>
  <c r="U17" i="30"/>
  <c r="AA17" i="30"/>
  <c r="U15" i="30"/>
  <c r="Y31" i="28"/>
  <c r="AA31" i="28" s="1"/>
  <c r="U17" i="26"/>
  <c r="Y17" i="26"/>
  <c r="AA17" i="26" s="1"/>
  <c r="K31" i="26"/>
  <c r="I30" i="31"/>
  <c r="Y30" i="31" s="1"/>
  <c r="Y31" i="35"/>
  <c r="AA31" i="35" s="1"/>
  <c r="Y31" i="32"/>
  <c r="Q30" i="36"/>
  <c r="S30" i="36" s="1"/>
  <c r="Y30" i="36" s="1"/>
  <c r="Q30" i="33"/>
  <c r="S30" i="33" s="1"/>
  <c r="Y30" i="33" s="1"/>
  <c r="K31" i="31"/>
  <c r="Y31" i="31"/>
  <c r="AA31" i="31" s="1"/>
  <c r="I30" i="34"/>
  <c r="Q30" i="34"/>
  <c r="S30" i="34" s="1"/>
  <c r="Z31" i="32"/>
  <c r="L31" i="32"/>
  <c r="Y16" i="26"/>
  <c r="AA16" i="26" s="1"/>
  <c r="U16" i="26"/>
  <c r="AA31" i="29"/>
  <c r="L31" i="26"/>
  <c r="Z31" i="26"/>
  <c r="AA31" i="26" s="1"/>
  <c r="Z31" i="27"/>
  <c r="AA31" i="27" s="1"/>
  <c r="L31" i="27"/>
  <c r="Z31" i="30"/>
  <c r="AA31" i="30" s="1"/>
  <c r="L31" i="30"/>
  <c r="R30" i="25"/>
  <c r="U17" i="29"/>
  <c r="Y17" i="29"/>
  <c r="AA17" i="29" s="1"/>
  <c r="Z31" i="36"/>
  <c r="AA31" i="36" s="1"/>
  <c r="L31" i="36"/>
  <c r="U17" i="32"/>
  <c r="AA31" i="25"/>
  <c r="AA31" i="32" l="1"/>
  <c r="Y30" i="34"/>
  <c r="J11" i="17" l="1"/>
  <c r="I11" i="17"/>
  <c r="A12" i="17"/>
  <c r="A13" i="17" s="1"/>
  <c r="A14" i="17" s="1"/>
  <c r="A15" i="17" s="1"/>
  <c r="A16" i="17" s="1"/>
  <c r="A17" i="17" s="1"/>
  <c r="A18" i="17" s="1"/>
  <c r="A19" i="17" s="1"/>
  <c r="A20" i="17" s="1"/>
  <c r="A21" i="17" s="1"/>
  <c r="A22" i="17" s="1"/>
  <c r="A23" i="17" s="1"/>
  <c r="A24" i="17" s="1"/>
  <c r="A25" i="17" s="1"/>
  <c r="A26" i="17" s="1"/>
  <c r="A27" i="17" s="1"/>
  <c r="A28" i="17" s="1"/>
  <c r="J28" i="17" s="1"/>
  <c r="I13" i="17" l="1"/>
  <c r="I14" i="17"/>
  <c r="I20" i="17"/>
  <c r="I12" i="17"/>
  <c r="I16" i="17"/>
  <c r="I18" i="17"/>
  <c r="I15" i="17"/>
  <c r="I22" i="17"/>
  <c r="I24" i="17"/>
  <c r="I26" i="17"/>
  <c r="I28" i="17"/>
  <c r="I17" i="17"/>
  <c r="I19" i="17"/>
  <c r="I21" i="17"/>
  <c r="I23" i="17"/>
  <c r="I25" i="17"/>
  <c r="I27" i="17"/>
  <c r="J13" i="17"/>
  <c r="J15" i="17"/>
  <c r="J17" i="17"/>
  <c r="J19" i="17"/>
  <c r="J21" i="17"/>
  <c r="J23" i="17"/>
  <c r="J25" i="17"/>
  <c r="J27" i="17"/>
  <c r="J12" i="17"/>
  <c r="J14" i="17"/>
  <c r="J16" i="17"/>
  <c r="J18" i="17"/>
  <c r="J20" i="17"/>
  <c r="J22" i="17"/>
  <c r="J24" i="17"/>
  <c r="J26" i="17"/>
  <c r="F15" i="17"/>
  <c r="E15" i="17"/>
  <c r="D15" i="17"/>
  <c r="C15" i="17"/>
  <c r="B15" i="17"/>
  <c r="F14" i="17"/>
  <c r="E14" i="17"/>
  <c r="D14" i="17"/>
  <c r="C14" i="17"/>
  <c r="B14" i="17"/>
  <c r="F13" i="17"/>
  <c r="E13" i="17"/>
  <c r="D13" i="17"/>
  <c r="C13" i="17"/>
  <c r="B13" i="17"/>
  <c r="F12" i="17"/>
  <c r="E12" i="17"/>
  <c r="D12" i="17"/>
  <c r="C12" i="17"/>
  <c r="B12" i="17"/>
  <c r="F11" i="17"/>
  <c r="E11" i="17"/>
  <c r="D11" i="17"/>
  <c r="C11" i="17"/>
  <c r="B11" i="17"/>
  <c r="W63" i="12" l="1"/>
  <c r="D147" i="15"/>
  <c r="D159" i="15" s="1"/>
  <c r="B147" i="15"/>
  <c r="B159" i="15" s="1"/>
  <c r="G147" i="15"/>
  <c r="G159" i="15" s="1"/>
  <c r="F147" i="15"/>
  <c r="F159" i="15" s="1"/>
  <c r="E147" i="15"/>
  <c r="E159" i="15" s="1"/>
  <c r="C147" i="15" l="1"/>
  <c r="C159" i="15" s="1"/>
  <c r="X31" i="12"/>
  <c r="A1" i="17"/>
  <c r="U36" i="12" l="1"/>
  <c r="AB35" i="12" l="1"/>
  <c r="T41" i="12"/>
  <c r="U43" i="12"/>
  <c r="U42" i="12"/>
  <c r="U62" i="12" l="1"/>
  <c r="X63" i="12"/>
  <c r="U30" i="12"/>
  <c r="AB30" i="12" l="1"/>
  <c r="B69" i="13" s="1"/>
  <c r="U45" i="12"/>
  <c r="E141" i="15"/>
  <c r="E153" i="15" s="1"/>
  <c r="G135" i="15" l="1"/>
  <c r="F135" i="15"/>
  <c r="E135" i="15"/>
  <c r="D135" i="15"/>
  <c r="C135" i="15"/>
  <c r="B135" i="15"/>
  <c r="F129" i="15"/>
  <c r="A4" i="12" l="1"/>
  <c r="U63" i="12" l="1"/>
  <c r="U59" i="12"/>
  <c r="U58" i="12"/>
  <c r="U51" i="12"/>
  <c r="U38" i="12"/>
  <c r="U32" i="12"/>
  <c r="AB32" i="12" s="1"/>
  <c r="U31" i="12"/>
  <c r="AB31" i="12" l="1"/>
  <c r="U46" i="12"/>
  <c r="U65" i="12"/>
  <c r="U47" i="12"/>
  <c r="U70" i="12"/>
  <c r="H135" i="15"/>
  <c r="U66" i="12"/>
  <c r="U49" i="12" l="1"/>
  <c r="U53" i="12" s="1"/>
  <c r="U68" i="12"/>
  <c r="U72" i="12" s="1"/>
  <c r="A12" i="22"/>
  <c r="L12" i="20"/>
  <c r="J12" i="20"/>
  <c r="I12" i="20"/>
  <c r="H12" i="20"/>
  <c r="F12" i="20"/>
  <c r="E12" i="20"/>
  <c r="D12" i="20"/>
  <c r="C12" i="20"/>
  <c r="B12" i="20"/>
  <c r="B9" i="18"/>
  <c r="G63" i="17"/>
  <c r="G62" i="17"/>
  <c r="G61" i="17"/>
  <c r="G60" i="17"/>
  <c r="G58" i="17"/>
  <c r="A32" i="17"/>
  <c r="H129" i="15"/>
  <c r="J123" i="15"/>
  <c r="I123" i="15"/>
  <c r="H123" i="15"/>
  <c r="G123" i="15"/>
  <c r="F123" i="15"/>
  <c r="E123" i="15"/>
  <c r="D123" i="15"/>
  <c r="C123" i="15"/>
  <c r="B123" i="15"/>
  <c r="T122" i="15"/>
  <c r="T121" i="15"/>
  <c r="T120" i="15"/>
  <c r="T119" i="15"/>
  <c r="T118" i="15"/>
  <c r="T117" i="15"/>
  <c r="H117" i="15"/>
  <c r="G117" i="15"/>
  <c r="F117" i="15"/>
  <c r="E117" i="15"/>
  <c r="T116" i="15"/>
  <c r="T115" i="15"/>
  <c r="T114" i="15"/>
  <c r="T113" i="15"/>
  <c r="T112" i="15"/>
  <c r="T111" i="15"/>
  <c r="L111" i="15"/>
  <c r="H111" i="15"/>
  <c r="G111" i="15"/>
  <c r="F111" i="15"/>
  <c r="E111" i="15"/>
  <c r="T110" i="15"/>
  <c r="T109" i="15"/>
  <c r="T108" i="15"/>
  <c r="T107" i="15"/>
  <c r="T106" i="15"/>
  <c r="T105" i="15"/>
  <c r="H105" i="15"/>
  <c r="G105" i="15"/>
  <c r="F105" i="15"/>
  <c r="E105" i="15"/>
  <c r="T104" i="15"/>
  <c r="T103" i="15"/>
  <c r="T102" i="15"/>
  <c r="T101" i="15"/>
  <c r="T100" i="15"/>
  <c r="T99" i="15"/>
  <c r="L99" i="15"/>
  <c r="L105" i="15" s="1"/>
  <c r="H99" i="15"/>
  <c r="G99" i="15"/>
  <c r="F99" i="15"/>
  <c r="E99" i="15"/>
  <c r="T98" i="15"/>
  <c r="T97" i="15"/>
  <c r="T96" i="15"/>
  <c r="T95" i="15"/>
  <c r="T94" i="15"/>
  <c r="T93" i="15"/>
  <c r="J93" i="15"/>
  <c r="I93" i="15"/>
  <c r="H93" i="15"/>
  <c r="G93" i="15"/>
  <c r="F93" i="15"/>
  <c r="E93" i="15"/>
  <c r="D93" i="15"/>
  <c r="C93" i="15"/>
  <c r="B93" i="15"/>
  <c r="T92" i="15"/>
  <c r="T91" i="15"/>
  <c r="T90" i="15"/>
  <c r="T89" i="15"/>
  <c r="T88" i="15"/>
  <c r="T87" i="15"/>
  <c r="L87" i="15"/>
  <c r="L93" i="15" s="1"/>
  <c r="J87" i="15"/>
  <c r="I87" i="15"/>
  <c r="H87" i="15"/>
  <c r="G87" i="15"/>
  <c r="F87" i="15"/>
  <c r="E87" i="15"/>
  <c r="D87" i="15"/>
  <c r="C87" i="15"/>
  <c r="B87" i="15"/>
  <c r="T86" i="15"/>
  <c r="T85" i="15"/>
  <c r="T84" i="15"/>
  <c r="T83" i="15"/>
  <c r="T82" i="15"/>
  <c r="T81" i="15"/>
  <c r="L81" i="15"/>
  <c r="J81" i="15"/>
  <c r="I81" i="15"/>
  <c r="H81" i="15"/>
  <c r="G81" i="15"/>
  <c r="F81" i="15"/>
  <c r="E81" i="15"/>
  <c r="D81" i="15"/>
  <c r="C81" i="15"/>
  <c r="B81" i="15"/>
  <c r="T80" i="15"/>
  <c r="T79" i="15"/>
  <c r="T78" i="15"/>
  <c r="T77" i="15"/>
  <c r="T76" i="15"/>
  <c r="T75" i="15"/>
  <c r="L75" i="15"/>
  <c r="J75" i="15"/>
  <c r="I75" i="15"/>
  <c r="H75" i="15"/>
  <c r="G75" i="15"/>
  <c r="F75" i="15"/>
  <c r="E75" i="15"/>
  <c r="D75" i="15"/>
  <c r="C75" i="15"/>
  <c r="B75" i="15"/>
  <c r="T74" i="15"/>
  <c r="T73" i="15"/>
  <c r="T72" i="15"/>
  <c r="T71" i="15"/>
  <c r="T70" i="15"/>
  <c r="T69" i="15"/>
  <c r="L69" i="15"/>
  <c r="J69" i="15"/>
  <c r="I69" i="15"/>
  <c r="H69" i="15"/>
  <c r="G69" i="15"/>
  <c r="F69" i="15"/>
  <c r="E69" i="15"/>
  <c r="D69" i="15"/>
  <c r="C69" i="15"/>
  <c r="B69" i="15"/>
  <c r="T68" i="15"/>
  <c r="T67" i="15"/>
  <c r="T66" i="15"/>
  <c r="T65" i="15"/>
  <c r="T64" i="15"/>
  <c r="T63" i="15"/>
  <c r="L63" i="15"/>
  <c r="J63" i="15"/>
  <c r="I63" i="15"/>
  <c r="H63" i="15"/>
  <c r="G63" i="15"/>
  <c r="F63" i="15"/>
  <c r="E63" i="15"/>
  <c r="D63" i="15"/>
  <c r="C63" i="15"/>
  <c r="B63" i="15"/>
  <c r="T62" i="15"/>
  <c r="T61" i="15"/>
  <c r="T60" i="15"/>
  <c r="T59" i="15"/>
  <c r="T58" i="15"/>
  <c r="T57" i="15"/>
  <c r="L57" i="15"/>
  <c r="H57" i="15"/>
  <c r="F57" i="15"/>
  <c r="D57" i="15"/>
  <c r="B57" i="15"/>
  <c r="T56" i="15"/>
  <c r="L56" i="15"/>
  <c r="H56" i="15"/>
  <c r="F56" i="15"/>
  <c r="D56" i="15"/>
  <c r="B56" i="15"/>
  <c r="T55" i="15"/>
  <c r="L55" i="15"/>
  <c r="H55" i="15"/>
  <c r="F55" i="15"/>
  <c r="D55" i="15"/>
  <c r="B55" i="15"/>
  <c r="T54" i="15"/>
  <c r="L54" i="15"/>
  <c r="H54" i="15"/>
  <c r="F54" i="15"/>
  <c r="D54" i="15"/>
  <c r="B54" i="15"/>
  <c r="T53" i="15"/>
  <c r="L53" i="15"/>
  <c r="H53" i="15"/>
  <c r="F53" i="15"/>
  <c r="D53" i="15"/>
  <c r="B53" i="15"/>
  <c r="T52" i="15"/>
  <c r="L52" i="15"/>
  <c r="H52" i="15"/>
  <c r="F52" i="15"/>
  <c r="D52" i="15"/>
  <c r="B52" i="15"/>
  <c r="T51" i="15"/>
  <c r="L51" i="15"/>
  <c r="H51" i="15"/>
  <c r="F51" i="15"/>
  <c r="D51" i="15"/>
  <c r="B51" i="15"/>
  <c r="U50" i="15"/>
  <c r="T50" i="15"/>
  <c r="M50" i="15"/>
  <c r="L50" i="15"/>
  <c r="H50" i="15"/>
  <c r="F50" i="15"/>
  <c r="D50" i="15"/>
  <c r="J50" i="15" s="1"/>
  <c r="B50" i="15"/>
  <c r="U49" i="15"/>
  <c r="T49" i="15"/>
  <c r="M49" i="15"/>
  <c r="L49" i="15"/>
  <c r="H49" i="15"/>
  <c r="F49" i="15"/>
  <c r="D49" i="15"/>
  <c r="B49" i="15"/>
  <c r="U48" i="15"/>
  <c r="T48" i="15"/>
  <c r="M48" i="15"/>
  <c r="L48" i="15"/>
  <c r="H48" i="15"/>
  <c r="F48" i="15"/>
  <c r="D48" i="15"/>
  <c r="J48" i="15" s="1"/>
  <c r="B48" i="15"/>
  <c r="U47" i="15"/>
  <c r="T47" i="15"/>
  <c r="M47" i="15"/>
  <c r="L47" i="15"/>
  <c r="H47" i="15"/>
  <c r="F47" i="15"/>
  <c r="D47" i="15"/>
  <c r="J47" i="15" s="1"/>
  <c r="B47" i="15"/>
  <c r="U46" i="15"/>
  <c r="T46" i="15"/>
  <c r="M46" i="15"/>
  <c r="L46" i="15"/>
  <c r="H46" i="15"/>
  <c r="F46" i="15"/>
  <c r="D46" i="15"/>
  <c r="B46" i="15"/>
  <c r="U45" i="15"/>
  <c r="T45" i="15"/>
  <c r="M45" i="15"/>
  <c r="L45" i="15"/>
  <c r="H45" i="15"/>
  <c r="F45" i="15"/>
  <c r="D45" i="15"/>
  <c r="J45" i="15" s="1"/>
  <c r="B45" i="15"/>
  <c r="U44" i="15"/>
  <c r="T44" i="15"/>
  <c r="M44" i="15"/>
  <c r="L44" i="15"/>
  <c r="H44" i="15"/>
  <c r="F44" i="15"/>
  <c r="D44" i="15"/>
  <c r="J44" i="15" s="1"/>
  <c r="B44" i="15"/>
  <c r="U43" i="15"/>
  <c r="AA43" i="15" s="1"/>
  <c r="T43" i="15"/>
  <c r="M43" i="15"/>
  <c r="L43" i="15"/>
  <c r="H43" i="15"/>
  <c r="F43" i="15"/>
  <c r="D43" i="15"/>
  <c r="J43" i="15" s="1"/>
  <c r="B43" i="15"/>
  <c r="U42" i="15"/>
  <c r="AA42" i="15" s="1"/>
  <c r="T42" i="15"/>
  <c r="M42" i="15"/>
  <c r="L42" i="15"/>
  <c r="H42" i="15"/>
  <c r="F42" i="15"/>
  <c r="D42" i="15"/>
  <c r="J42" i="15" s="1"/>
  <c r="B42" i="15"/>
  <c r="U41" i="15"/>
  <c r="AA41" i="15" s="1"/>
  <c r="T41" i="15"/>
  <c r="M41" i="15"/>
  <c r="L41" i="15"/>
  <c r="H41" i="15"/>
  <c r="F41" i="15"/>
  <c r="D41" i="15"/>
  <c r="B41" i="15"/>
  <c r="U40" i="15"/>
  <c r="AA40" i="15" s="1"/>
  <c r="T40" i="15"/>
  <c r="M40" i="15"/>
  <c r="L40" i="15"/>
  <c r="H40" i="15"/>
  <c r="F40" i="15"/>
  <c r="D40" i="15"/>
  <c r="J40" i="15" s="1"/>
  <c r="B40" i="15"/>
  <c r="U39" i="15"/>
  <c r="T39" i="15"/>
  <c r="M39" i="15"/>
  <c r="L39" i="15"/>
  <c r="H39" i="15"/>
  <c r="F39" i="15"/>
  <c r="D39" i="15"/>
  <c r="J39" i="15" s="1"/>
  <c r="B39" i="15"/>
  <c r="U38" i="15"/>
  <c r="T38" i="15"/>
  <c r="M38" i="15"/>
  <c r="L38" i="15"/>
  <c r="H38" i="15"/>
  <c r="F38" i="15"/>
  <c r="D38" i="15"/>
  <c r="J38" i="15" s="1"/>
  <c r="B38" i="15"/>
  <c r="U37" i="15"/>
  <c r="T37" i="15"/>
  <c r="M37" i="15"/>
  <c r="L37" i="15"/>
  <c r="H37" i="15"/>
  <c r="F37" i="15"/>
  <c r="D37" i="15"/>
  <c r="B37" i="15"/>
  <c r="U36" i="15"/>
  <c r="T36" i="15"/>
  <c r="M36" i="15"/>
  <c r="L36" i="15"/>
  <c r="H36" i="15"/>
  <c r="F36" i="15"/>
  <c r="D36" i="15"/>
  <c r="J36" i="15" s="1"/>
  <c r="B36" i="15"/>
  <c r="U35" i="15"/>
  <c r="T35" i="15"/>
  <c r="M35" i="15"/>
  <c r="L35" i="15"/>
  <c r="H35" i="15"/>
  <c r="F35" i="15"/>
  <c r="D35" i="15"/>
  <c r="J35" i="15" s="1"/>
  <c r="B35" i="15"/>
  <c r="U34" i="15"/>
  <c r="T34" i="15"/>
  <c r="M34" i="15"/>
  <c r="L34" i="15"/>
  <c r="H34" i="15"/>
  <c r="F34" i="15"/>
  <c r="D34" i="15"/>
  <c r="J34" i="15" s="1"/>
  <c r="B34" i="15"/>
  <c r="U33" i="15"/>
  <c r="T33" i="15"/>
  <c r="M33" i="15"/>
  <c r="L33" i="15"/>
  <c r="H33" i="15"/>
  <c r="F33" i="15"/>
  <c r="D33" i="15"/>
  <c r="J33" i="15" s="1"/>
  <c r="B33" i="15"/>
  <c r="U32" i="15"/>
  <c r="T32" i="15"/>
  <c r="M32" i="15"/>
  <c r="L32" i="15"/>
  <c r="H32" i="15"/>
  <c r="F32" i="15"/>
  <c r="E32" i="15"/>
  <c r="D32" i="15"/>
  <c r="B32" i="15"/>
  <c r="U31" i="15"/>
  <c r="AA31" i="15" s="1"/>
  <c r="T31" i="15"/>
  <c r="M31" i="15"/>
  <c r="L31" i="15"/>
  <c r="H31" i="15"/>
  <c r="F31" i="15"/>
  <c r="E31" i="15"/>
  <c r="D31" i="15"/>
  <c r="B31" i="15"/>
  <c r="U30" i="15"/>
  <c r="AA30" i="15" s="1"/>
  <c r="T30" i="15"/>
  <c r="M30" i="15"/>
  <c r="L30" i="15"/>
  <c r="H30" i="15"/>
  <c r="F30" i="15"/>
  <c r="E30" i="15"/>
  <c r="D30" i="15"/>
  <c r="B30" i="15"/>
  <c r="U29" i="15"/>
  <c r="AA29" i="15" s="1"/>
  <c r="T29" i="15"/>
  <c r="M29" i="15"/>
  <c r="L29" i="15"/>
  <c r="H29" i="15"/>
  <c r="F29" i="15"/>
  <c r="E29" i="15"/>
  <c r="D29" i="15"/>
  <c r="B29" i="15"/>
  <c r="U28" i="15"/>
  <c r="AA28" i="15" s="1"/>
  <c r="T28" i="15"/>
  <c r="M28" i="15"/>
  <c r="L28" i="15"/>
  <c r="H28" i="15"/>
  <c r="F28" i="15"/>
  <c r="E28" i="15"/>
  <c r="D28" i="15"/>
  <c r="B28" i="15"/>
  <c r="U27" i="15"/>
  <c r="T27" i="15"/>
  <c r="M27" i="15"/>
  <c r="L27" i="15"/>
  <c r="H27" i="15"/>
  <c r="F27" i="15"/>
  <c r="E27" i="15"/>
  <c r="D27" i="15"/>
  <c r="B27" i="15"/>
  <c r="U26" i="15"/>
  <c r="T26" i="15"/>
  <c r="M26" i="15"/>
  <c r="L26" i="15"/>
  <c r="H26" i="15"/>
  <c r="F26" i="15"/>
  <c r="E26" i="15"/>
  <c r="D26" i="15"/>
  <c r="B26" i="15"/>
  <c r="U25" i="15"/>
  <c r="T25" i="15"/>
  <c r="M25" i="15"/>
  <c r="L25" i="15"/>
  <c r="H25" i="15"/>
  <c r="F25" i="15"/>
  <c r="E25" i="15"/>
  <c r="D25" i="15"/>
  <c r="B25" i="15"/>
  <c r="U24" i="15"/>
  <c r="T24" i="15"/>
  <c r="M24" i="15"/>
  <c r="L24" i="15"/>
  <c r="H24" i="15"/>
  <c r="F24" i="15"/>
  <c r="E24" i="15"/>
  <c r="D24" i="15"/>
  <c r="B24" i="15"/>
  <c r="U23" i="15"/>
  <c r="T23" i="15"/>
  <c r="M23" i="15"/>
  <c r="L23" i="15"/>
  <c r="H23" i="15"/>
  <c r="F23" i="15"/>
  <c r="E23" i="15"/>
  <c r="D23" i="15"/>
  <c r="B23" i="15"/>
  <c r="U22" i="15"/>
  <c r="T22" i="15"/>
  <c r="M22" i="15"/>
  <c r="L22" i="15"/>
  <c r="H22" i="15"/>
  <c r="F22" i="15"/>
  <c r="E22" i="15"/>
  <c r="D22" i="15"/>
  <c r="B22" i="15"/>
  <c r="U21" i="15"/>
  <c r="T21" i="15"/>
  <c r="M21" i="15"/>
  <c r="L21" i="15"/>
  <c r="H21" i="15"/>
  <c r="F21" i="15"/>
  <c r="E21" i="15"/>
  <c r="D21" i="15"/>
  <c r="B21" i="15"/>
  <c r="U20" i="15"/>
  <c r="T20" i="15"/>
  <c r="M20" i="15"/>
  <c r="L20" i="15"/>
  <c r="H20" i="15"/>
  <c r="F20" i="15"/>
  <c r="E20" i="15"/>
  <c r="D20" i="15"/>
  <c r="B20" i="15"/>
  <c r="U19" i="15"/>
  <c r="AA19" i="15" s="1"/>
  <c r="T19" i="15"/>
  <c r="M19" i="15"/>
  <c r="L19" i="15"/>
  <c r="H19" i="15"/>
  <c r="F19" i="15"/>
  <c r="E19" i="15"/>
  <c r="D19" i="15"/>
  <c r="B19" i="15"/>
  <c r="U18" i="15"/>
  <c r="AA18" i="15" s="1"/>
  <c r="T18" i="15"/>
  <c r="M18" i="15"/>
  <c r="L18" i="15"/>
  <c r="H18" i="15"/>
  <c r="F18" i="15"/>
  <c r="E18" i="15"/>
  <c r="D18" i="15"/>
  <c r="B18" i="15"/>
  <c r="U17" i="15"/>
  <c r="AA17" i="15" s="1"/>
  <c r="T17" i="15"/>
  <c r="M17" i="15"/>
  <c r="L17" i="15"/>
  <c r="H17" i="15"/>
  <c r="F17" i="15"/>
  <c r="E17" i="15"/>
  <c r="D17" i="15"/>
  <c r="B17" i="15"/>
  <c r="U16" i="15"/>
  <c r="AA16" i="15" s="1"/>
  <c r="T16" i="15"/>
  <c r="M16" i="15"/>
  <c r="L16" i="15"/>
  <c r="H16" i="15"/>
  <c r="F16" i="15"/>
  <c r="E16" i="15"/>
  <c r="D16" i="15"/>
  <c r="J16" i="15" s="1"/>
  <c r="B16" i="15"/>
  <c r="U15" i="15"/>
  <c r="T15" i="15"/>
  <c r="M15" i="15"/>
  <c r="L15" i="15"/>
  <c r="H15" i="15"/>
  <c r="F15" i="15"/>
  <c r="E15" i="15"/>
  <c r="D15" i="15"/>
  <c r="B15" i="15"/>
  <c r="U14" i="15"/>
  <c r="T14" i="15"/>
  <c r="M14" i="15"/>
  <c r="L14" i="15"/>
  <c r="H14" i="15"/>
  <c r="F14" i="15"/>
  <c r="E14" i="15"/>
  <c r="D14" i="15"/>
  <c r="B14" i="15"/>
  <c r="U13" i="15"/>
  <c r="T13" i="15"/>
  <c r="M13" i="15"/>
  <c r="L13" i="15"/>
  <c r="H13" i="15"/>
  <c r="F13" i="15"/>
  <c r="E13" i="15"/>
  <c r="D13" i="15"/>
  <c r="B13" i="15"/>
  <c r="U12" i="15"/>
  <c r="T12" i="15"/>
  <c r="M12" i="15"/>
  <c r="L12" i="15"/>
  <c r="H12" i="15"/>
  <c r="F12" i="15"/>
  <c r="E12" i="15"/>
  <c r="D12" i="15"/>
  <c r="B12" i="15"/>
  <c r="U11" i="15"/>
  <c r="T11" i="15"/>
  <c r="M11" i="15"/>
  <c r="L11" i="15"/>
  <c r="H11" i="15"/>
  <c r="F11" i="15"/>
  <c r="E11" i="15"/>
  <c r="D11" i="15"/>
  <c r="B11" i="15"/>
  <c r="U10" i="15"/>
  <c r="T10" i="15"/>
  <c r="M10" i="15"/>
  <c r="L10" i="15"/>
  <c r="H10" i="15"/>
  <c r="F10" i="15"/>
  <c r="E10" i="15"/>
  <c r="D10" i="15"/>
  <c r="B10" i="15"/>
  <c r="U9" i="15"/>
  <c r="T9" i="15"/>
  <c r="M9" i="15"/>
  <c r="L9" i="15"/>
  <c r="H9" i="15"/>
  <c r="F9" i="15"/>
  <c r="E9" i="15"/>
  <c r="D9" i="15"/>
  <c r="B9" i="15"/>
  <c r="U8" i="15"/>
  <c r="T8" i="15"/>
  <c r="M8" i="15"/>
  <c r="L8" i="15"/>
  <c r="H8" i="15"/>
  <c r="F8" i="15"/>
  <c r="E8" i="15"/>
  <c r="D8" i="15"/>
  <c r="J8" i="15" s="1"/>
  <c r="B8" i="15"/>
  <c r="U7" i="15"/>
  <c r="AA7" i="15" s="1"/>
  <c r="T7" i="15"/>
  <c r="M7" i="15"/>
  <c r="L7" i="15"/>
  <c r="H7" i="15"/>
  <c r="F7" i="15"/>
  <c r="E7" i="15"/>
  <c r="D7" i="15"/>
  <c r="B7" i="15"/>
  <c r="U6" i="15"/>
  <c r="AA6" i="15" s="1"/>
  <c r="T6" i="15"/>
  <c r="M6" i="15"/>
  <c r="L6" i="15"/>
  <c r="H6" i="15"/>
  <c r="F6" i="15"/>
  <c r="E6" i="15"/>
  <c r="D6" i="15"/>
  <c r="B6" i="15"/>
  <c r="U5" i="15"/>
  <c r="AA5" i="15" s="1"/>
  <c r="T5" i="15"/>
  <c r="M5" i="15"/>
  <c r="L5" i="15"/>
  <c r="H5" i="15"/>
  <c r="E5" i="15"/>
  <c r="D5" i="15"/>
  <c r="B5" i="15"/>
  <c r="U4" i="15"/>
  <c r="AA4" i="15" s="1"/>
  <c r="T4" i="15"/>
  <c r="M4" i="15"/>
  <c r="L4" i="15"/>
  <c r="H4" i="15"/>
  <c r="E4" i="15"/>
  <c r="D4" i="15"/>
  <c r="B4" i="15"/>
  <c r="W3" i="15"/>
  <c r="Z124" i="15" s="1"/>
  <c r="U3" i="15"/>
  <c r="T3" i="15"/>
  <c r="M3" i="15"/>
  <c r="L3" i="15"/>
  <c r="E3" i="15"/>
  <c r="D3" i="15"/>
  <c r="J3" i="15" s="1"/>
  <c r="B3" i="15"/>
  <c r="J12" i="15" l="1"/>
  <c r="P12" i="15" s="1"/>
  <c r="J6" i="15"/>
  <c r="J10" i="15"/>
  <c r="R10" i="15" s="1"/>
  <c r="J14" i="15"/>
  <c r="R14" i="15" s="1"/>
  <c r="J18" i="15"/>
  <c r="R18" i="15" s="1"/>
  <c r="J17" i="15"/>
  <c r="P17" i="15" s="1"/>
  <c r="E32" i="17"/>
  <c r="F32" i="17"/>
  <c r="D32" i="17"/>
  <c r="I32" i="17"/>
  <c r="J32" i="17"/>
  <c r="J4" i="15"/>
  <c r="P4" i="15" s="1"/>
  <c r="J5" i="15"/>
  <c r="P5" i="15" s="1"/>
  <c r="J7" i="15"/>
  <c r="P7" i="15" s="1"/>
  <c r="J11" i="15"/>
  <c r="R11" i="15" s="1"/>
  <c r="J19" i="15"/>
  <c r="P19" i="15" s="1"/>
  <c r="J23" i="15"/>
  <c r="P23" i="15" s="1"/>
  <c r="J27" i="15"/>
  <c r="R27" i="15" s="1"/>
  <c r="AH122" i="15"/>
  <c r="AH96" i="15"/>
  <c r="C32" i="17"/>
  <c r="B32" i="17"/>
  <c r="G12" i="17"/>
  <c r="J135" i="15"/>
  <c r="P135" i="15" s="1"/>
  <c r="I135" i="15"/>
  <c r="R3" i="15"/>
  <c r="I36" i="15"/>
  <c r="O36" i="15" s="1"/>
  <c r="I45" i="15"/>
  <c r="Q45" i="15" s="1"/>
  <c r="I35" i="15"/>
  <c r="Q35" i="15" s="1"/>
  <c r="R43" i="15"/>
  <c r="I51" i="15"/>
  <c r="O51" i="15" s="1"/>
  <c r="R36" i="15"/>
  <c r="R48" i="15"/>
  <c r="J51" i="15"/>
  <c r="P51" i="15" s="1"/>
  <c r="I6" i="15"/>
  <c r="Q6" i="15" s="1"/>
  <c r="I50" i="15"/>
  <c r="O50" i="15" s="1"/>
  <c r="I4" i="15"/>
  <c r="Q4" i="15" s="1"/>
  <c r="I46" i="15"/>
  <c r="O46" i="15" s="1"/>
  <c r="I23" i="15"/>
  <c r="Q23" i="15" s="1"/>
  <c r="J54" i="15"/>
  <c r="P54" i="15" s="1"/>
  <c r="Z40" i="15"/>
  <c r="I7" i="15"/>
  <c r="Q7" i="15" s="1"/>
  <c r="R8" i="15"/>
  <c r="J52" i="15"/>
  <c r="P52" i="15" s="1"/>
  <c r="I43" i="15"/>
  <c r="Q43" i="15" s="1"/>
  <c r="I17" i="15"/>
  <c r="O17" i="15" s="1"/>
  <c r="P38" i="15"/>
  <c r="J46" i="15"/>
  <c r="R46" i="15" s="1"/>
  <c r="I5" i="15"/>
  <c r="Q5" i="15" s="1"/>
  <c r="J15" i="15"/>
  <c r="P15" i="15" s="1"/>
  <c r="I18" i="15"/>
  <c r="Q18" i="15" s="1"/>
  <c r="R40" i="15"/>
  <c r="I37" i="15"/>
  <c r="O37" i="15" s="1"/>
  <c r="J37" i="15"/>
  <c r="R37" i="15" s="1"/>
  <c r="J30" i="15"/>
  <c r="R30" i="15" s="1"/>
  <c r="R45" i="15"/>
  <c r="R47" i="15"/>
  <c r="I53" i="15"/>
  <c r="O53" i="15" s="1"/>
  <c r="I57" i="15"/>
  <c r="O57" i="15" s="1"/>
  <c r="I27" i="15"/>
  <c r="O27" i="15" s="1"/>
  <c r="P33" i="15"/>
  <c r="J53" i="15"/>
  <c r="P53" i="15" s="1"/>
  <c r="J57" i="15"/>
  <c r="P57" i="15" s="1"/>
  <c r="Z100" i="15"/>
  <c r="J56" i="15"/>
  <c r="P56" i="15" s="1"/>
  <c r="I14" i="15"/>
  <c r="O14" i="15" s="1"/>
  <c r="I21" i="15"/>
  <c r="Q21" i="15" s="1"/>
  <c r="I40" i="15"/>
  <c r="Q40" i="15" s="1"/>
  <c r="I41" i="15"/>
  <c r="Q41" i="15" s="1"/>
  <c r="Z4" i="15"/>
  <c r="R12" i="15"/>
  <c r="I3" i="15"/>
  <c r="Q3" i="15" s="1"/>
  <c r="I30" i="15"/>
  <c r="Q30" i="15" s="1"/>
  <c r="J32" i="15"/>
  <c r="P32" i="15" s="1"/>
  <c r="Z76" i="15"/>
  <c r="R6" i="15"/>
  <c r="I15" i="15"/>
  <c r="Q15" i="15" s="1"/>
  <c r="Z19" i="15"/>
  <c r="P43" i="15"/>
  <c r="I24" i="15"/>
  <c r="Q24" i="15" s="1"/>
  <c r="I49" i="15"/>
  <c r="O49" i="15" s="1"/>
  <c r="I20" i="15"/>
  <c r="Q20" i="15" s="1"/>
  <c r="Z64" i="15"/>
  <c r="P8" i="15"/>
  <c r="I16" i="15"/>
  <c r="O16" i="15" s="1"/>
  <c r="I28" i="15"/>
  <c r="Q28" i="15" s="1"/>
  <c r="P39" i="15"/>
  <c r="I42" i="15"/>
  <c r="O42" i="15" s="1"/>
  <c r="Z42" i="15"/>
  <c r="I48" i="15"/>
  <c r="Q48" i="15" s="1"/>
  <c r="Z54" i="15"/>
  <c r="Z112" i="15"/>
  <c r="P40" i="15"/>
  <c r="I25" i="15"/>
  <c r="Q25" i="15" s="1"/>
  <c r="I32" i="15"/>
  <c r="Q32" i="15" s="1"/>
  <c r="J49" i="15"/>
  <c r="P3" i="15"/>
  <c r="Z5" i="15"/>
  <c r="J9" i="15"/>
  <c r="R9" i="15" s="1"/>
  <c r="J13" i="15"/>
  <c r="P13" i="15" s="1"/>
  <c r="R44" i="15"/>
  <c r="I54" i="15"/>
  <c r="O54" i="15" s="1"/>
  <c r="H11" i="17"/>
  <c r="P34" i="15"/>
  <c r="P42" i="15"/>
  <c r="R16" i="15"/>
  <c r="I29" i="15"/>
  <c r="Q29" i="15" s="1"/>
  <c r="I33" i="15"/>
  <c r="O33" i="15" s="1"/>
  <c r="R42" i="15"/>
  <c r="J20" i="15"/>
  <c r="R20" i="15" s="1"/>
  <c r="J22" i="15"/>
  <c r="R22" i="15" s="1"/>
  <c r="I22" i="15"/>
  <c r="Q22" i="15" s="1"/>
  <c r="I10" i="15"/>
  <c r="O10" i="15" s="1"/>
  <c r="I11" i="15"/>
  <c r="J24" i="15"/>
  <c r="R24" i="15" s="1"/>
  <c r="J28" i="15"/>
  <c r="R28" i="15" s="1"/>
  <c r="I31" i="15"/>
  <c r="P48" i="15"/>
  <c r="P6" i="15"/>
  <c r="I8" i="15"/>
  <c r="O8" i="15" s="1"/>
  <c r="I9" i="15"/>
  <c r="P16" i="15"/>
  <c r="J26" i="15"/>
  <c r="P26" i="15" s="1"/>
  <c r="I26" i="15"/>
  <c r="Q26" i="15" s="1"/>
  <c r="I12" i="15"/>
  <c r="O12" i="15" s="1"/>
  <c r="I13" i="15"/>
  <c r="I19" i="15"/>
  <c r="O19" i="15" s="1"/>
  <c r="P27" i="15"/>
  <c r="R33" i="15"/>
  <c r="L117" i="15"/>
  <c r="P45" i="15"/>
  <c r="Z17" i="15"/>
  <c r="I34" i="15"/>
  <c r="O34" i="15" s="1"/>
  <c r="P36" i="15"/>
  <c r="Z41" i="15"/>
  <c r="Z43" i="15"/>
  <c r="P47" i="15"/>
  <c r="R50" i="15"/>
  <c r="I52" i="15"/>
  <c r="O52" i="15" s="1"/>
  <c r="R35" i="15"/>
  <c r="P44" i="15"/>
  <c r="Z7" i="15"/>
  <c r="J29" i="15"/>
  <c r="P29" i="15" s="1"/>
  <c r="Z29" i="15"/>
  <c r="P35" i="15"/>
  <c r="R38" i="15"/>
  <c r="I39" i="15"/>
  <c r="Q39" i="15" s="1"/>
  <c r="R39" i="15"/>
  <c r="J41" i="15"/>
  <c r="P41" i="15" s="1"/>
  <c r="I47" i="15"/>
  <c r="Q47" i="15" s="1"/>
  <c r="P75" i="15"/>
  <c r="O75" i="15"/>
  <c r="Z52" i="15"/>
  <c r="Z114" i="15"/>
  <c r="Z102" i="15"/>
  <c r="Z90" i="15"/>
  <c r="Z78" i="15"/>
  <c r="Z66" i="15"/>
  <c r="Z113" i="15"/>
  <c r="Z101" i="15"/>
  <c r="Z89" i="15"/>
  <c r="Z77" i="15"/>
  <c r="Z65" i="15"/>
  <c r="Z53" i="15"/>
  <c r="Z88" i="15"/>
  <c r="Z30" i="15"/>
  <c r="Z28" i="15"/>
  <c r="Z18" i="15"/>
  <c r="Z16" i="15"/>
  <c r="Z115" i="15"/>
  <c r="Z79" i="15"/>
  <c r="Z103" i="15"/>
  <c r="Z67" i="15"/>
  <c r="Z55" i="15"/>
  <c r="Z6" i="15"/>
  <c r="J21" i="15"/>
  <c r="P21" i="15" s="1"/>
  <c r="J25" i="15"/>
  <c r="P25" i="15" s="1"/>
  <c r="J31" i="15"/>
  <c r="P31" i="15" s="1"/>
  <c r="Z31" i="15"/>
  <c r="R34" i="15"/>
  <c r="I38" i="15"/>
  <c r="Q38" i="15" s="1"/>
  <c r="I44" i="15"/>
  <c r="O44" i="15" s="1"/>
  <c r="J55" i="15"/>
  <c r="P55" i="15" s="1"/>
  <c r="I55" i="15"/>
  <c r="O55" i="15" s="1"/>
  <c r="I56" i="15"/>
  <c r="O56" i="15" s="1"/>
  <c r="Z91" i="15"/>
  <c r="P93" i="15"/>
  <c r="O93" i="15"/>
  <c r="P69" i="15"/>
  <c r="O69" i="15"/>
  <c r="P87" i="15"/>
  <c r="O87" i="15"/>
  <c r="P63" i="15"/>
  <c r="O63" i="15"/>
  <c r="P81" i="15"/>
  <c r="O81" i="15"/>
  <c r="G11" i="17"/>
  <c r="P50" i="15"/>
  <c r="B10" i="18"/>
  <c r="A33" i="17"/>
  <c r="D11" i="19"/>
  <c r="D79" i="2"/>
  <c r="D77" i="2"/>
  <c r="D76" i="2"/>
  <c r="D71" i="2"/>
  <c r="D69" i="2"/>
  <c r="D68" i="2"/>
  <c r="D63" i="2"/>
  <c r="D62" i="2"/>
  <c r="D55" i="2"/>
  <c r="P14" i="15" l="1"/>
  <c r="P10" i="15"/>
  <c r="R17" i="15"/>
  <c r="R23" i="15"/>
  <c r="R19" i="15"/>
  <c r="R5" i="15"/>
  <c r="R4" i="15"/>
  <c r="P11" i="15"/>
  <c r="P18" i="15"/>
  <c r="F33" i="17"/>
  <c r="D33" i="17"/>
  <c r="E33" i="17"/>
  <c r="J33" i="17"/>
  <c r="I33" i="17"/>
  <c r="R7" i="15"/>
  <c r="G32" i="17"/>
  <c r="O18" i="15"/>
  <c r="O6" i="15"/>
  <c r="H32" i="17"/>
  <c r="B33" i="17"/>
  <c r="C33" i="17"/>
  <c r="O4" i="15"/>
  <c r="Q46" i="15"/>
  <c r="R15" i="15"/>
  <c r="O41" i="15"/>
  <c r="O39" i="15"/>
  <c r="Q17" i="15"/>
  <c r="O45" i="15"/>
  <c r="O35" i="15"/>
  <c r="Q36" i="15"/>
  <c r="O48" i="15"/>
  <c r="O23" i="15"/>
  <c r="Q19" i="15"/>
  <c r="O40" i="15"/>
  <c r="Q50" i="15"/>
  <c r="O24" i="15"/>
  <c r="O21" i="15"/>
  <c r="O7" i="15"/>
  <c r="O43" i="15"/>
  <c r="O26" i="15"/>
  <c r="Q44" i="15"/>
  <c r="R21" i="15"/>
  <c r="R25" i="15"/>
  <c r="R41" i="15"/>
  <c r="AF40" i="15" s="1"/>
  <c r="Q16" i="15"/>
  <c r="Q34" i="15"/>
  <c r="O30" i="15"/>
  <c r="Q33" i="15"/>
  <c r="R32" i="15"/>
  <c r="P28" i="15"/>
  <c r="P30" i="15"/>
  <c r="O28" i="15"/>
  <c r="Q37" i="15"/>
  <c r="O20" i="15"/>
  <c r="O5" i="15"/>
  <c r="P46" i="15"/>
  <c r="Q14" i="15"/>
  <c r="P9" i="15"/>
  <c r="Q27" i="15"/>
  <c r="R13" i="15"/>
  <c r="P37" i="15"/>
  <c r="AD40" i="15" s="1"/>
  <c r="I13" i="19"/>
  <c r="R31" i="15"/>
  <c r="Q49" i="15"/>
  <c r="O38" i="15"/>
  <c r="K11" i="17"/>
  <c r="Q42" i="15"/>
  <c r="O32" i="15"/>
  <c r="Q10" i="15"/>
  <c r="O15" i="15"/>
  <c r="E15" i="19"/>
  <c r="F15" i="19" s="1"/>
  <c r="O25" i="15"/>
  <c r="O3" i="15"/>
  <c r="E13" i="19"/>
  <c r="AD88" i="15"/>
  <c r="AD89" i="15" s="1"/>
  <c r="AD90" i="15" s="1"/>
  <c r="AD91" i="15" s="1"/>
  <c r="R29" i="15"/>
  <c r="R49" i="15"/>
  <c r="P49" i="15"/>
  <c r="C11" i="19"/>
  <c r="I11" i="19" s="1"/>
  <c r="I9" i="19"/>
  <c r="Q13" i="15"/>
  <c r="O13" i="15"/>
  <c r="A34" i="17"/>
  <c r="B11" i="18"/>
  <c r="AD64" i="15"/>
  <c r="H12" i="17"/>
  <c r="K12" i="17" s="1"/>
  <c r="R26" i="15"/>
  <c r="O22" i="15"/>
  <c r="AC64" i="15"/>
  <c r="P22" i="15"/>
  <c r="Q31" i="15"/>
  <c r="O31" i="15"/>
  <c r="Q8" i="15"/>
  <c r="AC76" i="15"/>
  <c r="P24" i="15"/>
  <c r="O29" i="15"/>
  <c r="Q11" i="15"/>
  <c r="O11" i="15"/>
  <c r="O47" i="15"/>
  <c r="AC88" i="15"/>
  <c r="AC89" i="15" s="1"/>
  <c r="AC90" i="15" s="1"/>
  <c r="AC91" i="15" s="1"/>
  <c r="AD76" i="15"/>
  <c r="Q9" i="15"/>
  <c r="O9" i="15"/>
  <c r="Q12" i="15"/>
  <c r="P20" i="15"/>
  <c r="J10" i="10"/>
  <c r="J9" i="10"/>
  <c r="J6" i="10"/>
  <c r="K32" i="17" l="1"/>
  <c r="F34" i="17"/>
  <c r="E34" i="17"/>
  <c r="D34" i="17"/>
  <c r="J34" i="17"/>
  <c r="I34" i="17"/>
  <c r="C34" i="17"/>
  <c r="B34" i="17"/>
  <c r="E11" i="19"/>
  <c r="AC52" i="15"/>
  <c r="AC53" i="15" s="1"/>
  <c r="AF16" i="15"/>
  <c r="AF17" i="15" s="1"/>
  <c r="AC40" i="15"/>
  <c r="AC42" i="15" s="1"/>
  <c r="AE28" i="15"/>
  <c r="AE30" i="15" s="1"/>
  <c r="AD42" i="15"/>
  <c r="AD43" i="15"/>
  <c r="AD41" i="15"/>
  <c r="AE40" i="15"/>
  <c r="AE43" i="15" s="1"/>
  <c r="AF28" i="15"/>
  <c r="AF30" i="15" s="1"/>
  <c r="AD52" i="15"/>
  <c r="AD54" i="15" s="1"/>
  <c r="AD28" i="15"/>
  <c r="AD29" i="15" s="1"/>
  <c r="AD16" i="15"/>
  <c r="AD17" i="15" s="1"/>
  <c r="G33" i="17"/>
  <c r="H33" i="17"/>
  <c r="AC28" i="15"/>
  <c r="AC30" i="15" s="1"/>
  <c r="AE16" i="15"/>
  <c r="AE18" i="15" s="1"/>
  <c r="G13" i="17"/>
  <c r="AD67" i="15"/>
  <c r="AD66" i="15"/>
  <c r="AD65" i="15"/>
  <c r="B12" i="18"/>
  <c r="A35" i="17"/>
  <c r="AF43" i="15"/>
  <c r="AF41" i="15"/>
  <c r="AF42" i="15"/>
  <c r="AC78" i="15"/>
  <c r="AC79" i="15"/>
  <c r="AC77" i="15"/>
  <c r="AD79" i="15"/>
  <c r="AD78" i="15"/>
  <c r="AD77" i="15"/>
  <c r="AC66" i="15"/>
  <c r="AC65" i="15"/>
  <c r="AC67" i="15"/>
  <c r="AC16" i="15"/>
  <c r="H13" i="17"/>
  <c r="C28" i="10"/>
  <c r="C27" i="10"/>
  <c r="C24" i="10"/>
  <c r="C23" i="10"/>
  <c r="D35" i="17" l="1"/>
  <c r="F35" i="17"/>
  <c r="E35" i="17"/>
  <c r="I35" i="17"/>
  <c r="J35" i="17"/>
  <c r="AC54" i="15"/>
  <c r="AC55" i="15"/>
  <c r="C35" i="17"/>
  <c r="B35" i="17"/>
  <c r="AF19" i="15"/>
  <c r="AF18" i="15"/>
  <c r="AE31" i="15"/>
  <c r="AC41" i="15"/>
  <c r="AD31" i="15"/>
  <c r="AE29" i="15"/>
  <c r="AC43" i="15"/>
  <c r="AD19" i="15"/>
  <c r="AD55" i="15"/>
  <c r="AF31" i="15"/>
  <c r="AE41" i="15"/>
  <c r="AD53" i="15"/>
  <c r="AE42" i="15"/>
  <c r="AF29" i="15"/>
  <c r="AD30" i="15"/>
  <c r="AD18" i="15"/>
  <c r="K13" i="17"/>
  <c r="K33" i="17"/>
  <c r="H34" i="17"/>
  <c r="AE19" i="15"/>
  <c r="AC31" i="15"/>
  <c r="AE17" i="15"/>
  <c r="AC29" i="15"/>
  <c r="G34" i="17"/>
  <c r="G14" i="17"/>
  <c r="B13" i="18"/>
  <c r="A36" i="17"/>
  <c r="AC19" i="15"/>
  <c r="AC18" i="15"/>
  <c r="AC17" i="15"/>
  <c r="H14" i="17"/>
  <c r="C12" i="10"/>
  <c r="C11" i="10"/>
  <c r="C7" i="10"/>
  <c r="E36" i="17" l="1"/>
  <c r="F36" i="17"/>
  <c r="D36" i="17"/>
  <c r="I36" i="17"/>
  <c r="J36" i="17"/>
  <c r="C36" i="17"/>
  <c r="B36" i="17"/>
  <c r="F16" i="17"/>
  <c r="D16" i="17"/>
  <c r="E16" i="17"/>
  <c r="C16" i="17"/>
  <c r="B16" i="17"/>
  <c r="K34" i="17"/>
  <c r="H15" i="17"/>
  <c r="K14" i="17"/>
  <c r="H35" i="17"/>
  <c r="B14" i="18"/>
  <c r="A37" i="17"/>
  <c r="G35" i="17"/>
  <c r="G15" i="17"/>
  <c r="F37" i="17" l="1"/>
  <c r="D37" i="17"/>
  <c r="E37" i="17"/>
  <c r="J37" i="17"/>
  <c r="I37" i="17"/>
  <c r="K15" i="17"/>
  <c r="F17" i="17"/>
  <c r="E17" i="17"/>
  <c r="D17" i="17"/>
  <c r="C17" i="17"/>
  <c r="B17" i="17"/>
  <c r="C37" i="17"/>
  <c r="B37" i="17"/>
  <c r="K35" i="17"/>
  <c r="H36" i="17"/>
  <c r="A38" i="17"/>
  <c r="B15" i="18"/>
  <c r="H16" i="17"/>
  <c r="G16" i="17"/>
  <c r="G36" i="17"/>
  <c r="C26" i="14"/>
  <c r="H12" i="14"/>
  <c r="G12" i="14"/>
  <c r="F12" i="14"/>
  <c r="E12" i="14"/>
  <c r="D12" i="14"/>
  <c r="C12" i="14"/>
  <c r="C26" i="13"/>
  <c r="C12" i="13"/>
  <c r="I70" i="12"/>
  <c r="H70" i="12"/>
  <c r="G70" i="12"/>
  <c r="F70" i="12"/>
  <c r="E70" i="12"/>
  <c r="D70" i="12"/>
  <c r="C70" i="12"/>
  <c r="H68" i="12"/>
  <c r="G68" i="12"/>
  <c r="F68" i="12"/>
  <c r="E68" i="12"/>
  <c r="D68" i="12"/>
  <c r="C68" i="12"/>
  <c r="B68" i="12"/>
  <c r="B72" i="12" s="1"/>
  <c r="S63" i="12"/>
  <c r="R63" i="12"/>
  <c r="Q63" i="12"/>
  <c r="P63" i="12"/>
  <c r="O63" i="12"/>
  <c r="N63" i="12"/>
  <c r="M63" i="12"/>
  <c r="L63" i="12"/>
  <c r="K63" i="12"/>
  <c r="J63" i="12"/>
  <c r="I63" i="12"/>
  <c r="S62" i="12"/>
  <c r="S59" i="12"/>
  <c r="Q59" i="12"/>
  <c r="O59" i="12"/>
  <c r="M59" i="12"/>
  <c r="I59" i="12"/>
  <c r="S58" i="12"/>
  <c r="Q58" i="12"/>
  <c r="O58" i="12"/>
  <c r="M58" i="12"/>
  <c r="K58" i="12"/>
  <c r="I58" i="12"/>
  <c r="W51" i="12"/>
  <c r="W70" i="12" s="1"/>
  <c r="X51" i="12"/>
  <c r="T51" i="12"/>
  <c r="T70" i="12" s="1"/>
  <c r="S51" i="12"/>
  <c r="S70" i="12" s="1"/>
  <c r="R51" i="12"/>
  <c r="R70" i="12" s="1"/>
  <c r="Q51" i="12"/>
  <c r="Q70" i="12" s="1"/>
  <c r="P51" i="12"/>
  <c r="P70" i="12" s="1"/>
  <c r="O51" i="12"/>
  <c r="O70" i="12" s="1"/>
  <c r="N51" i="12"/>
  <c r="N70" i="12" s="1"/>
  <c r="M51" i="12"/>
  <c r="M70" i="12" s="1"/>
  <c r="L51" i="12"/>
  <c r="L70" i="12" s="1"/>
  <c r="K51" i="12"/>
  <c r="K70" i="12" s="1"/>
  <c r="J51" i="12"/>
  <c r="J70" i="12" s="1"/>
  <c r="H51" i="12"/>
  <c r="G51" i="12"/>
  <c r="F51" i="12"/>
  <c r="E51" i="12"/>
  <c r="D51" i="12"/>
  <c r="C51" i="12"/>
  <c r="T43" i="12"/>
  <c r="P43" i="12"/>
  <c r="O43" i="12"/>
  <c r="N43" i="12"/>
  <c r="M43" i="12"/>
  <c r="L43" i="12"/>
  <c r="K43" i="12"/>
  <c r="J43" i="12"/>
  <c r="I43" i="12"/>
  <c r="T42" i="12"/>
  <c r="S38" i="12"/>
  <c r="Q38" i="12"/>
  <c r="O38" i="12"/>
  <c r="M38" i="12"/>
  <c r="I38" i="12"/>
  <c r="B38" i="12"/>
  <c r="S37" i="12"/>
  <c r="Q37" i="12"/>
  <c r="O37" i="12"/>
  <c r="M37" i="12"/>
  <c r="K37" i="12"/>
  <c r="I37" i="12"/>
  <c r="S36" i="12"/>
  <c r="Q36" i="12"/>
  <c r="O36" i="12"/>
  <c r="M36" i="12"/>
  <c r="K36" i="12"/>
  <c r="I36" i="12"/>
  <c r="G36" i="12"/>
  <c r="F36" i="12"/>
  <c r="E36" i="12"/>
  <c r="D36" i="12"/>
  <c r="C36" i="12"/>
  <c r="C32" i="12"/>
  <c r="B32" i="12"/>
  <c r="C30" i="12"/>
  <c r="B30" i="12"/>
  <c r="X32" i="12"/>
  <c r="S27" i="12"/>
  <c r="R27" i="12"/>
  <c r="R32" i="12" s="1"/>
  <c r="Q27" i="12"/>
  <c r="P27" i="12"/>
  <c r="O27" i="12"/>
  <c r="N27" i="12"/>
  <c r="N42" i="12" s="1"/>
  <c r="M27" i="12"/>
  <c r="L27" i="12"/>
  <c r="K27" i="12"/>
  <c r="J27" i="12"/>
  <c r="J32" i="12" s="1"/>
  <c r="I27" i="12"/>
  <c r="H27" i="12"/>
  <c r="H32" i="12" s="1"/>
  <c r="G27" i="12"/>
  <c r="G32" i="12" s="1"/>
  <c r="F27" i="12"/>
  <c r="F32" i="12" s="1"/>
  <c r="E27" i="12"/>
  <c r="E32" i="12" s="1"/>
  <c r="S26" i="12"/>
  <c r="R26" i="12"/>
  <c r="R31" i="12" s="1"/>
  <c r="Q26" i="12"/>
  <c r="P26" i="12"/>
  <c r="P31" i="12" s="1"/>
  <c r="O26" i="12"/>
  <c r="N26" i="12"/>
  <c r="N31" i="12" s="1"/>
  <c r="M26" i="12"/>
  <c r="L26" i="12"/>
  <c r="L31" i="12" s="1"/>
  <c r="K26" i="12"/>
  <c r="J26" i="12"/>
  <c r="J31" i="12" s="1"/>
  <c r="I26" i="12"/>
  <c r="X30" i="12"/>
  <c r="X45" i="12" s="1"/>
  <c r="B129" i="15"/>
  <c r="S25" i="12"/>
  <c r="R25" i="12"/>
  <c r="R30" i="12" s="1"/>
  <c r="Q25" i="12"/>
  <c r="P25" i="12"/>
  <c r="P30" i="12" s="1"/>
  <c r="O25" i="12"/>
  <c r="N25" i="12"/>
  <c r="N30" i="12" s="1"/>
  <c r="M25" i="12"/>
  <c r="L25" i="12"/>
  <c r="L30" i="12" s="1"/>
  <c r="K25" i="12"/>
  <c r="J25" i="12"/>
  <c r="J30" i="12" s="1"/>
  <c r="I25" i="12"/>
  <c r="H25" i="12"/>
  <c r="H30" i="12" s="1"/>
  <c r="G25" i="12"/>
  <c r="G30" i="12" s="1"/>
  <c r="F25" i="12"/>
  <c r="F30" i="12" s="1"/>
  <c r="E25" i="12"/>
  <c r="E30" i="12" s="1"/>
  <c r="S22" i="12"/>
  <c r="T22" i="12" s="1"/>
  <c r="Q22" i="12"/>
  <c r="M22" i="12"/>
  <c r="L22" i="12"/>
  <c r="K22" i="12"/>
  <c r="J22" i="12"/>
  <c r="I22" i="12"/>
  <c r="H22" i="12"/>
  <c r="G22" i="12"/>
  <c r="F22" i="12"/>
  <c r="E22" i="12"/>
  <c r="D22" i="12"/>
  <c r="C22" i="12"/>
  <c r="S21" i="12"/>
  <c r="T21" i="12" s="1"/>
  <c r="Q21" i="12"/>
  <c r="M21" i="12"/>
  <c r="L21" i="12"/>
  <c r="K21" i="12"/>
  <c r="J21" i="12"/>
  <c r="I21" i="12"/>
  <c r="H21" i="12"/>
  <c r="G21" i="12"/>
  <c r="F21" i="12"/>
  <c r="E21" i="12"/>
  <c r="D21" i="12"/>
  <c r="C21" i="12"/>
  <c r="S20" i="12"/>
  <c r="T20" i="12" s="1"/>
  <c r="Q20" i="12"/>
  <c r="S19" i="12"/>
  <c r="T19" i="12" s="1"/>
  <c r="Q19" i="12"/>
  <c r="S18" i="12"/>
  <c r="T18" i="12" s="1"/>
  <c r="Q18" i="12"/>
  <c r="T17" i="12"/>
  <c r="R17" i="12"/>
  <c r="R58" i="12" s="1"/>
  <c r="P17" i="12"/>
  <c r="P58" i="12" s="1"/>
  <c r="N17" i="12"/>
  <c r="N58" i="12" s="1"/>
  <c r="L17" i="12"/>
  <c r="L58" i="12" s="1"/>
  <c r="J17" i="12"/>
  <c r="J58" i="12" s="1"/>
  <c r="T16" i="12"/>
  <c r="T36" i="12" s="1"/>
  <c r="R16" i="12"/>
  <c r="R36" i="12" s="1"/>
  <c r="P16" i="12"/>
  <c r="P36" i="12" s="1"/>
  <c r="N16" i="12"/>
  <c r="N36" i="12" s="1"/>
  <c r="L16" i="12"/>
  <c r="L36" i="12" s="1"/>
  <c r="J16" i="12"/>
  <c r="J36" i="12" s="1"/>
  <c r="H16" i="12"/>
  <c r="H36" i="12" s="1"/>
  <c r="E16" i="12"/>
  <c r="D16" i="12"/>
  <c r="D38" i="12" s="1"/>
  <c r="C16" i="12"/>
  <c r="T15" i="12"/>
  <c r="R15" i="12"/>
  <c r="P15" i="12"/>
  <c r="P38" i="12" s="1"/>
  <c r="N15" i="12"/>
  <c r="J15" i="12"/>
  <c r="F15" i="12"/>
  <c r="E15" i="12"/>
  <c r="C15" i="12"/>
  <c r="H11" i="12"/>
  <c r="G11" i="12"/>
  <c r="F11" i="12"/>
  <c r="E11" i="12"/>
  <c r="D11" i="12"/>
  <c r="C11" i="12"/>
  <c r="C48" i="10"/>
  <c r="C47" i="10"/>
  <c r="C45" i="10"/>
  <c r="E44" i="10" s="1"/>
  <c r="C41" i="10"/>
  <c r="E39" i="10" s="1"/>
  <c r="E41" i="10" s="1"/>
  <c r="J14" i="10"/>
  <c r="F24" i="9"/>
  <c r="E24" i="9"/>
  <c r="C24" i="9"/>
  <c r="B24" i="9"/>
  <c r="F21" i="9"/>
  <c r="F22" i="9" s="1"/>
  <c r="E21" i="9"/>
  <c r="C21" i="9"/>
  <c r="C22" i="9" s="1"/>
  <c r="B21" i="9"/>
  <c r="B22" i="9" s="1"/>
  <c r="G20" i="9"/>
  <c r="D20" i="9"/>
  <c r="F19" i="9"/>
  <c r="E19" i="9"/>
  <c r="C19" i="9"/>
  <c r="B19" i="9"/>
  <c r="F16" i="9"/>
  <c r="E16" i="9"/>
  <c r="C16" i="9"/>
  <c r="B16" i="9"/>
  <c r="F15" i="9"/>
  <c r="E15" i="9"/>
  <c r="C15" i="9"/>
  <c r="B15" i="9"/>
  <c r="F14" i="9"/>
  <c r="E14" i="9"/>
  <c r="C14" i="9"/>
  <c r="B14" i="9"/>
  <c r="F10" i="9"/>
  <c r="E10" i="9"/>
  <c r="C10" i="9"/>
  <c r="B10" i="9"/>
  <c r="F9" i="9"/>
  <c r="E9" i="9"/>
  <c r="C9" i="9"/>
  <c r="E9" i="7"/>
  <c r="E8" i="7"/>
  <c r="E7" i="7"/>
  <c r="H17" i="6"/>
  <c r="K17" i="6" s="1"/>
  <c r="C17" i="6"/>
  <c r="H16" i="6"/>
  <c r="K16" i="6" s="1"/>
  <c r="C16" i="6"/>
  <c r="H14" i="6"/>
  <c r="K14" i="6" s="1"/>
  <c r="C14" i="6"/>
  <c r="M14" i="6" s="1"/>
  <c r="H13" i="6"/>
  <c r="I13" i="6" s="1"/>
  <c r="C13" i="6"/>
  <c r="E13" i="6" s="1"/>
  <c r="H11" i="6"/>
  <c r="K11" i="6" s="1"/>
  <c r="C11" i="6"/>
  <c r="E11" i="6" s="1"/>
  <c r="H10" i="6"/>
  <c r="K10" i="6" s="1"/>
  <c r="F10" i="6"/>
  <c r="N8" i="6"/>
  <c r="M8" i="6"/>
  <c r="L8" i="6"/>
  <c r="K8" i="6"/>
  <c r="J8" i="6"/>
  <c r="I8" i="6"/>
  <c r="G8" i="6"/>
  <c r="F8" i="6"/>
  <c r="E8" i="6"/>
  <c r="D8" i="6"/>
  <c r="N7" i="6"/>
  <c r="M7" i="6"/>
  <c r="L7" i="6"/>
  <c r="K7" i="6"/>
  <c r="J7" i="6"/>
  <c r="I7" i="6"/>
  <c r="G7" i="6"/>
  <c r="F7" i="6"/>
  <c r="E7" i="6"/>
  <c r="D7" i="6"/>
  <c r="D31" i="4"/>
  <c r="I23" i="4"/>
  <c r="D86" i="2"/>
  <c r="D90" i="2" s="1"/>
  <c r="H58" i="2"/>
  <c r="H56" i="2"/>
  <c r="H55" i="2"/>
  <c r="M33" i="2"/>
  <c r="M61" i="8" s="1"/>
  <c r="L33" i="2"/>
  <c r="L61" i="8" s="1"/>
  <c r="K33" i="2"/>
  <c r="K61" i="8" s="1"/>
  <c r="J33" i="2"/>
  <c r="J61" i="8" s="1"/>
  <c r="I33" i="2"/>
  <c r="I61" i="8" s="1"/>
  <c r="H33" i="2"/>
  <c r="H61" i="8" s="1"/>
  <c r="G33" i="2"/>
  <c r="F33" i="2"/>
  <c r="E33" i="2"/>
  <c r="D33" i="2"/>
  <c r="C33" i="2"/>
  <c r="M19" i="2"/>
  <c r="L19" i="2"/>
  <c r="K19" i="2"/>
  <c r="J19" i="2"/>
  <c r="I19" i="2"/>
  <c r="H19" i="2"/>
  <c r="G19" i="2"/>
  <c r="F19" i="2"/>
  <c r="E19" i="2"/>
  <c r="D19" i="2"/>
  <c r="C19" i="2"/>
  <c r="B19" i="2"/>
  <c r="T62" i="12" l="1"/>
  <c r="T63" i="12"/>
  <c r="C35" i="2"/>
  <c r="C23" i="8" s="1"/>
  <c r="O31" i="12"/>
  <c r="O46" i="12" s="1"/>
  <c r="O42" i="12"/>
  <c r="K30" i="12"/>
  <c r="K45" i="12" s="1"/>
  <c r="M30" i="12"/>
  <c r="M45" i="12" s="1"/>
  <c r="Q30" i="12"/>
  <c r="Q45" i="12" s="1"/>
  <c r="I31" i="12"/>
  <c r="I65" i="12" s="1"/>
  <c r="Q31" i="12"/>
  <c r="Q46" i="12" s="1"/>
  <c r="I42" i="12"/>
  <c r="Q32" i="12"/>
  <c r="Q66" i="12" s="1"/>
  <c r="M31" i="12"/>
  <c r="M65" i="12" s="1"/>
  <c r="O30" i="12"/>
  <c r="O45" i="12" s="1"/>
  <c r="I30" i="12"/>
  <c r="I45" i="12" s="1"/>
  <c r="M42" i="12"/>
  <c r="K31" i="12"/>
  <c r="K46" i="12" s="1"/>
  <c r="S31" i="12"/>
  <c r="AA31" i="12" s="1"/>
  <c r="AC31" i="12" s="1"/>
  <c r="AD31" i="12" s="1"/>
  <c r="K42" i="12"/>
  <c r="S32" i="12"/>
  <c r="S66" i="12" s="1"/>
  <c r="E129" i="15"/>
  <c r="C38" i="12"/>
  <c r="C49" i="12" s="1"/>
  <c r="C53" i="12" s="1"/>
  <c r="R59" i="12"/>
  <c r="R66" i="12" s="1"/>
  <c r="S30" i="12"/>
  <c r="AA30" i="12" s="1"/>
  <c r="C69" i="13" s="1"/>
  <c r="D69" i="13" s="1"/>
  <c r="E69" i="13" s="1"/>
  <c r="E71" i="13" s="1"/>
  <c r="AA35" i="12"/>
  <c r="AC35" i="12" s="1"/>
  <c r="G72" i="12"/>
  <c r="C72" i="12"/>
  <c r="E40" i="10"/>
  <c r="C49" i="10"/>
  <c r="E48" i="10" s="1"/>
  <c r="G61" i="8"/>
  <c r="E30" i="30"/>
  <c r="D61" i="8"/>
  <c r="E30" i="27"/>
  <c r="E61" i="8"/>
  <c r="E30" i="28"/>
  <c r="G30" i="28" s="1"/>
  <c r="E43" i="10"/>
  <c r="E45" i="10" s="1"/>
  <c r="T30" i="12"/>
  <c r="T45" i="12" s="1"/>
  <c r="X70" i="12"/>
  <c r="H147" i="15"/>
  <c r="H159" i="15" s="1"/>
  <c r="C61" i="8"/>
  <c r="E30" i="26"/>
  <c r="J59" i="12"/>
  <c r="J66" i="12" s="1"/>
  <c r="F26" i="13"/>
  <c r="B61" i="8"/>
  <c r="E30" i="25"/>
  <c r="F61" i="8"/>
  <c r="E30" i="29"/>
  <c r="G30" i="29" s="1"/>
  <c r="E38" i="12"/>
  <c r="E49" i="12" s="1"/>
  <c r="E53" i="12" s="1"/>
  <c r="F38" i="17"/>
  <c r="E38" i="17"/>
  <c r="D38" i="17"/>
  <c r="J38" i="17"/>
  <c r="I38" i="17"/>
  <c r="H6" i="4"/>
  <c r="M6" i="4"/>
  <c r="F6" i="4"/>
  <c r="D6" i="4"/>
  <c r="B16" i="2"/>
  <c r="E21" i="25" s="1"/>
  <c r="J16" i="2"/>
  <c r="L16" i="2"/>
  <c r="E16" i="2"/>
  <c r="E21" i="28" s="1"/>
  <c r="M16" i="2"/>
  <c r="C16" i="2"/>
  <c r="E21" i="26" s="1"/>
  <c r="D16" i="2"/>
  <c r="E21" i="27" s="1"/>
  <c r="H16" i="2"/>
  <c r="I16" i="2"/>
  <c r="E18" i="17"/>
  <c r="D18" i="17"/>
  <c r="F18" i="17"/>
  <c r="B18" i="17"/>
  <c r="C18" i="17"/>
  <c r="C38" i="17"/>
  <c r="B38" i="17"/>
  <c r="X21" i="12"/>
  <c r="U21" i="12"/>
  <c r="X19" i="12"/>
  <c r="U19" i="12"/>
  <c r="X20" i="12"/>
  <c r="U20" i="12"/>
  <c r="T31" i="12"/>
  <c r="C129" i="15"/>
  <c r="AA32" i="12"/>
  <c r="AC32" i="12" s="1"/>
  <c r="AD32" i="12" s="1"/>
  <c r="L37" i="12"/>
  <c r="L46" i="12" s="1"/>
  <c r="T58" i="12"/>
  <c r="G129" i="15"/>
  <c r="T32" i="12"/>
  <c r="D129" i="15"/>
  <c r="H141" i="15"/>
  <c r="H153" i="15" s="1"/>
  <c r="S65" i="12"/>
  <c r="X18" i="12"/>
  <c r="U18" i="12"/>
  <c r="X22" i="12"/>
  <c r="U22" i="12"/>
  <c r="D49" i="12"/>
  <c r="D53" i="12" s="1"/>
  <c r="F72" i="12"/>
  <c r="G15" i="12"/>
  <c r="K16" i="17"/>
  <c r="R45" i="12"/>
  <c r="K36" i="17"/>
  <c r="J45" i="12"/>
  <c r="C141" i="15"/>
  <c r="D141" i="15"/>
  <c r="B141" i="15"/>
  <c r="G17" i="17"/>
  <c r="H17" i="17"/>
  <c r="I35" i="2"/>
  <c r="I23" i="8" s="1"/>
  <c r="K35" i="2"/>
  <c r="K23" i="8" s="1"/>
  <c r="M13" i="6"/>
  <c r="P65" i="12"/>
  <c r="G37" i="17"/>
  <c r="G35" i="2"/>
  <c r="G23" i="8" s="1"/>
  <c r="H35" i="2"/>
  <c r="H23" i="8" s="1"/>
  <c r="K13" i="6"/>
  <c r="B35" i="2"/>
  <c r="B23" i="8" s="1"/>
  <c r="L35" i="2"/>
  <c r="L23" i="8" s="1"/>
  <c r="E35" i="2"/>
  <c r="E23" i="8" s="1"/>
  <c r="M35" i="2"/>
  <c r="M23" i="8" s="1"/>
  <c r="I11" i="6"/>
  <c r="J35" i="2"/>
  <c r="J23" i="8" s="1"/>
  <c r="D35" i="2"/>
  <c r="D23" i="8" s="1"/>
  <c r="F35" i="2"/>
  <c r="F23" i="8" s="1"/>
  <c r="N37" i="12"/>
  <c r="N46" i="12" s="1"/>
  <c r="T37" i="12"/>
  <c r="T46" i="12" s="1"/>
  <c r="K15" i="12"/>
  <c r="J38" i="12"/>
  <c r="J47" i="12" s="1"/>
  <c r="T59" i="12"/>
  <c r="H37" i="17"/>
  <c r="B16" i="18"/>
  <c r="A39" i="17"/>
  <c r="D70" i="2"/>
  <c r="D72" i="2" s="1"/>
  <c r="D73" i="2" s="1"/>
  <c r="G9" i="9"/>
  <c r="E34" i="9" s="1"/>
  <c r="F34" i="9" s="1"/>
  <c r="M32" i="12"/>
  <c r="M41" i="12" s="1"/>
  <c r="D16" i="9"/>
  <c r="D7" i="7"/>
  <c r="D12" i="7"/>
  <c r="D17" i="7"/>
  <c r="D22" i="7"/>
  <c r="D27" i="7"/>
  <c r="D37" i="7"/>
  <c r="D78" i="2"/>
  <c r="D82" i="2" s="1"/>
  <c r="G10" i="9"/>
  <c r="D33" i="4"/>
  <c r="D34" i="4" s="1"/>
  <c r="D10" i="9"/>
  <c r="F47" i="9"/>
  <c r="B47" i="9"/>
  <c r="B46" i="9"/>
  <c r="C32" i="10"/>
  <c r="G16" i="9"/>
  <c r="E17" i="9"/>
  <c r="D15" i="9"/>
  <c r="E47" i="9"/>
  <c r="F6" i="7"/>
  <c r="F11" i="7"/>
  <c r="F16" i="7"/>
  <c r="F21" i="7"/>
  <c r="F26" i="7"/>
  <c r="N21" i="5" s="1"/>
  <c r="F31" i="7"/>
  <c r="F36" i="7"/>
  <c r="D64" i="2"/>
  <c r="D65" i="2" s="1"/>
  <c r="F17" i="9"/>
  <c r="F7" i="7"/>
  <c r="F12" i="7"/>
  <c r="F17" i="7"/>
  <c r="F22" i="7"/>
  <c r="F27" i="7"/>
  <c r="N22" i="5" s="1"/>
  <c r="F32" i="7"/>
  <c r="F37" i="7"/>
  <c r="E46" i="9"/>
  <c r="G15" i="9"/>
  <c r="E38" i="9" s="1"/>
  <c r="F38" i="9" s="1"/>
  <c r="F46" i="9"/>
  <c r="F8" i="7"/>
  <c r="F13" i="7"/>
  <c r="F18" i="7"/>
  <c r="F23" i="7"/>
  <c r="F28" i="7"/>
  <c r="N23" i="5" s="1"/>
  <c r="F33" i="7"/>
  <c r="F38" i="7"/>
  <c r="G6" i="9"/>
  <c r="E31" i="9" s="1"/>
  <c r="F11" i="9"/>
  <c r="I10" i="6"/>
  <c r="G13" i="6"/>
  <c r="I14" i="6"/>
  <c r="I16" i="6"/>
  <c r="G14" i="6"/>
  <c r="I17" i="6"/>
  <c r="N45" i="12"/>
  <c r="J42" i="12"/>
  <c r="P45" i="12"/>
  <c r="N65" i="12"/>
  <c r="J65" i="12"/>
  <c r="K16" i="2"/>
  <c r="L17" i="6"/>
  <c r="D17" i="6"/>
  <c r="N17" i="6"/>
  <c r="F17" i="6"/>
  <c r="M17" i="6"/>
  <c r="G17" i="6"/>
  <c r="E17" i="6"/>
  <c r="F16" i="2"/>
  <c r="E21" i="29" s="1"/>
  <c r="F23" i="4"/>
  <c r="B23" i="4"/>
  <c r="G16" i="2"/>
  <c r="E21" i="30" s="1"/>
  <c r="D88" i="2"/>
  <c r="D89" i="2" s="1"/>
  <c r="E6" i="4"/>
  <c r="I6" i="4"/>
  <c r="J23" i="4"/>
  <c r="H57" i="2"/>
  <c r="E23" i="4"/>
  <c r="M23" i="4"/>
  <c r="L16" i="6"/>
  <c r="D16" i="6"/>
  <c r="N16" i="6"/>
  <c r="F16" i="6"/>
  <c r="M16" i="6"/>
  <c r="G16" i="6"/>
  <c r="E16" i="6"/>
  <c r="D57" i="2"/>
  <c r="D58" i="2" s="1"/>
  <c r="B6" i="4"/>
  <c r="J6" i="4"/>
  <c r="D32" i="7"/>
  <c r="C46" i="9"/>
  <c r="D6" i="9"/>
  <c r="B31" i="9" s="1"/>
  <c r="C31" i="9" s="1"/>
  <c r="F26" i="14"/>
  <c r="C6" i="4"/>
  <c r="G6" i="4"/>
  <c r="K6" i="4"/>
  <c r="C23" i="4"/>
  <c r="G23" i="4"/>
  <c r="K23" i="4"/>
  <c r="L10" i="6"/>
  <c r="D10" i="6"/>
  <c r="N10" i="6"/>
  <c r="M10" i="6"/>
  <c r="G10" i="6"/>
  <c r="E10" i="6"/>
  <c r="L11" i="6"/>
  <c r="D11" i="6"/>
  <c r="N11" i="6"/>
  <c r="F11" i="6"/>
  <c r="M11" i="6"/>
  <c r="G11" i="6"/>
  <c r="C29" i="10"/>
  <c r="E27" i="10" s="1"/>
  <c r="L6" i="4"/>
  <c r="D23" i="4"/>
  <c r="H23" i="4"/>
  <c r="L23" i="4"/>
  <c r="L14" i="6"/>
  <c r="D14" i="6"/>
  <c r="N14" i="6"/>
  <c r="F14" i="6"/>
  <c r="L13" i="6"/>
  <c r="D13" i="6"/>
  <c r="N13" i="6"/>
  <c r="F13" i="6"/>
  <c r="E14" i="6"/>
  <c r="D6" i="7"/>
  <c r="D8" i="7"/>
  <c r="D11" i="7"/>
  <c r="D13" i="7"/>
  <c r="D16" i="7"/>
  <c r="D18" i="7"/>
  <c r="D21" i="7"/>
  <c r="D23" i="7"/>
  <c r="D26" i="7"/>
  <c r="D31" i="7"/>
  <c r="D33" i="7"/>
  <c r="D36" i="7"/>
  <c r="D38" i="7"/>
  <c r="C15" i="10"/>
  <c r="C9" i="10"/>
  <c r="E7" i="10" s="1"/>
  <c r="J10" i="6"/>
  <c r="J11" i="6"/>
  <c r="J13" i="6"/>
  <c r="J14" i="6"/>
  <c r="J16" i="6"/>
  <c r="J17" i="6"/>
  <c r="C17" i="9"/>
  <c r="G19" i="9"/>
  <c r="E41" i="9" s="1"/>
  <c r="G24" i="9"/>
  <c r="E44" i="9" s="1"/>
  <c r="C47" i="9"/>
  <c r="D9" i="9"/>
  <c r="C11" i="9"/>
  <c r="G14" i="9"/>
  <c r="E37" i="9" s="1"/>
  <c r="F37" i="9" s="1"/>
  <c r="E47" i="10"/>
  <c r="E49" i="10" s="1"/>
  <c r="L42" i="12"/>
  <c r="L32" i="12"/>
  <c r="L41" i="12" s="1"/>
  <c r="P42" i="12"/>
  <c r="P32" i="12"/>
  <c r="P41" i="12" s="1"/>
  <c r="G8" i="9"/>
  <c r="E11" i="9"/>
  <c r="E22" i="9"/>
  <c r="G21" i="9"/>
  <c r="G22" i="9" s="1"/>
  <c r="H15" i="12"/>
  <c r="H38" i="12" s="1"/>
  <c r="H49" i="12" s="1"/>
  <c r="H53" i="12" s="1"/>
  <c r="F38" i="12"/>
  <c r="F49" i="12" s="1"/>
  <c r="F53" i="12" s="1"/>
  <c r="T38" i="12"/>
  <c r="T47" i="12" s="1"/>
  <c r="R65" i="12"/>
  <c r="J13" i="10"/>
  <c r="J7" i="10"/>
  <c r="L6" i="10" s="1"/>
  <c r="C13" i="10"/>
  <c r="E11" i="10" s="1"/>
  <c r="L45" i="12"/>
  <c r="P59" i="12"/>
  <c r="J11" i="10"/>
  <c r="L10" i="10" s="1"/>
  <c r="F44" i="14"/>
  <c r="X58" i="12"/>
  <c r="X46" i="12"/>
  <c r="G141" i="15"/>
  <c r="G153" i="15" s="1"/>
  <c r="J41" i="12"/>
  <c r="I32" i="12"/>
  <c r="I41" i="12" s="1"/>
  <c r="P37" i="12"/>
  <c r="P46" i="12" s="1"/>
  <c r="R38" i="12"/>
  <c r="R47" i="12" s="1"/>
  <c r="D8" i="9"/>
  <c r="B33" i="9" s="1"/>
  <c r="C33" i="9" s="1"/>
  <c r="B11" i="9"/>
  <c r="D14" i="9"/>
  <c r="B37" i="9" s="1"/>
  <c r="C37" i="9" s="1"/>
  <c r="B17" i="9"/>
  <c r="D19" i="9"/>
  <c r="B41" i="9" s="1"/>
  <c r="C41" i="9" s="1"/>
  <c r="D21" i="9"/>
  <c r="D22" i="9" s="1"/>
  <c r="B42" i="9" s="1"/>
  <c r="C42" i="9" s="1"/>
  <c r="D24" i="9"/>
  <c r="B44" i="9" s="1"/>
  <c r="C16" i="10"/>
  <c r="R37" i="12"/>
  <c r="R46" i="12" s="1"/>
  <c r="N38" i="12"/>
  <c r="S47" i="12"/>
  <c r="C25" i="10"/>
  <c r="E24" i="10" s="1"/>
  <c r="C31" i="10"/>
  <c r="N59" i="12"/>
  <c r="N32" i="12"/>
  <c r="N41" i="12" s="1"/>
  <c r="J37" i="12"/>
  <c r="J46" i="12" s="1"/>
  <c r="E72" i="12"/>
  <c r="L65" i="12"/>
  <c r="B49" i="12"/>
  <c r="B53" i="12" s="1"/>
  <c r="B74" i="12" s="1"/>
  <c r="K32" i="12"/>
  <c r="K41" i="12" s="1"/>
  <c r="O32" i="12"/>
  <c r="O41" i="12" s="1"/>
  <c r="S46" i="12"/>
  <c r="D72" i="12"/>
  <c r="H72" i="12"/>
  <c r="M46" i="12" l="1"/>
  <c r="C74" i="12"/>
  <c r="X13" i="4"/>
  <c r="X14" i="4" s="1"/>
  <c r="AB13" i="4"/>
  <c r="AB14" i="4" s="1"/>
  <c r="Q13" i="4"/>
  <c r="Q14" i="4" s="1"/>
  <c r="Y13" i="4"/>
  <c r="Y14" i="4" s="1"/>
  <c r="V13" i="4"/>
  <c r="V14" i="4" s="1"/>
  <c r="S13" i="4"/>
  <c r="S14" i="4" s="1"/>
  <c r="W13" i="4"/>
  <c r="W14" i="4" s="1"/>
  <c r="Z13" i="4"/>
  <c r="Z14" i="4" s="1"/>
  <c r="AA13" i="4"/>
  <c r="AA14" i="4" s="1"/>
  <c r="P13" i="4"/>
  <c r="P14" i="4" s="1"/>
  <c r="AC13" i="4"/>
  <c r="AC14" i="4" s="1"/>
  <c r="R13" i="4"/>
  <c r="R14" i="4" s="1"/>
  <c r="T13" i="4"/>
  <c r="T14" i="4" s="1"/>
  <c r="O13" i="4"/>
  <c r="O14" i="4" s="1"/>
  <c r="AC31" i="2"/>
  <c r="AC32" i="2" s="1"/>
  <c r="AA31" i="2"/>
  <c r="AA32" i="2" s="1"/>
  <c r="AD31" i="2"/>
  <c r="AD32" i="2" s="1"/>
  <c r="Z31" i="2"/>
  <c r="Z32" i="2" s="1"/>
  <c r="Y31" i="2"/>
  <c r="Y32" i="2" s="1"/>
  <c r="AB31" i="2"/>
  <c r="AB32" i="2" s="1"/>
  <c r="W31" i="2"/>
  <c r="W32" i="2" s="1"/>
  <c r="X31" i="2"/>
  <c r="X32" i="2" s="1"/>
  <c r="Y20" i="2"/>
  <c r="X20" i="2"/>
  <c r="Z20" i="2"/>
  <c r="W20" i="2"/>
  <c r="AD20" i="2"/>
  <c r="AC20" i="2"/>
  <c r="AB20" i="2"/>
  <c r="AA20" i="2"/>
  <c r="AC7" i="2"/>
  <c r="W7" i="2"/>
  <c r="Y7" i="2"/>
  <c r="AB7" i="2"/>
  <c r="AD7" i="2"/>
  <c r="Z7" i="2"/>
  <c r="AA7" i="2"/>
  <c r="X7" i="2"/>
  <c r="U7" i="2"/>
  <c r="U39" i="2" s="1"/>
  <c r="P7" i="2"/>
  <c r="X65" i="12"/>
  <c r="S7" i="2"/>
  <c r="Q7" i="2"/>
  <c r="R7" i="2"/>
  <c r="T7" i="2"/>
  <c r="T26" i="2"/>
  <c r="T27" i="2" s="1"/>
  <c r="Q26" i="2"/>
  <c r="Q27" i="2" s="1"/>
  <c r="U26" i="2"/>
  <c r="U27" i="2" s="1"/>
  <c r="P26" i="2"/>
  <c r="P27" i="2" s="1"/>
  <c r="S26" i="2"/>
  <c r="S27" i="2" s="1"/>
  <c r="R26" i="2"/>
  <c r="R27" i="2" s="1"/>
  <c r="U31" i="2"/>
  <c r="U32" i="2" s="1"/>
  <c r="P31" i="2"/>
  <c r="P32" i="2" s="1"/>
  <c r="R31" i="2"/>
  <c r="R32" i="2" s="1"/>
  <c r="T31" i="2"/>
  <c r="T32" i="2" s="1"/>
  <c r="S31" i="2"/>
  <c r="S32" i="2" s="1"/>
  <c r="Q31" i="2"/>
  <c r="Q32" i="2" s="1"/>
  <c r="O65" i="12"/>
  <c r="F22" i="13"/>
  <c r="G22" i="13" s="1"/>
  <c r="Q47" i="12"/>
  <c r="Q49" i="12" s="1"/>
  <c r="Q53" i="12" s="1"/>
  <c r="Q62" i="12" s="1"/>
  <c r="I46" i="12"/>
  <c r="K65" i="12"/>
  <c r="F44" i="13"/>
  <c r="Q65" i="12"/>
  <c r="Q68" i="12" s="1"/>
  <c r="Q72" i="12" s="1"/>
  <c r="G38" i="12"/>
  <c r="G49" i="12" s="1"/>
  <c r="G53" i="12" s="1"/>
  <c r="G74" i="12" s="1"/>
  <c r="S45" i="12"/>
  <c r="S49" i="12" s="1"/>
  <c r="S53" i="12" s="1"/>
  <c r="D74" i="12"/>
  <c r="T65" i="12"/>
  <c r="F74" i="12"/>
  <c r="AC30" i="12"/>
  <c r="AD30" i="12" s="1"/>
  <c r="C20" i="2"/>
  <c r="C45" i="2" s="1"/>
  <c r="I20" i="2"/>
  <c r="I45" i="2" s="1"/>
  <c r="H20" i="2"/>
  <c r="H45" i="2" s="1"/>
  <c r="H43" i="2" s="1"/>
  <c r="H44" i="2" s="1"/>
  <c r="L20" i="2"/>
  <c r="L45" i="2" s="1"/>
  <c r="L43" i="2" s="1"/>
  <c r="L44" i="2" s="1"/>
  <c r="E20" i="2"/>
  <c r="E45" i="2" s="1"/>
  <c r="E43" i="2" s="1"/>
  <c r="E44" i="2" s="1"/>
  <c r="Q30" i="29"/>
  <c r="S30" i="29" s="1"/>
  <c r="I30" i="29"/>
  <c r="Q30" i="28"/>
  <c r="S30" i="28" s="1"/>
  <c r="I30" i="28"/>
  <c r="D39" i="17"/>
  <c r="F39" i="17"/>
  <c r="E39" i="17"/>
  <c r="I39" i="17"/>
  <c r="J39" i="17"/>
  <c r="G30" i="27"/>
  <c r="I30" i="27" s="1"/>
  <c r="H74" i="12"/>
  <c r="S68" i="12"/>
  <c r="S72" i="12" s="1"/>
  <c r="G30" i="25"/>
  <c r="I30" i="25" s="1"/>
  <c r="G30" i="26"/>
  <c r="I30" i="26" s="1"/>
  <c r="G30" i="30"/>
  <c r="I30" i="30" s="1"/>
  <c r="F21" i="25"/>
  <c r="E19" i="17"/>
  <c r="D19" i="17"/>
  <c r="F19" i="17"/>
  <c r="C19" i="17"/>
  <c r="B19" i="17"/>
  <c r="C39" i="17"/>
  <c r="B39" i="17"/>
  <c r="T49" i="12"/>
  <c r="T53" i="12" s="1"/>
  <c r="T66" i="12"/>
  <c r="F141" i="15"/>
  <c r="F153" i="15" s="1"/>
  <c r="K17" i="17"/>
  <c r="I66" i="12"/>
  <c r="I47" i="12"/>
  <c r="G11" i="9"/>
  <c r="E35" i="9" s="1"/>
  <c r="F35" i="9" s="1"/>
  <c r="D17" i="9"/>
  <c r="B39" i="9" s="1"/>
  <c r="C39" i="9" s="1"/>
  <c r="P66" i="12"/>
  <c r="P68" i="12" s="1"/>
  <c r="P72" i="12" s="1"/>
  <c r="K37" i="17"/>
  <c r="R68" i="12"/>
  <c r="R72" i="12" s="1"/>
  <c r="D74" i="2"/>
  <c r="G38" i="17"/>
  <c r="P47" i="12"/>
  <c r="P49" i="12" s="1"/>
  <c r="P53" i="12" s="1"/>
  <c r="P62" i="12" s="1"/>
  <c r="H38" i="17"/>
  <c r="M66" i="12"/>
  <c r="M68" i="12" s="1"/>
  <c r="M72" i="12" s="1"/>
  <c r="J68" i="12"/>
  <c r="J72" i="12" s="1"/>
  <c r="K59" i="12"/>
  <c r="K66" i="12" s="1"/>
  <c r="L15" i="12"/>
  <c r="K38" i="12"/>
  <c r="K47" i="12" s="1"/>
  <c r="K49" i="12" s="1"/>
  <c r="K53" i="12" s="1"/>
  <c r="E74" i="12"/>
  <c r="H18" i="17"/>
  <c r="G18" i="17"/>
  <c r="B17" i="18"/>
  <c r="A40" i="17"/>
  <c r="D80" i="2"/>
  <c r="D81" i="2" s="1"/>
  <c r="M47" i="12"/>
  <c r="M49" i="12" s="1"/>
  <c r="M53" i="12" s="1"/>
  <c r="M62" i="12" s="1"/>
  <c r="O66" i="12"/>
  <c r="O68" i="12" s="1"/>
  <c r="O72" i="12" s="1"/>
  <c r="J49" i="12"/>
  <c r="J53" i="12" s="1"/>
  <c r="J62" i="12" s="1"/>
  <c r="L5" i="10"/>
  <c r="L7" i="10" s="1"/>
  <c r="E8" i="10"/>
  <c r="E9" i="10" s="1"/>
  <c r="E12" i="10"/>
  <c r="E13" i="10" s="1"/>
  <c r="G17" i="9"/>
  <c r="G47" i="9"/>
  <c r="E51" i="9" s="1"/>
  <c r="B38" i="9"/>
  <c r="C38" i="9" s="1"/>
  <c r="G46" i="9"/>
  <c r="F50" i="9" s="1"/>
  <c r="E23" i="10"/>
  <c r="E25" i="10" s="1"/>
  <c r="F48" i="9"/>
  <c r="F31" i="9"/>
  <c r="R49" i="12"/>
  <c r="R53" i="12" s="1"/>
  <c r="R62" i="12" s="1"/>
  <c r="F22" i="14"/>
  <c r="E28" i="10"/>
  <c r="E29" i="10" s="1"/>
  <c r="F41" i="9"/>
  <c r="C44" i="9"/>
  <c r="D24" i="8"/>
  <c r="F24" i="8"/>
  <c r="E24" i="8"/>
  <c r="C24" i="8"/>
  <c r="F44" i="9"/>
  <c r="H24" i="8"/>
  <c r="H25" i="8" s="1"/>
  <c r="M24" i="8"/>
  <c r="M25" i="8" s="1"/>
  <c r="B24" i="8"/>
  <c r="E41" i="25" s="1"/>
  <c r="J24" i="8"/>
  <c r="J25" i="8" s="1"/>
  <c r="I24" i="8"/>
  <c r="I25" i="8" s="1"/>
  <c r="G24" i="8"/>
  <c r="L24" i="8"/>
  <c r="L25" i="8" s="1"/>
  <c r="K24" i="8"/>
  <c r="K25" i="8" s="1"/>
  <c r="C33" i="10"/>
  <c r="E32" i="10" s="1"/>
  <c r="E42" i="9"/>
  <c r="F42" i="9" s="1"/>
  <c r="L9" i="10"/>
  <c r="B48" i="9"/>
  <c r="E48" i="9"/>
  <c r="C48" i="9"/>
  <c r="C17" i="10"/>
  <c r="E16" i="10" s="1"/>
  <c r="O47" i="12"/>
  <c r="O49" i="12" s="1"/>
  <c r="O53" i="12" s="1"/>
  <c r="O62" i="12" s="1"/>
  <c r="E23" i="5"/>
  <c r="E22" i="5"/>
  <c r="E21" i="5"/>
  <c r="I23" i="5"/>
  <c r="I22" i="5"/>
  <c r="I21" i="5"/>
  <c r="L23" i="5"/>
  <c r="L22" i="5"/>
  <c r="L21" i="5"/>
  <c r="D20" i="2"/>
  <c r="C22" i="5"/>
  <c r="C21" i="5"/>
  <c r="C23" i="5"/>
  <c r="M23" i="5"/>
  <c r="M22" i="5"/>
  <c r="M21" i="5"/>
  <c r="X59" i="12"/>
  <c r="X38" i="12"/>
  <c r="F20" i="2"/>
  <c r="G20" i="2"/>
  <c r="K22" i="5"/>
  <c r="K21" i="5"/>
  <c r="K23" i="5"/>
  <c r="N66" i="12"/>
  <c r="N68" i="12" s="1"/>
  <c r="N72" i="12" s="1"/>
  <c r="E33" i="9"/>
  <c r="D47" i="9"/>
  <c r="B51" i="9" s="1"/>
  <c r="D11" i="9"/>
  <c r="B34" i="9"/>
  <c r="C34" i="9" s="1"/>
  <c r="M20" i="2"/>
  <c r="F22" i="5"/>
  <c r="F21" i="5"/>
  <c r="F23" i="5"/>
  <c r="H59" i="2"/>
  <c r="H60" i="2" s="1"/>
  <c r="N47" i="12"/>
  <c r="N49" i="12" s="1"/>
  <c r="N53" i="12" s="1"/>
  <c r="N62" i="12" s="1"/>
  <c r="J15" i="10"/>
  <c r="L14" i="10" s="1"/>
  <c r="I43" i="2"/>
  <c r="I44" i="2" s="1"/>
  <c r="D23" i="5"/>
  <c r="D22" i="5"/>
  <c r="D21" i="5"/>
  <c r="H23" i="5"/>
  <c r="H22" i="5"/>
  <c r="H21" i="5"/>
  <c r="D46" i="9"/>
  <c r="B50" i="9" s="1"/>
  <c r="J23" i="5"/>
  <c r="J21" i="5"/>
  <c r="J22" i="5"/>
  <c r="G23" i="5"/>
  <c r="G21" i="5"/>
  <c r="G22" i="5"/>
  <c r="B20" i="2"/>
  <c r="H61" i="2"/>
  <c r="K20" i="2"/>
  <c r="J20" i="2"/>
  <c r="AC39" i="2" l="1"/>
  <c r="AC37" i="2" s="1"/>
  <c r="AC38" i="2" s="1"/>
  <c r="AC10" i="2"/>
  <c r="AC12" i="2" s="1"/>
  <c r="X39" i="2"/>
  <c r="X37" i="2" s="1"/>
  <c r="X38" i="2" s="1"/>
  <c r="X10" i="2"/>
  <c r="X12" i="2" s="1"/>
  <c r="W39" i="2"/>
  <c r="W10" i="2"/>
  <c r="W12" i="2" s="1"/>
  <c r="W8" i="2"/>
  <c r="W9" i="2" s="1"/>
  <c r="Y8" i="2"/>
  <c r="Y9" i="2" s="1"/>
  <c r="AB8" i="2"/>
  <c r="AB9" i="2" s="1"/>
  <c r="AC8" i="2"/>
  <c r="AC9" i="2" s="1"/>
  <c r="Z8" i="2"/>
  <c r="Z9" i="2" s="1"/>
  <c r="AD8" i="2"/>
  <c r="AD9" i="2" s="1"/>
  <c r="AA8" i="2"/>
  <c r="AA9" i="2" s="1"/>
  <c r="X8" i="2"/>
  <c r="X9" i="2" s="1"/>
  <c r="AA39" i="2"/>
  <c r="AA37" i="2" s="1"/>
  <c r="AA38" i="2" s="1"/>
  <c r="AA10" i="2"/>
  <c r="AA12" i="2" s="1"/>
  <c r="Z39" i="2"/>
  <c r="Z37" i="2" s="1"/>
  <c r="Z38" i="2" s="1"/>
  <c r="Z10" i="2"/>
  <c r="Z12" i="2" s="1"/>
  <c r="AD39" i="2"/>
  <c r="AD37" i="2" s="1"/>
  <c r="AD38" i="2" s="1"/>
  <c r="AD10" i="2"/>
  <c r="AD12" i="2" s="1"/>
  <c r="X14" i="2"/>
  <c r="Y14" i="2"/>
  <c r="AC14" i="2"/>
  <c r="AD14" i="2"/>
  <c r="AA14" i="2"/>
  <c r="W14" i="2"/>
  <c r="AB14" i="2"/>
  <c r="Z14" i="2"/>
  <c r="AB39" i="2"/>
  <c r="AB37" i="2" s="1"/>
  <c r="AB38" i="2" s="1"/>
  <c r="AB10" i="2"/>
  <c r="AB12" i="2" s="1"/>
  <c r="Y39" i="2"/>
  <c r="Y37" i="2" s="1"/>
  <c r="Y38" i="2" s="1"/>
  <c r="Y10" i="2"/>
  <c r="Y12" i="2" s="1"/>
  <c r="X47" i="12"/>
  <c r="X49" i="12" s="1"/>
  <c r="X53" i="12" s="1"/>
  <c r="B16" i="13" s="1"/>
  <c r="X66" i="12"/>
  <c r="X68" i="12" s="1"/>
  <c r="X72" i="12" s="1"/>
  <c r="P39" i="2"/>
  <c r="P37" i="2" s="1"/>
  <c r="P38" i="2" s="1"/>
  <c r="P10" i="2"/>
  <c r="P12" i="2" s="1"/>
  <c r="T39" i="2"/>
  <c r="T10" i="2"/>
  <c r="T12" i="2" s="1"/>
  <c r="R39" i="2"/>
  <c r="R37" i="2" s="1"/>
  <c r="R38" i="2" s="1"/>
  <c r="R10" i="2"/>
  <c r="R12" i="2" s="1"/>
  <c r="P8" i="2"/>
  <c r="P9" i="2" s="1"/>
  <c r="U8" i="2"/>
  <c r="U9" i="2" s="1"/>
  <c r="S8" i="2"/>
  <c r="S9" i="2" s="1"/>
  <c r="Q8" i="2"/>
  <c r="Q9" i="2" s="1"/>
  <c r="T8" i="2"/>
  <c r="T9" i="2" s="1"/>
  <c r="R8" i="2"/>
  <c r="R9" i="2" s="1"/>
  <c r="U10" i="2"/>
  <c r="U12" i="2" s="1"/>
  <c r="T14" i="2"/>
  <c r="R14" i="2"/>
  <c r="U14" i="2"/>
  <c r="S14" i="2"/>
  <c r="P14" i="2"/>
  <c r="Q14" i="2"/>
  <c r="Q39" i="2"/>
  <c r="Q37" i="2" s="1"/>
  <c r="Q38" i="2" s="1"/>
  <c r="Q10" i="2"/>
  <c r="Q12" i="2" s="1"/>
  <c r="S39" i="2"/>
  <c r="S37" i="2" s="1"/>
  <c r="S38" i="2" s="1"/>
  <c r="S10" i="2"/>
  <c r="S12" i="2" s="1"/>
  <c r="K68" i="12"/>
  <c r="K72" i="12" s="1"/>
  <c r="I49" i="12"/>
  <c r="I53" i="12" s="1"/>
  <c r="I62" i="12" s="1"/>
  <c r="Y30" i="29"/>
  <c r="C21" i="2"/>
  <c r="T68" i="12"/>
  <c r="T72" i="12" s="1"/>
  <c r="J129" i="15" s="1"/>
  <c r="Q30" i="26"/>
  <c r="S30" i="26" s="1"/>
  <c r="Y30" i="26" s="1"/>
  <c r="Q30" i="27"/>
  <c r="S30" i="27" s="1"/>
  <c r="Y30" i="27" s="1"/>
  <c r="L21" i="2"/>
  <c r="H21" i="2"/>
  <c r="I21" i="2"/>
  <c r="E21" i="2"/>
  <c r="Q30" i="25"/>
  <c r="S30" i="25" s="1"/>
  <c r="Y30" i="25" s="1"/>
  <c r="E40" i="17"/>
  <c r="D40" i="17"/>
  <c r="F40" i="17"/>
  <c r="I40" i="17"/>
  <c r="J40" i="17"/>
  <c r="Q30" i="30"/>
  <c r="S30" i="30" s="1"/>
  <c r="Y30" i="30" s="1"/>
  <c r="Y30" i="28"/>
  <c r="D48" i="9"/>
  <c r="B52" i="9" s="1"/>
  <c r="F41" i="25"/>
  <c r="G48" i="9"/>
  <c r="E52" i="9" s="1"/>
  <c r="D25" i="8"/>
  <c r="E42" i="27" s="1"/>
  <c r="E41" i="27"/>
  <c r="G25" i="8"/>
  <c r="E42" i="30" s="1"/>
  <c r="E41" i="30"/>
  <c r="C25" i="8"/>
  <c r="E42" i="26" s="1"/>
  <c r="E41" i="26"/>
  <c r="E25" i="8"/>
  <c r="E42" i="28" s="1"/>
  <c r="E41" i="28"/>
  <c r="F25" i="8"/>
  <c r="E42" i="29" s="1"/>
  <c r="E41" i="29"/>
  <c r="B25" i="8"/>
  <c r="E42" i="25" s="1"/>
  <c r="F20" i="17"/>
  <c r="D20" i="17"/>
  <c r="E20" i="17"/>
  <c r="C20" i="17"/>
  <c r="B20" i="17"/>
  <c r="C40" i="17"/>
  <c r="B40" i="17"/>
  <c r="I68" i="12"/>
  <c r="I72" i="12" s="1"/>
  <c r="I129" i="15"/>
  <c r="J74" i="12"/>
  <c r="K38" i="17"/>
  <c r="E39" i="9"/>
  <c r="F39" i="9" s="1"/>
  <c r="K18" i="17"/>
  <c r="F51" i="9"/>
  <c r="L59" i="12"/>
  <c r="L66" i="12" s="1"/>
  <c r="L68" i="12" s="1"/>
  <c r="L72" i="12" s="1"/>
  <c r="L38" i="12"/>
  <c r="L47" i="12" s="1"/>
  <c r="L49" i="12" s="1"/>
  <c r="L53" i="12" s="1"/>
  <c r="L62" i="12" s="1"/>
  <c r="B18" i="18"/>
  <c r="A41" i="17"/>
  <c r="G19" i="17"/>
  <c r="G39" i="17"/>
  <c r="H19" i="17"/>
  <c r="H39" i="17"/>
  <c r="L13" i="10"/>
  <c r="L15" i="10" s="1"/>
  <c r="E50" i="9"/>
  <c r="E15" i="10"/>
  <c r="E17" i="10" s="1"/>
  <c r="F35" i="13"/>
  <c r="K62" i="12"/>
  <c r="K74" i="12"/>
  <c r="F45" i="2"/>
  <c r="F21" i="2"/>
  <c r="C43" i="2"/>
  <c r="C44" i="2" s="1"/>
  <c r="L11" i="10"/>
  <c r="C51" i="9"/>
  <c r="H22" i="13"/>
  <c r="K45" i="2"/>
  <c r="K21" i="2"/>
  <c r="M45" i="2"/>
  <c r="M21" i="2"/>
  <c r="W59" i="12"/>
  <c r="W66" i="12" s="1"/>
  <c r="W68" i="12" s="1"/>
  <c r="W72" i="12" s="1"/>
  <c r="W38" i="12"/>
  <c r="W47" i="12" s="1"/>
  <c r="W49" i="12" s="1"/>
  <c r="W53" i="12" s="1"/>
  <c r="Y55" i="12" s="1"/>
  <c r="Y56" i="12" s="1"/>
  <c r="D45" i="2"/>
  <c r="D21" i="2"/>
  <c r="J45" i="2"/>
  <c r="J21" i="2"/>
  <c r="B45" i="2"/>
  <c r="B21" i="2"/>
  <c r="F33" i="9"/>
  <c r="G45" i="2"/>
  <c r="G21" i="2"/>
  <c r="C50" i="9"/>
  <c r="F35" i="14"/>
  <c r="B35" i="9"/>
  <c r="C35" i="9" s="1"/>
  <c r="E31" i="10"/>
  <c r="E33" i="10" s="1"/>
  <c r="C16" i="13" l="1"/>
  <c r="X75" i="12"/>
  <c r="X76" i="12" s="1"/>
  <c r="Y76" i="12"/>
  <c r="Y75" i="12"/>
  <c r="AB53" i="12"/>
  <c r="AC53" i="12"/>
  <c r="AC15" i="2"/>
  <c r="AC42" i="2"/>
  <c r="AC40" i="2"/>
  <c r="Y40" i="2"/>
  <c r="Y42" i="2"/>
  <c r="Y15" i="2"/>
  <c r="AD15" i="2"/>
  <c r="AD42" i="2"/>
  <c r="AD40" i="2"/>
  <c r="X42" i="2"/>
  <c r="X40" i="2"/>
  <c r="X15" i="2"/>
  <c r="W37" i="2"/>
  <c r="W38" i="2" s="1"/>
  <c r="Z15" i="2"/>
  <c r="Z42" i="2"/>
  <c r="Z40" i="2"/>
  <c r="AB15" i="2"/>
  <c r="AB40" i="2"/>
  <c r="AB42" i="2"/>
  <c r="W42" i="2"/>
  <c r="W15" i="2"/>
  <c r="W40" i="2"/>
  <c r="AA15" i="2"/>
  <c r="AA40" i="2"/>
  <c r="AA42" i="2"/>
  <c r="E57" i="13"/>
  <c r="J147" i="15"/>
  <c r="I147" i="15"/>
  <c r="D57" i="13"/>
  <c r="T40" i="2"/>
  <c r="T42" i="2"/>
  <c r="T15" i="2"/>
  <c r="U37" i="2"/>
  <c r="U38" i="2" s="1"/>
  <c r="R15" i="2"/>
  <c r="R40" i="2"/>
  <c r="R42" i="2"/>
  <c r="Q15" i="2"/>
  <c r="Q42" i="2"/>
  <c r="Q40" i="2"/>
  <c r="P15" i="2"/>
  <c r="P40" i="2"/>
  <c r="P42" i="2"/>
  <c r="T37" i="2"/>
  <c r="T38" i="2" s="1"/>
  <c r="S15" i="2"/>
  <c r="S42" i="2"/>
  <c r="S40" i="2"/>
  <c r="U15" i="2"/>
  <c r="U42" i="2"/>
  <c r="U40" i="2"/>
  <c r="E26" i="13"/>
  <c r="H26" i="13" s="1"/>
  <c r="I74" i="12"/>
  <c r="C52" i="9"/>
  <c r="F41" i="17"/>
  <c r="E41" i="17"/>
  <c r="D41" i="17"/>
  <c r="J41" i="17"/>
  <c r="I41" i="17"/>
  <c r="F52" i="9"/>
  <c r="D21" i="17"/>
  <c r="F21" i="17"/>
  <c r="E21" i="17"/>
  <c r="C21" i="17"/>
  <c r="B21" i="17"/>
  <c r="C41" i="17"/>
  <c r="B41" i="17"/>
  <c r="K19" i="17"/>
  <c r="I141" i="15"/>
  <c r="H40" i="17"/>
  <c r="K39" i="17"/>
  <c r="A42" i="17"/>
  <c r="B19" i="18"/>
  <c r="G20" i="17"/>
  <c r="G40" i="17"/>
  <c r="H20" i="17"/>
  <c r="G43" i="2"/>
  <c r="G44" i="2" s="1"/>
  <c r="J43" i="2"/>
  <c r="J44" i="2" s="1"/>
  <c r="M43" i="2"/>
  <c r="M44" i="2" s="1"/>
  <c r="B43" i="2"/>
  <c r="B44" i="2" s="1"/>
  <c r="K43" i="2"/>
  <c r="K44" i="2" s="1"/>
  <c r="D43" i="2"/>
  <c r="D44" i="2" s="1"/>
  <c r="F43" i="2"/>
  <c r="F44" i="2" s="1"/>
  <c r="AD41" i="2" l="1"/>
  <c r="Z41" i="2"/>
  <c r="Y41" i="2"/>
  <c r="AA41" i="2"/>
  <c r="W41" i="2"/>
  <c r="AB41" i="2"/>
  <c r="X41" i="2"/>
  <c r="AC41" i="2"/>
  <c r="O27" i="13"/>
  <c r="O35" i="13"/>
  <c r="O30" i="13"/>
  <c r="P30" i="13" s="1"/>
  <c r="O28" i="13"/>
  <c r="O21" i="13"/>
  <c r="O22" i="13"/>
  <c r="O32" i="13"/>
  <c r="O37" i="13"/>
  <c r="O29" i="13"/>
  <c r="O31" i="13"/>
  <c r="O33" i="13"/>
  <c r="O24" i="13"/>
  <c r="O26" i="13"/>
  <c r="O23" i="13"/>
  <c r="O38" i="13"/>
  <c r="O34" i="13"/>
  <c r="O25" i="13"/>
  <c r="Q30" i="13"/>
  <c r="R30" i="13" s="1"/>
  <c r="Q26" i="13"/>
  <c r="R26" i="13" s="1"/>
  <c r="Q37" i="13"/>
  <c r="J159" i="15"/>
  <c r="P147" i="15"/>
  <c r="T41" i="2"/>
  <c r="I159" i="15"/>
  <c r="R41" i="2"/>
  <c r="P41" i="2"/>
  <c r="U41" i="2"/>
  <c r="S41" i="2"/>
  <c r="Q41" i="2"/>
  <c r="E44" i="13"/>
  <c r="H44" i="13" s="1"/>
  <c r="D42" i="17"/>
  <c r="F42" i="17"/>
  <c r="E42" i="17"/>
  <c r="J42" i="17"/>
  <c r="I42" i="17"/>
  <c r="J141" i="15"/>
  <c r="D22" i="17"/>
  <c r="F22" i="17"/>
  <c r="E22" i="17"/>
  <c r="C22" i="17"/>
  <c r="B22" i="17"/>
  <c r="C42" i="17"/>
  <c r="B42" i="17"/>
  <c r="G21" i="17"/>
  <c r="K40" i="17"/>
  <c r="K20" i="17"/>
  <c r="H21" i="17"/>
  <c r="G41" i="17"/>
  <c r="H41" i="17"/>
  <c r="B20" i="18"/>
  <c r="A43" i="17"/>
  <c r="D43" i="17" l="1"/>
  <c r="F43" i="17"/>
  <c r="E43" i="17"/>
  <c r="I43" i="17"/>
  <c r="J43" i="17"/>
  <c r="F23" i="17"/>
  <c r="E23" i="17"/>
  <c r="D23" i="17"/>
  <c r="C23" i="17"/>
  <c r="B23" i="17"/>
  <c r="C43" i="17"/>
  <c r="B43" i="17"/>
  <c r="K21" i="17"/>
  <c r="K41" i="17"/>
  <c r="G22" i="17"/>
  <c r="A44" i="17"/>
  <c r="B21" i="18"/>
  <c r="H22" i="17"/>
  <c r="G42" i="17"/>
  <c r="H42" i="17"/>
  <c r="J11" i="49" l="1"/>
  <c r="D24" i="49" s="1"/>
  <c r="D26" i="49" s="1"/>
  <c r="B26" i="49" s="1"/>
  <c r="D18" i="13" s="1"/>
  <c r="E44" i="17"/>
  <c r="F44" i="17"/>
  <c r="D44" i="17"/>
  <c r="I44" i="17"/>
  <c r="J44" i="17"/>
  <c r="K42" i="17"/>
  <c r="D24" i="17"/>
  <c r="F24" i="17"/>
  <c r="E24" i="17"/>
  <c r="C24" i="17"/>
  <c r="B24" i="17"/>
  <c r="C44" i="17"/>
  <c r="B44" i="17"/>
  <c r="K22" i="17"/>
  <c r="H23" i="17"/>
  <c r="B22" i="18"/>
  <c r="A45" i="17"/>
  <c r="G43" i="17"/>
  <c r="G23" i="17"/>
  <c r="H43" i="17"/>
  <c r="B29" i="49" l="1"/>
  <c r="B31" i="49" s="1"/>
  <c r="O147" i="15"/>
  <c r="F45" i="17"/>
  <c r="E45" i="17"/>
  <c r="D45" i="17"/>
  <c r="J45" i="17"/>
  <c r="I45" i="17"/>
  <c r="C45" i="17"/>
  <c r="B45" i="17"/>
  <c r="F25" i="17"/>
  <c r="E25" i="17"/>
  <c r="D25" i="17"/>
  <c r="C25" i="17"/>
  <c r="B25" i="17"/>
  <c r="K23" i="17"/>
  <c r="K43" i="17"/>
  <c r="H24" i="17"/>
  <c r="G24" i="17"/>
  <c r="G44" i="17"/>
  <c r="A46" i="17"/>
  <c r="B23" i="18"/>
  <c r="H44" i="17"/>
  <c r="O36" i="13" l="1"/>
  <c r="O20" i="13"/>
  <c r="F46" i="17"/>
  <c r="E46" i="17"/>
  <c r="D46" i="17"/>
  <c r="J46" i="17"/>
  <c r="I46" i="17"/>
  <c r="C46" i="17"/>
  <c r="B46" i="17"/>
  <c r="E26" i="17"/>
  <c r="D26" i="17"/>
  <c r="F26" i="17"/>
  <c r="B26" i="17"/>
  <c r="C26" i="17"/>
  <c r="K44" i="17"/>
  <c r="K24" i="17"/>
  <c r="H25" i="17"/>
  <c r="G45" i="17"/>
  <c r="B24" i="18"/>
  <c r="A47" i="17"/>
  <c r="G25" i="17"/>
  <c r="H45" i="17"/>
  <c r="B15" i="27" l="1"/>
  <c r="B13" i="27"/>
  <c r="B37" i="27"/>
  <c r="B9" i="27"/>
  <c r="B35" i="27"/>
  <c r="B22" i="27"/>
  <c r="B39" i="27"/>
  <c r="B36" i="27"/>
  <c r="B40" i="27"/>
  <c r="B41" i="27"/>
  <c r="B34" i="27"/>
  <c r="B12" i="27"/>
  <c r="B42" i="27"/>
  <c r="B31" i="27"/>
  <c r="B21" i="27"/>
  <c r="B27" i="27"/>
  <c r="B10" i="27"/>
  <c r="B19" i="27"/>
  <c r="B29" i="27"/>
  <c r="B18" i="27"/>
  <c r="B38" i="27"/>
  <c r="B33" i="27"/>
  <c r="B24" i="27"/>
  <c r="B23" i="27"/>
  <c r="B30" i="27"/>
  <c r="B26" i="27"/>
  <c r="B16" i="27"/>
  <c r="B17" i="27"/>
  <c r="B14" i="27"/>
  <c r="B11" i="27"/>
  <c r="B28" i="27"/>
  <c r="D47" i="17"/>
  <c r="F47" i="17"/>
  <c r="E47" i="17"/>
  <c r="I47" i="17"/>
  <c r="J47" i="17"/>
  <c r="B12" i="26"/>
  <c r="B10" i="26"/>
  <c r="B38" i="26"/>
  <c r="B17" i="26"/>
  <c r="B41" i="26"/>
  <c r="B14" i="26"/>
  <c r="B31" i="26"/>
  <c r="B42" i="26"/>
  <c r="B16" i="26"/>
  <c r="B37" i="26"/>
  <c r="B26" i="26"/>
  <c r="B13" i="26"/>
  <c r="B21" i="26"/>
  <c r="B33" i="26"/>
  <c r="B22" i="26"/>
  <c r="B11" i="26"/>
  <c r="B35" i="26"/>
  <c r="B40" i="26"/>
  <c r="B34" i="26"/>
  <c r="B27" i="26"/>
  <c r="B9" i="26"/>
  <c r="B24" i="26"/>
  <c r="B18" i="26"/>
  <c r="B36" i="26"/>
  <c r="B30" i="26"/>
  <c r="B23" i="26"/>
  <c r="B29" i="26"/>
  <c r="B15" i="26"/>
  <c r="B19" i="26"/>
  <c r="B28" i="26"/>
  <c r="B39" i="26"/>
  <c r="B9" i="29"/>
  <c r="B12" i="29"/>
  <c r="B15" i="29"/>
  <c r="B13" i="29"/>
  <c r="B21" i="29"/>
  <c r="B35" i="29"/>
  <c r="B33" i="29"/>
  <c r="B24" i="29"/>
  <c r="B17" i="29"/>
  <c r="B27" i="29"/>
  <c r="B26" i="29"/>
  <c r="B40" i="29"/>
  <c r="B28" i="29"/>
  <c r="B39" i="29"/>
  <c r="B42" i="29"/>
  <c r="B36" i="29"/>
  <c r="B41" i="29"/>
  <c r="B23" i="29"/>
  <c r="B10" i="29"/>
  <c r="B30" i="29"/>
  <c r="B31" i="29"/>
  <c r="B38" i="29"/>
  <c r="B22" i="29"/>
  <c r="B16" i="29"/>
  <c r="B37" i="29"/>
  <c r="B19" i="29"/>
  <c r="B34" i="29"/>
  <c r="B29" i="29"/>
  <c r="B18" i="29"/>
  <c r="B11" i="29"/>
  <c r="B14" i="29"/>
  <c r="N8" i="25"/>
  <c r="B37" i="25"/>
  <c r="N39" i="25"/>
  <c r="B38" i="25"/>
  <c r="N31" i="25"/>
  <c r="V31" i="25" s="1"/>
  <c r="AB31" i="25" s="1"/>
  <c r="B22" i="25"/>
  <c r="B42" i="25"/>
  <c r="N30" i="25"/>
  <c r="V30" i="25" s="1"/>
  <c r="N17" i="25"/>
  <c r="N11" i="25"/>
  <c r="B14" i="25"/>
  <c r="N9" i="25"/>
  <c r="B10" i="25"/>
  <c r="N41" i="25"/>
  <c r="B23" i="25"/>
  <c r="N36" i="25"/>
  <c r="B34" i="25"/>
  <c r="B15" i="25"/>
  <c r="B17" i="25"/>
  <c r="N13" i="25"/>
  <c r="B28" i="25"/>
  <c r="B19" i="25"/>
  <c r="N18" i="25"/>
  <c r="N14" i="25"/>
  <c r="N21" i="25"/>
  <c r="B26" i="25"/>
  <c r="N42" i="25"/>
  <c r="B11" i="25"/>
  <c r="N38" i="25"/>
  <c r="B27" i="25"/>
  <c r="B9" i="25"/>
  <c r="N12" i="25"/>
  <c r="B18" i="25"/>
  <c r="B12" i="25"/>
  <c r="B35" i="25"/>
  <c r="N23" i="25"/>
  <c r="B40" i="25"/>
  <c r="B16" i="25"/>
  <c r="N40" i="25"/>
  <c r="N27" i="25"/>
  <c r="B29" i="25"/>
  <c r="B30" i="25"/>
  <c r="L30" i="25" s="1"/>
  <c r="B13" i="25"/>
  <c r="N26" i="25"/>
  <c r="N19" i="25"/>
  <c r="N16" i="25"/>
  <c r="N29" i="25"/>
  <c r="N37" i="25"/>
  <c r="N33" i="25"/>
  <c r="N10" i="25"/>
  <c r="N34" i="25"/>
  <c r="B36" i="25"/>
  <c r="N28" i="25"/>
  <c r="B24" i="25"/>
  <c r="N35" i="25"/>
  <c r="N24" i="25"/>
  <c r="B39" i="25"/>
  <c r="N22" i="25"/>
  <c r="B33" i="25"/>
  <c r="N15" i="25"/>
  <c r="B21" i="25"/>
  <c r="B31" i="25"/>
  <c r="B41" i="25"/>
  <c r="B36" i="28"/>
  <c r="B38" i="28"/>
  <c r="B12" i="28"/>
  <c r="B23" i="28"/>
  <c r="B35" i="28"/>
  <c r="B41" i="28"/>
  <c r="B28" i="28"/>
  <c r="B11" i="28"/>
  <c r="B37" i="28"/>
  <c r="B34" i="28"/>
  <c r="B26" i="28"/>
  <c r="B19" i="28"/>
  <c r="B30" i="28"/>
  <c r="B14" i="28"/>
  <c r="B31" i="28"/>
  <c r="B42" i="28"/>
  <c r="B16" i="28"/>
  <c r="B17" i="28"/>
  <c r="B21" i="28"/>
  <c r="B15" i="28"/>
  <c r="B10" i="28"/>
  <c r="B33" i="28"/>
  <c r="B18" i="28"/>
  <c r="B22" i="28"/>
  <c r="B9" i="28"/>
  <c r="B40" i="28"/>
  <c r="B27" i="28"/>
  <c r="B13" i="28"/>
  <c r="B29" i="28"/>
  <c r="B24" i="28"/>
  <c r="B39" i="28"/>
  <c r="E27" i="17"/>
  <c r="D27" i="17"/>
  <c r="F27" i="17"/>
  <c r="C27" i="17"/>
  <c r="B27" i="17"/>
  <c r="C47" i="17"/>
  <c r="B47" i="17"/>
  <c r="K45" i="17"/>
  <c r="K25" i="17"/>
  <c r="G26" i="17"/>
  <c r="H46" i="17"/>
  <c r="B25" i="18"/>
  <c r="A48" i="17"/>
  <c r="G46" i="17"/>
  <c r="H26" i="17"/>
  <c r="AB30" i="25" l="1"/>
  <c r="E48" i="17"/>
  <c r="D48" i="17"/>
  <c r="F48" i="17"/>
  <c r="J48" i="17"/>
  <c r="I48" i="17"/>
  <c r="K26" i="17"/>
  <c r="F28" i="17"/>
  <c r="E28" i="17"/>
  <c r="D28" i="17"/>
  <c r="C28" i="17"/>
  <c r="B28" i="17"/>
  <c r="C48" i="17"/>
  <c r="B48" i="17"/>
  <c r="K46" i="17"/>
  <c r="H47" i="17"/>
  <c r="G47" i="17"/>
  <c r="B26" i="18"/>
  <c r="A49" i="17"/>
  <c r="G27" i="17"/>
  <c r="H27" i="17"/>
  <c r="F49" i="17" l="1"/>
  <c r="E49" i="17"/>
  <c r="D49" i="17"/>
  <c r="J49" i="17"/>
  <c r="I49" i="17"/>
  <c r="C49" i="17"/>
  <c r="B49" i="17"/>
  <c r="K47" i="17"/>
  <c r="K27" i="17"/>
  <c r="G28" i="17"/>
  <c r="H48" i="17"/>
  <c r="H28" i="17"/>
  <c r="G48" i="17"/>
  <c r="K28" i="17" l="1"/>
  <c r="K48" i="17"/>
  <c r="H49" i="17"/>
  <c r="G49" i="17"/>
  <c r="K49" i="17" l="1"/>
  <c r="D117" i="15" l="1"/>
  <c r="D111" i="15"/>
  <c r="D99" i="15"/>
  <c r="C117" i="15"/>
  <c r="C111" i="15"/>
  <c r="C105" i="15"/>
  <c r="C99" i="15"/>
  <c r="B117" i="15"/>
  <c r="B111" i="15"/>
  <c r="B105" i="15"/>
  <c r="B99" i="15"/>
  <c r="B60" i="17" l="1"/>
  <c r="B58" i="17"/>
  <c r="B63" i="17"/>
  <c r="B62" i="17"/>
  <c r="B59" i="17"/>
  <c r="L123" i="15"/>
  <c r="B61" i="17"/>
  <c r="D105" i="15"/>
  <c r="L129" i="15" l="1"/>
  <c r="O123" i="15"/>
  <c r="P123" i="15"/>
  <c r="E59" i="17"/>
  <c r="C62" i="17"/>
  <c r="C63" i="17"/>
  <c r="C61" i="17"/>
  <c r="C59" i="17"/>
  <c r="C60" i="17"/>
  <c r="C58" i="17"/>
  <c r="F58" i="17" s="1"/>
  <c r="I58" i="17" s="1"/>
  <c r="I105" i="15"/>
  <c r="O105" i="15" s="1"/>
  <c r="E62" i="17"/>
  <c r="H62" i="17" s="1"/>
  <c r="I111" i="15"/>
  <c r="O111" i="15" s="1"/>
  <c r="I99" i="15"/>
  <c r="O99" i="15" s="1"/>
  <c r="AC100" i="15" s="1"/>
  <c r="AC101" i="15" s="1"/>
  <c r="AC102" i="15" s="1"/>
  <c r="AC103" i="15" s="1"/>
  <c r="E63" i="17"/>
  <c r="H63" i="17" s="1"/>
  <c r="O129" i="15" l="1"/>
  <c r="AC136" i="15" s="1"/>
  <c r="P129" i="15"/>
  <c r="AC112" i="15"/>
  <c r="AC113" i="15" s="1"/>
  <c r="AC114" i="15" s="1"/>
  <c r="AC115" i="15" s="1"/>
  <c r="J105" i="15"/>
  <c r="P105" i="15" s="1"/>
  <c r="E58" i="17"/>
  <c r="H58" i="17" s="1"/>
  <c r="J99" i="15"/>
  <c r="P99" i="15" s="1"/>
  <c r="AD100" i="15" s="1"/>
  <c r="AD101" i="15" s="1"/>
  <c r="AD102" i="15" s="1"/>
  <c r="AD103" i="15" s="1"/>
  <c r="J111" i="15"/>
  <c r="P111" i="15" s="1"/>
  <c r="E60" i="17"/>
  <c r="H60" i="17" s="1"/>
  <c r="F62" i="17"/>
  <c r="I62" i="17" s="1"/>
  <c r="F60" i="17"/>
  <c r="I60" i="17" s="1"/>
  <c r="F59" i="17"/>
  <c r="J117" i="15"/>
  <c r="P117" i="15" s="1"/>
  <c r="F63" i="17"/>
  <c r="I63" i="17" s="1"/>
  <c r="E61" i="17"/>
  <c r="H61" i="17" s="1"/>
  <c r="F61" i="17" l="1"/>
  <c r="I61" i="17" s="1"/>
  <c r="AD112" i="15"/>
  <c r="AD113" i="15" s="1"/>
  <c r="AD114" i="15" s="1"/>
  <c r="AD115" i="15" s="1"/>
  <c r="I117" i="15"/>
  <c r="O117" i="15" s="1"/>
  <c r="G59" i="17" l="1"/>
  <c r="H59" i="17" l="1"/>
  <c r="I59" i="17"/>
  <c r="Z125" i="15" l="1"/>
  <c r="Z126" i="15" l="1"/>
  <c r="Z127" i="15" l="1"/>
  <c r="AC124" i="15" s="1"/>
  <c r="N12" i="20"/>
  <c r="AD124" i="15" l="1"/>
  <c r="AD125" i="15" s="1"/>
  <c r="AD126" i="15" s="1"/>
  <c r="AD127" i="15" s="1"/>
  <c r="AC125" i="15"/>
  <c r="AC126" i="15" s="1"/>
  <c r="AC127" i="15" s="1"/>
  <c r="H22" i="14" l="1"/>
  <c r="G22" i="14"/>
  <c r="E14" i="31" l="1"/>
  <c r="G14" i="31" l="1"/>
  <c r="I14" i="31" s="1"/>
  <c r="F41" i="33"/>
  <c r="F21" i="32" l="1"/>
  <c r="E21" i="33"/>
  <c r="H41" i="33"/>
  <c r="R41" i="33" s="1"/>
  <c r="F21" i="28"/>
  <c r="H21" i="28" s="1"/>
  <c r="E21" i="35"/>
  <c r="E21" i="36"/>
  <c r="F21" i="33"/>
  <c r="H21" i="33" s="1"/>
  <c r="R21" i="33" s="1"/>
  <c r="G21" i="30"/>
  <c r="I21" i="30" s="1"/>
  <c r="E21" i="31"/>
  <c r="E21" i="32"/>
  <c r="F21" i="29"/>
  <c r="F21" i="34"/>
  <c r="F21" i="35"/>
  <c r="F21" i="30"/>
  <c r="Q14" i="31"/>
  <c r="S14" i="31" s="1"/>
  <c r="Y14" i="31" s="1"/>
  <c r="E21" i="34"/>
  <c r="G21" i="34" s="1"/>
  <c r="F21" i="31"/>
  <c r="F21" i="26"/>
  <c r="F21" i="36"/>
  <c r="H21" i="36" s="1"/>
  <c r="R21" i="36" s="1"/>
  <c r="G21" i="26"/>
  <c r="F21" i="27"/>
  <c r="H21" i="27" s="1"/>
  <c r="E41" i="36"/>
  <c r="E41" i="31"/>
  <c r="E41" i="33"/>
  <c r="E41" i="32"/>
  <c r="E41" i="35"/>
  <c r="G41" i="25"/>
  <c r="E41" i="34"/>
  <c r="Q21" i="30" l="1"/>
  <c r="S21" i="30" s="1"/>
  <c r="Y21" i="30" s="1"/>
  <c r="G41" i="31"/>
  <c r="I41" i="31" s="1"/>
  <c r="F41" i="31"/>
  <c r="G41" i="26"/>
  <c r="G41" i="33"/>
  <c r="I41" i="33" s="1"/>
  <c r="F41" i="30"/>
  <c r="H41" i="30" s="1"/>
  <c r="F41" i="32"/>
  <c r="H41" i="32" s="1"/>
  <c r="R41" i="32" s="1"/>
  <c r="H21" i="26"/>
  <c r="G21" i="36"/>
  <c r="I21" i="36" s="1"/>
  <c r="Q41" i="25"/>
  <c r="I41" i="25"/>
  <c r="L41" i="25"/>
  <c r="F41" i="27"/>
  <c r="F41" i="26"/>
  <c r="H41" i="26" s="1"/>
  <c r="F41" i="35"/>
  <c r="F41" i="29"/>
  <c r="H41" i="29" s="1"/>
  <c r="H21" i="35"/>
  <c r="R21" i="35" s="1"/>
  <c r="G21" i="31"/>
  <c r="I21" i="31" s="1"/>
  <c r="G21" i="35"/>
  <c r="I21" i="35" s="1"/>
  <c r="H21" i="30"/>
  <c r="R21" i="27"/>
  <c r="H21" i="31"/>
  <c r="G41" i="30"/>
  <c r="I41" i="30" s="1"/>
  <c r="H21" i="25"/>
  <c r="H21" i="34"/>
  <c r="R21" i="34" s="1"/>
  <c r="R21" i="28"/>
  <c r="G21" i="33"/>
  <c r="I21" i="33" s="1"/>
  <c r="G21" i="32"/>
  <c r="I21" i="32" s="1"/>
  <c r="G41" i="35"/>
  <c r="I41" i="35" s="1"/>
  <c r="G41" i="32"/>
  <c r="I41" i="32" s="1"/>
  <c r="G41" i="36"/>
  <c r="I41" i="36" s="1"/>
  <c r="Q21" i="26"/>
  <c r="S21" i="26" s="1"/>
  <c r="I21" i="26"/>
  <c r="Q21" i="34"/>
  <c r="S21" i="34" s="1"/>
  <c r="I21" i="34"/>
  <c r="G21" i="27"/>
  <c r="I21" i="27" s="1"/>
  <c r="G41" i="34"/>
  <c r="I41" i="34" s="1"/>
  <c r="F41" i="28"/>
  <c r="F41" i="34"/>
  <c r="G21" i="28"/>
  <c r="Q21" i="28" s="1"/>
  <c r="S21" i="28" s="1"/>
  <c r="H21" i="29"/>
  <c r="G21" i="25"/>
  <c r="H21" i="32"/>
  <c r="R21" i="32" s="1"/>
  <c r="G21" i="29"/>
  <c r="I21" i="29" s="1"/>
  <c r="F41" i="36"/>
  <c r="H41" i="36" s="1"/>
  <c r="R41" i="36" s="1"/>
  <c r="Q41" i="33" l="1"/>
  <c r="S41" i="33" s="1"/>
  <c r="Q41" i="31"/>
  <c r="S41" i="31" s="1"/>
  <c r="Q41" i="36"/>
  <c r="S41" i="36" s="1"/>
  <c r="Q21" i="36"/>
  <c r="S21" i="36" s="1"/>
  <c r="Y21" i="36" s="1"/>
  <c r="Q21" i="32"/>
  <c r="S21" i="32" s="1"/>
  <c r="Y21" i="32" s="1"/>
  <c r="Q21" i="31"/>
  <c r="S21" i="31" s="1"/>
  <c r="Y21" i="31" s="1"/>
  <c r="Q41" i="30"/>
  <c r="S41" i="30" s="1"/>
  <c r="Y41" i="30" s="1"/>
  <c r="Q21" i="29"/>
  <c r="S21" i="29" s="1"/>
  <c r="Y21" i="29" s="1"/>
  <c r="Q21" i="27"/>
  <c r="S21" i="27" s="1"/>
  <c r="Y21" i="27" s="1"/>
  <c r="R21" i="25"/>
  <c r="R21" i="30"/>
  <c r="Q21" i="35"/>
  <c r="S21" i="35" s="1"/>
  <c r="Y21" i="35" s="1"/>
  <c r="E42" i="32"/>
  <c r="H41" i="34"/>
  <c r="R41" i="34" s="1"/>
  <c r="E42" i="36"/>
  <c r="E42" i="35"/>
  <c r="E42" i="34"/>
  <c r="Y21" i="34"/>
  <c r="Q41" i="35"/>
  <c r="S41" i="35" s="1"/>
  <c r="Y41" i="35" s="1"/>
  <c r="R41" i="29"/>
  <c r="H41" i="27"/>
  <c r="R21" i="26"/>
  <c r="Y41" i="33"/>
  <c r="I21" i="25"/>
  <c r="L21" i="25"/>
  <c r="H41" i="28"/>
  <c r="G41" i="28"/>
  <c r="I41" i="28" s="1"/>
  <c r="Q41" i="26"/>
  <c r="S41" i="26" s="1"/>
  <c r="I41" i="26"/>
  <c r="Q21" i="25"/>
  <c r="Y21" i="26"/>
  <c r="H41" i="35"/>
  <c r="R41" i="35" s="1"/>
  <c r="E42" i="33"/>
  <c r="E42" i="31"/>
  <c r="G42" i="31" s="1"/>
  <c r="H41" i="31"/>
  <c r="R41" i="31" s="1"/>
  <c r="R21" i="29"/>
  <c r="Q41" i="34"/>
  <c r="S41" i="34" s="1"/>
  <c r="Y41" i="34" s="1"/>
  <c r="G41" i="29"/>
  <c r="I41" i="29" s="1"/>
  <c r="R41" i="26"/>
  <c r="S41" i="25"/>
  <c r="V41" i="25"/>
  <c r="AB41" i="25" s="1"/>
  <c r="H41" i="25"/>
  <c r="G42" i="26"/>
  <c r="Y41" i="36"/>
  <c r="R21" i="31"/>
  <c r="R41" i="30"/>
  <c r="I21" i="28"/>
  <c r="Q41" i="32"/>
  <c r="S41" i="32" s="1"/>
  <c r="Y41" i="32" s="1"/>
  <c r="Q21" i="33"/>
  <c r="S21" i="33" s="1"/>
  <c r="G41" i="27"/>
  <c r="I41" i="27" s="1"/>
  <c r="Y41" i="31"/>
  <c r="R41" i="28" l="1"/>
  <c r="Q41" i="29"/>
  <c r="S41" i="29" s="1"/>
  <c r="Y41" i="29" s="1"/>
  <c r="Q41" i="28"/>
  <c r="S41" i="28" s="1"/>
  <c r="Y41" i="28" s="1"/>
  <c r="R41" i="25"/>
  <c r="R41" i="27"/>
  <c r="G42" i="29"/>
  <c r="I42" i="29" s="1"/>
  <c r="G42" i="33"/>
  <c r="I42" i="33" s="1"/>
  <c r="G42" i="34"/>
  <c r="I42" i="34" s="1"/>
  <c r="Q42" i="26"/>
  <c r="S42" i="26" s="1"/>
  <c r="U42" i="26" s="1"/>
  <c r="I42" i="26"/>
  <c r="G42" i="30"/>
  <c r="I42" i="30" s="1"/>
  <c r="G42" i="35"/>
  <c r="I42" i="35" s="1"/>
  <c r="G42" i="27"/>
  <c r="I42" i="27" s="1"/>
  <c r="S21" i="25"/>
  <c r="V21" i="25"/>
  <c r="AB21" i="25" s="1"/>
  <c r="Y21" i="33"/>
  <c r="G42" i="36"/>
  <c r="I42" i="36" s="1"/>
  <c r="G42" i="25"/>
  <c r="Q42" i="25" s="1"/>
  <c r="G42" i="32"/>
  <c r="I42" i="32" s="1"/>
  <c r="Q41" i="27"/>
  <c r="S41" i="27" s="1"/>
  <c r="Y21" i="28"/>
  <c r="Y41" i="25"/>
  <c r="Q42" i="31"/>
  <c r="S42" i="31" s="1"/>
  <c r="U42" i="31" s="1"/>
  <c r="I42" i="31"/>
  <c r="Y41" i="26"/>
  <c r="G42" i="28"/>
  <c r="I42" i="28" s="1"/>
  <c r="Q42" i="35" l="1"/>
  <c r="S42" i="35" s="1"/>
  <c r="U42" i="35" s="1"/>
  <c r="Q42" i="30"/>
  <c r="S42" i="30" s="1"/>
  <c r="U42" i="30" s="1"/>
  <c r="Q42" i="32"/>
  <c r="S42" i="32" s="1"/>
  <c r="U42" i="32" s="1"/>
  <c r="Q42" i="28"/>
  <c r="S42" i="28" s="1"/>
  <c r="U42" i="28" s="1"/>
  <c r="Q42" i="33"/>
  <c r="S42" i="33" s="1"/>
  <c r="U42" i="33" s="1"/>
  <c r="Q42" i="27"/>
  <c r="S42" i="27" s="1"/>
  <c r="U42" i="27" s="1"/>
  <c r="Q42" i="36"/>
  <c r="S42" i="36" s="1"/>
  <c r="U42" i="36" s="1"/>
  <c r="K42" i="34"/>
  <c r="K42" i="33"/>
  <c r="Q42" i="34"/>
  <c r="S42" i="34" s="1"/>
  <c r="U42" i="34" s="1"/>
  <c r="K42" i="36"/>
  <c r="K42" i="35"/>
  <c r="Y21" i="25"/>
  <c r="K42" i="28"/>
  <c r="K42" i="29"/>
  <c r="Y42" i="31"/>
  <c r="AA42" i="31" s="1"/>
  <c r="K42" i="31"/>
  <c r="K42" i="30"/>
  <c r="Q42" i="29"/>
  <c r="S42" i="29" s="1"/>
  <c r="U42" i="29" s="1"/>
  <c r="K42" i="32"/>
  <c r="S42" i="25"/>
  <c r="U42" i="25" s="1"/>
  <c r="V42" i="25"/>
  <c r="K42" i="27"/>
  <c r="Y41" i="27"/>
  <c r="I42" i="25"/>
  <c r="L42" i="25"/>
  <c r="K42" i="26"/>
  <c r="Y42" i="26"/>
  <c r="AA42" i="26" s="1"/>
  <c r="E14" i="32"/>
  <c r="G14" i="32" s="1"/>
  <c r="E22" i="31"/>
  <c r="Y42" i="35" l="1"/>
  <c r="AA42" i="35" s="1"/>
  <c r="Y42" i="33"/>
  <c r="AA42" i="33" s="1"/>
  <c r="Y42" i="30"/>
  <c r="AA42" i="30" s="1"/>
  <c r="Y42" i="32"/>
  <c r="AA42" i="32" s="1"/>
  <c r="Y42" i="28"/>
  <c r="AA42" i="28" s="1"/>
  <c r="Y42" i="27"/>
  <c r="AA42" i="27" s="1"/>
  <c r="Y42" i="36"/>
  <c r="AA42" i="36" s="1"/>
  <c r="AB42" i="25"/>
  <c r="G22" i="31"/>
  <c r="I22" i="31" s="1"/>
  <c r="Q14" i="32"/>
  <c r="S14" i="32" s="1"/>
  <c r="I14" i="32"/>
  <c r="Y42" i="25"/>
  <c r="AA42" i="25" s="1"/>
  <c r="K42" i="25"/>
  <c r="Y42" i="29"/>
  <c r="AA42" i="29" s="1"/>
  <c r="Y42" i="34"/>
  <c r="AA42" i="34" s="1"/>
  <c r="E14" i="33"/>
  <c r="F24" i="31"/>
  <c r="F22" i="31"/>
  <c r="E22" i="32"/>
  <c r="E11" i="31"/>
  <c r="Q22" i="31" l="1"/>
  <c r="S22" i="31" s="1"/>
  <c r="Y22" i="31" s="1"/>
  <c r="E27" i="31"/>
  <c r="E26" i="31"/>
  <c r="H22" i="31"/>
  <c r="R22" i="31" s="1"/>
  <c r="P41" i="31"/>
  <c r="E37" i="31"/>
  <c r="D41" i="31"/>
  <c r="G14" i="33"/>
  <c r="I14" i="33" s="1"/>
  <c r="Y14" i="32"/>
  <c r="G11" i="31"/>
  <c r="I11" i="31" s="1"/>
  <c r="H24" i="31"/>
  <c r="R24" i="31" s="1"/>
  <c r="G22" i="32"/>
  <c r="I22" i="32" s="1"/>
  <c r="P15" i="31"/>
  <c r="E24" i="31"/>
  <c r="E19" i="31"/>
  <c r="P16" i="31"/>
  <c r="E28" i="31"/>
  <c r="G28" i="31" s="1"/>
  <c r="E23" i="31"/>
  <c r="G23" i="31" s="1"/>
  <c r="E18" i="31"/>
  <c r="E35" i="31"/>
  <c r="E14" i="34"/>
  <c r="F24" i="32"/>
  <c r="F22" i="32"/>
  <c r="E11" i="32"/>
  <c r="F37" i="31"/>
  <c r="F35" i="31"/>
  <c r="E22" i="33"/>
  <c r="F23" i="31"/>
  <c r="F39" i="31"/>
  <c r="Q11" i="31" l="1"/>
  <c r="S11" i="31" s="1"/>
  <c r="Q14" i="33"/>
  <c r="S14" i="33" s="1"/>
  <c r="Y14" i="33" s="1"/>
  <c r="E37" i="32"/>
  <c r="Q28" i="31"/>
  <c r="S28" i="31" s="1"/>
  <c r="I28" i="31"/>
  <c r="G24" i="31"/>
  <c r="I24" i="31" s="1"/>
  <c r="P15" i="34"/>
  <c r="T15" i="34" s="1"/>
  <c r="T15" i="31"/>
  <c r="P15" i="32"/>
  <c r="T15" i="32" s="1"/>
  <c r="P15" i="36"/>
  <c r="T15" i="36" s="1"/>
  <c r="P15" i="35"/>
  <c r="T15" i="35" s="1"/>
  <c r="P15" i="33"/>
  <c r="T15" i="33" s="1"/>
  <c r="Y11" i="31"/>
  <c r="H24" i="32"/>
  <c r="R24" i="32" s="1"/>
  <c r="P41" i="34"/>
  <c r="T41" i="34" s="1"/>
  <c r="U41" i="34" s="1"/>
  <c r="P41" i="33"/>
  <c r="T41" i="33" s="1"/>
  <c r="U41" i="33" s="1"/>
  <c r="P41" i="32"/>
  <c r="T41" i="32" s="1"/>
  <c r="U41" i="32" s="1"/>
  <c r="P41" i="36"/>
  <c r="T41" i="36" s="1"/>
  <c r="U41" i="36" s="1"/>
  <c r="P41" i="35"/>
  <c r="T41" i="35" s="1"/>
  <c r="U41" i="35" s="1"/>
  <c r="T41" i="31"/>
  <c r="U41" i="31" s="1"/>
  <c r="Q23" i="31"/>
  <c r="S23" i="31" s="1"/>
  <c r="I23" i="31"/>
  <c r="E27" i="32"/>
  <c r="E26" i="32"/>
  <c r="P16" i="32"/>
  <c r="T16" i="32" s="1"/>
  <c r="P16" i="35"/>
  <c r="T16" i="35" s="1"/>
  <c r="P16" i="34"/>
  <c r="T16" i="34" s="1"/>
  <c r="P16" i="36"/>
  <c r="T16" i="36" s="1"/>
  <c r="P16" i="33"/>
  <c r="T16" i="33" s="1"/>
  <c r="T16" i="31"/>
  <c r="G14" i="34"/>
  <c r="Q14" i="34" s="1"/>
  <c r="S14" i="34" s="1"/>
  <c r="E36" i="31"/>
  <c r="Q22" i="32"/>
  <c r="S22" i="32" s="1"/>
  <c r="Y22" i="32" s="1"/>
  <c r="H39" i="31"/>
  <c r="R39" i="31" s="1"/>
  <c r="F26" i="31"/>
  <c r="G19" i="31"/>
  <c r="I19" i="31" s="1"/>
  <c r="G11" i="32"/>
  <c r="I11" i="32" s="1"/>
  <c r="H23" i="31"/>
  <c r="R23" i="31" s="1"/>
  <c r="E28" i="32"/>
  <c r="G35" i="31"/>
  <c r="I35" i="31" s="1"/>
  <c r="E35" i="32"/>
  <c r="E12" i="31"/>
  <c r="E39" i="31"/>
  <c r="E29" i="31"/>
  <c r="H35" i="31"/>
  <c r="R35" i="31" s="1"/>
  <c r="G22" i="33"/>
  <c r="I22" i="33" s="1"/>
  <c r="F28" i="31"/>
  <c r="D41" i="33"/>
  <c r="J41" i="33" s="1"/>
  <c r="D41" i="34"/>
  <c r="J41" i="34" s="1"/>
  <c r="D41" i="32"/>
  <c r="J41" i="32" s="1"/>
  <c r="D41" i="35"/>
  <c r="J41" i="35" s="1"/>
  <c r="D41" i="36"/>
  <c r="J41" i="36" s="1"/>
  <c r="J41" i="31"/>
  <c r="G26" i="31"/>
  <c r="I26" i="31" s="1"/>
  <c r="H22" i="32"/>
  <c r="R22" i="32" s="1"/>
  <c r="G37" i="31"/>
  <c r="I37" i="31" s="1"/>
  <c r="E23" i="32"/>
  <c r="E18" i="32"/>
  <c r="E38" i="31"/>
  <c r="E34" i="31"/>
  <c r="E33" i="31"/>
  <c r="G33" i="31" s="1"/>
  <c r="H37" i="31"/>
  <c r="R37" i="31" s="1"/>
  <c r="E24" i="32"/>
  <c r="E19" i="32"/>
  <c r="G18" i="31"/>
  <c r="G27" i="31"/>
  <c r="I27" i="31" s="1"/>
  <c r="E14" i="35"/>
  <c r="G14" i="35" s="1"/>
  <c r="F22" i="33"/>
  <c r="H22" i="33" s="1"/>
  <c r="R22" i="33" s="1"/>
  <c r="F24" i="33"/>
  <c r="H24" i="33" s="1"/>
  <c r="R24" i="33" s="1"/>
  <c r="E22" i="34"/>
  <c r="E8" i="31"/>
  <c r="E11" i="33"/>
  <c r="F23" i="32"/>
  <c r="H23" i="32" s="1"/>
  <c r="R23" i="32" s="1"/>
  <c r="F39" i="32"/>
  <c r="F37" i="32"/>
  <c r="F33" i="31"/>
  <c r="F35" i="32"/>
  <c r="Q22" i="33" l="1"/>
  <c r="S22" i="33" s="1"/>
  <c r="Q24" i="31"/>
  <c r="S24" i="31" s="1"/>
  <c r="Q37" i="31"/>
  <c r="S37" i="31" s="1"/>
  <c r="Y37" i="31" s="1"/>
  <c r="Y28" i="31"/>
  <c r="E13" i="31"/>
  <c r="G19" i="32"/>
  <c r="I19" i="32" s="1"/>
  <c r="G18" i="32"/>
  <c r="Q18" i="32" s="1"/>
  <c r="Z41" i="31"/>
  <c r="AA41" i="31" s="1"/>
  <c r="K41" i="31"/>
  <c r="G29" i="31"/>
  <c r="I29" i="31" s="1"/>
  <c r="G28" i="32"/>
  <c r="I28" i="32" s="1"/>
  <c r="H26" i="31"/>
  <c r="R26" i="31" s="1"/>
  <c r="Z16" i="35"/>
  <c r="AA16" i="35" s="1"/>
  <c r="U16" i="35"/>
  <c r="Z15" i="34"/>
  <c r="AA15" i="34" s="1"/>
  <c r="U15" i="34"/>
  <c r="E40" i="31"/>
  <c r="Q14" i="35"/>
  <c r="S14" i="35" s="1"/>
  <c r="I14" i="35"/>
  <c r="K27" i="31"/>
  <c r="G24" i="32"/>
  <c r="I24" i="32" s="1"/>
  <c r="G23" i="32"/>
  <c r="Q23" i="32" s="1"/>
  <c r="S23" i="32" s="1"/>
  <c r="Z41" i="36"/>
  <c r="AA41" i="36" s="1"/>
  <c r="K41" i="36"/>
  <c r="G36" i="31"/>
  <c r="I36" i="31" s="1"/>
  <c r="Z16" i="32"/>
  <c r="AA16" i="32" s="1"/>
  <c r="U16" i="32"/>
  <c r="E34" i="32"/>
  <c r="E33" i="32"/>
  <c r="G11" i="33"/>
  <c r="I11" i="33" s="1"/>
  <c r="E36" i="32"/>
  <c r="G36" i="32" s="1"/>
  <c r="G22" i="34"/>
  <c r="I22" i="34" s="1"/>
  <c r="Q27" i="31"/>
  <c r="S27" i="31" s="1"/>
  <c r="U27" i="31" s="1"/>
  <c r="Z41" i="35"/>
  <c r="AA41" i="35" s="1"/>
  <c r="K41" i="35"/>
  <c r="H28" i="31"/>
  <c r="R28" i="31" s="1"/>
  <c r="G39" i="31"/>
  <c r="I39" i="31" s="1"/>
  <c r="G26" i="32"/>
  <c r="I26" i="32" s="1"/>
  <c r="Y24" i="31"/>
  <c r="Z16" i="34"/>
  <c r="AA16" i="34" s="1"/>
  <c r="U16" i="34"/>
  <c r="E38" i="32"/>
  <c r="H33" i="31"/>
  <c r="G8" i="31"/>
  <c r="Q8" i="31" s="1"/>
  <c r="Z41" i="32"/>
  <c r="AA41" i="32" s="1"/>
  <c r="K41" i="32"/>
  <c r="G27" i="32"/>
  <c r="Q27" i="32" s="1"/>
  <c r="S27" i="32" s="1"/>
  <c r="U27" i="32" s="1"/>
  <c r="Z15" i="33"/>
  <c r="AA15" i="33" s="1"/>
  <c r="U15" i="33"/>
  <c r="Z15" i="31"/>
  <c r="AA15" i="31" s="1"/>
  <c r="U15" i="31"/>
  <c r="H37" i="32"/>
  <c r="R37" i="32" s="1"/>
  <c r="E37" i="33"/>
  <c r="Q33" i="31"/>
  <c r="S33" i="31" s="1"/>
  <c r="I33" i="31"/>
  <c r="Z41" i="34"/>
  <c r="AA41" i="34" s="1"/>
  <c r="K41" i="34"/>
  <c r="G12" i="31"/>
  <c r="I12" i="31" s="1"/>
  <c r="Z16" i="31"/>
  <c r="AA16" i="31" s="1"/>
  <c r="U16" i="31"/>
  <c r="Y23" i="31"/>
  <c r="Z15" i="35"/>
  <c r="AA15" i="35" s="1"/>
  <c r="U15" i="35"/>
  <c r="E23" i="33"/>
  <c r="G23" i="33" s="1"/>
  <c r="E18" i="33"/>
  <c r="J18" i="31"/>
  <c r="I18" i="31"/>
  <c r="F28" i="32"/>
  <c r="H28" i="32" s="1"/>
  <c r="R28" i="32" s="1"/>
  <c r="E39" i="32"/>
  <c r="G39" i="32" s="1"/>
  <c r="E28" i="33"/>
  <c r="E24" i="33"/>
  <c r="E19" i="33"/>
  <c r="E12" i="32"/>
  <c r="E27" i="33"/>
  <c r="G27" i="33" s="1"/>
  <c r="E26" i="33"/>
  <c r="G26" i="33" s="1"/>
  <c r="E9" i="31"/>
  <c r="H39" i="32"/>
  <c r="R39" i="32" s="1"/>
  <c r="G34" i="31"/>
  <c r="I34" i="31" s="1"/>
  <c r="Z41" i="33"/>
  <c r="AA41" i="33" s="1"/>
  <c r="K41" i="33"/>
  <c r="Y22" i="33"/>
  <c r="Q11" i="32"/>
  <c r="S11" i="32" s="1"/>
  <c r="Y11" i="32" s="1"/>
  <c r="Z16" i="33"/>
  <c r="AA16" i="33" s="1"/>
  <c r="U16" i="33"/>
  <c r="Z15" i="36"/>
  <c r="AA15" i="36" s="1"/>
  <c r="U15" i="36"/>
  <c r="G37" i="32"/>
  <c r="Q37" i="32" s="1"/>
  <c r="S37" i="32" s="1"/>
  <c r="H35" i="32"/>
  <c r="R35" i="32" s="1"/>
  <c r="E35" i="33"/>
  <c r="F26" i="32"/>
  <c r="E29" i="32"/>
  <c r="Q18" i="31"/>
  <c r="G38" i="31"/>
  <c r="I38" i="31" s="1"/>
  <c r="Q26" i="31"/>
  <c r="S26" i="31" s="1"/>
  <c r="Y26" i="31" s="1"/>
  <c r="G35" i="32"/>
  <c r="I35" i="32" s="1"/>
  <c r="Q35" i="31"/>
  <c r="S35" i="31" s="1"/>
  <c r="Q19" i="31"/>
  <c r="S19" i="31" s="1"/>
  <c r="Y19" i="31" s="1"/>
  <c r="I14" i="34"/>
  <c r="Z16" i="36"/>
  <c r="AA16" i="36" s="1"/>
  <c r="U16" i="36"/>
  <c r="Z15" i="32"/>
  <c r="AA15" i="32" s="1"/>
  <c r="U15" i="32"/>
  <c r="E14" i="36"/>
  <c r="F24" i="34"/>
  <c r="H24" i="34" s="1"/>
  <c r="R24" i="34" s="1"/>
  <c r="F22" i="34"/>
  <c r="H22" i="34" s="1"/>
  <c r="R22" i="34" s="1"/>
  <c r="E22" i="35"/>
  <c r="E11" i="34"/>
  <c r="E8" i="32"/>
  <c r="F37" i="33"/>
  <c r="F35" i="33"/>
  <c r="H35" i="33" s="1"/>
  <c r="R35" i="33" s="1"/>
  <c r="F33" i="32"/>
  <c r="H33" i="32" s="1"/>
  <c r="R33" i="32" s="1"/>
  <c r="F23" i="33"/>
  <c r="F39" i="33"/>
  <c r="Q34" i="31" l="1"/>
  <c r="S34" i="31" s="1"/>
  <c r="U34" i="31" s="1"/>
  <c r="Q24" i="32"/>
  <c r="S24" i="32" s="1"/>
  <c r="Q35" i="32"/>
  <c r="S35" i="32" s="1"/>
  <c r="Y35" i="32" s="1"/>
  <c r="Q22" i="34"/>
  <c r="S22" i="34" s="1"/>
  <c r="Y22" i="34" s="1"/>
  <c r="Y27" i="31"/>
  <c r="AA27" i="31" s="1"/>
  <c r="Q38" i="31"/>
  <c r="S38" i="31" s="1"/>
  <c r="U38" i="31" s="1"/>
  <c r="Q39" i="31"/>
  <c r="S39" i="31" s="1"/>
  <c r="Y39" i="31" s="1"/>
  <c r="Q28" i="32"/>
  <c r="S28" i="32" s="1"/>
  <c r="Y28" i="32" s="1"/>
  <c r="E27" i="34"/>
  <c r="E26" i="34"/>
  <c r="H37" i="33"/>
  <c r="R37" i="33" s="1"/>
  <c r="E12" i="33"/>
  <c r="G19" i="33"/>
  <c r="I19" i="33" s="1"/>
  <c r="G38" i="32"/>
  <c r="I38" i="32" s="1"/>
  <c r="Q26" i="32"/>
  <c r="S26" i="32" s="1"/>
  <c r="G33" i="32"/>
  <c r="I33" i="32" s="1"/>
  <c r="Y14" i="35"/>
  <c r="Q29" i="31"/>
  <c r="S29" i="31" s="1"/>
  <c r="U29" i="31" s="1"/>
  <c r="G14" i="36"/>
  <c r="I14" i="36" s="1"/>
  <c r="G8" i="32"/>
  <c r="Q8" i="32" s="1"/>
  <c r="E10" i="31"/>
  <c r="E44" i="31" s="1"/>
  <c r="H26" i="32"/>
  <c r="R26" i="32" s="1"/>
  <c r="G24" i="33"/>
  <c r="I24" i="33" s="1"/>
  <c r="K18" i="31"/>
  <c r="G34" i="32"/>
  <c r="I34" i="32" s="1"/>
  <c r="K29" i="31"/>
  <c r="F28" i="33"/>
  <c r="H28" i="33" s="1"/>
  <c r="R28" i="33" s="1"/>
  <c r="E35" i="34"/>
  <c r="G9" i="31"/>
  <c r="Q9" i="31" s="1"/>
  <c r="G28" i="33"/>
  <c r="I28" i="33" s="1"/>
  <c r="G40" i="31"/>
  <c r="I40" i="31" s="1"/>
  <c r="E28" i="34"/>
  <c r="E9" i="32"/>
  <c r="F26" i="33"/>
  <c r="H26" i="33" s="1"/>
  <c r="R26" i="33" s="1"/>
  <c r="E39" i="33"/>
  <c r="E24" i="34"/>
  <c r="E19" i="34"/>
  <c r="G35" i="33"/>
  <c r="I35" i="33" s="1"/>
  <c r="G18" i="33"/>
  <c r="Q18" i="33" s="1"/>
  <c r="Y33" i="31"/>
  <c r="I23" i="32"/>
  <c r="E23" i="34"/>
  <c r="E18" i="34"/>
  <c r="E38" i="33"/>
  <c r="G11" i="34"/>
  <c r="I11" i="34" s="1"/>
  <c r="G22" i="35"/>
  <c r="I22" i="35" s="1"/>
  <c r="Y14" i="34"/>
  <c r="K38" i="31"/>
  <c r="Q26" i="33"/>
  <c r="S26" i="33" s="1"/>
  <c r="I26" i="33"/>
  <c r="Q39" i="32"/>
  <c r="S39" i="32" s="1"/>
  <c r="I39" i="32"/>
  <c r="Q23" i="33"/>
  <c r="S23" i="33" s="1"/>
  <c r="I23" i="33"/>
  <c r="S8" i="31"/>
  <c r="Q36" i="32"/>
  <c r="S36" i="32" s="1"/>
  <c r="U36" i="32" s="1"/>
  <c r="I36" i="32"/>
  <c r="S18" i="32"/>
  <c r="T18" i="32"/>
  <c r="G13" i="31"/>
  <c r="Q13" i="31" s="1"/>
  <c r="I37" i="32"/>
  <c r="E37" i="34"/>
  <c r="G37" i="34" s="1"/>
  <c r="H23" i="33"/>
  <c r="R23" i="33" s="1"/>
  <c r="E36" i="33"/>
  <c r="E29" i="33"/>
  <c r="E40" i="32"/>
  <c r="G40" i="32" s="1"/>
  <c r="S18" i="31"/>
  <c r="Y18" i="31" s="1"/>
  <c r="T18" i="31"/>
  <c r="Z18" i="31" s="1"/>
  <c r="Q27" i="33"/>
  <c r="S27" i="33" s="1"/>
  <c r="U27" i="33" s="1"/>
  <c r="I27" i="33"/>
  <c r="G37" i="33"/>
  <c r="I37" i="33" s="1"/>
  <c r="I8" i="31"/>
  <c r="Y24" i="32"/>
  <c r="Y35" i="31"/>
  <c r="I18" i="32"/>
  <c r="J18" i="32"/>
  <c r="K36" i="31"/>
  <c r="H39" i="33"/>
  <c r="R39" i="33" s="1"/>
  <c r="E34" i="33"/>
  <c r="E33" i="33"/>
  <c r="E13" i="32"/>
  <c r="G29" i="32"/>
  <c r="I29" i="32" s="1"/>
  <c r="K34" i="31"/>
  <c r="Y34" i="31"/>
  <c r="AA34" i="31" s="1"/>
  <c r="G12" i="32"/>
  <c r="I12" i="32" s="1"/>
  <c r="Q12" i="31"/>
  <c r="I27" i="32"/>
  <c r="R33" i="31"/>
  <c r="Q11" i="33"/>
  <c r="S11" i="33" s="1"/>
  <c r="Q36" i="31"/>
  <c r="S36" i="31" s="1"/>
  <c r="U36" i="31" s="1"/>
  <c r="Q19" i="32"/>
  <c r="S19" i="32" s="1"/>
  <c r="Y19" i="32" s="1"/>
  <c r="F24" i="35"/>
  <c r="H24" i="35" s="1"/>
  <c r="R24" i="35" s="1"/>
  <c r="F22" i="35"/>
  <c r="H22" i="35" s="1"/>
  <c r="R22" i="35" s="1"/>
  <c r="E22" i="36"/>
  <c r="F35" i="34"/>
  <c r="F23" i="34"/>
  <c r="F39" i="34"/>
  <c r="H39" i="34" s="1"/>
  <c r="R39" i="34" s="1"/>
  <c r="E8" i="33"/>
  <c r="F33" i="33"/>
  <c r="H33" i="33" s="1"/>
  <c r="R33" i="33" s="1"/>
  <c r="F37" i="34"/>
  <c r="H37" i="34" s="1"/>
  <c r="R37" i="34" s="1"/>
  <c r="E19" i="35"/>
  <c r="Y29" i="31" l="1"/>
  <c r="AA29" i="31" s="1"/>
  <c r="Q11" i="34"/>
  <c r="S11" i="34" s="1"/>
  <c r="Q29" i="32"/>
  <c r="S29" i="32" s="1"/>
  <c r="U29" i="32" s="1"/>
  <c r="AA18" i="31"/>
  <c r="Q28" i="33"/>
  <c r="S28" i="33" s="1"/>
  <c r="Y28" i="33" s="1"/>
  <c r="Q35" i="33"/>
  <c r="S35" i="33" s="1"/>
  <c r="Y35" i="33" s="1"/>
  <c r="Q40" i="31"/>
  <c r="S40" i="31" s="1"/>
  <c r="U40" i="31" s="1"/>
  <c r="Q14" i="36"/>
  <c r="S14" i="36" s="1"/>
  <c r="Y14" i="36" s="1"/>
  <c r="Q19" i="33"/>
  <c r="S19" i="33" s="1"/>
  <c r="Y19" i="33" s="1"/>
  <c r="Y38" i="31"/>
  <c r="AA38" i="31" s="1"/>
  <c r="Q33" i="32"/>
  <c r="S33" i="32" s="1"/>
  <c r="Y33" i="32" s="1"/>
  <c r="U18" i="32"/>
  <c r="S9" i="31"/>
  <c r="E13" i="33"/>
  <c r="G13" i="33" s="1"/>
  <c r="G34" i="33"/>
  <c r="I34" i="33" s="1"/>
  <c r="B26" i="31"/>
  <c r="B15" i="31"/>
  <c r="N15" i="31" s="1"/>
  <c r="V15" i="31" s="1"/>
  <c r="AB15" i="31" s="1"/>
  <c r="B22" i="31"/>
  <c r="B28" i="31"/>
  <c r="B41" i="31"/>
  <c r="B21" i="31"/>
  <c r="B38" i="31"/>
  <c r="B10" i="31"/>
  <c r="B30" i="31"/>
  <c r="B9" i="31"/>
  <c r="B14" i="31"/>
  <c r="B27" i="31"/>
  <c r="B18" i="31"/>
  <c r="B37" i="31"/>
  <c r="B11" i="31"/>
  <c r="B29" i="31"/>
  <c r="B40" i="31"/>
  <c r="B13" i="31"/>
  <c r="B16" i="31"/>
  <c r="N16" i="31" s="1"/>
  <c r="V16" i="31" s="1"/>
  <c r="AB16" i="31" s="1"/>
  <c r="B23" i="31"/>
  <c r="B31" i="31"/>
  <c r="N31" i="31" s="1"/>
  <c r="V31" i="31" s="1"/>
  <c r="AB31" i="31" s="1"/>
  <c r="B35" i="31"/>
  <c r="B19" i="31"/>
  <c r="B39" i="31"/>
  <c r="N8" i="31"/>
  <c r="V8" i="31" s="1"/>
  <c r="B33" i="31"/>
  <c r="B36" i="31"/>
  <c r="L8" i="31"/>
  <c r="B34" i="31"/>
  <c r="B12" i="31"/>
  <c r="B42" i="31"/>
  <c r="B17" i="31"/>
  <c r="N17" i="31" s="1"/>
  <c r="V17" i="31" s="1"/>
  <c r="AB17" i="31" s="1"/>
  <c r="B24" i="31"/>
  <c r="I44" i="31"/>
  <c r="Y8" i="31"/>
  <c r="Y39" i="32"/>
  <c r="Q22" i="35"/>
  <c r="S22" i="35" s="1"/>
  <c r="Y22" i="35" s="1"/>
  <c r="G24" i="34"/>
  <c r="I24" i="34" s="1"/>
  <c r="G10" i="31"/>
  <c r="Q10" i="31" s="1"/>
  <c r="K38" i="32"/>
  <c r="G33" i="33"/>
  <c r="I33" i="33" s="1"/>
  <c r="G23" i="34"/>
  <c r="I23" i="34" s="1"/>
  <c r="G19" i="34"/>
  <c r="I19" i="34" s="1"/>
  <c r="G28" i="34"/>
  <c r="Q28" i="34" s="1"/>
  <c r="S28" i="34" s="1"/>
  <c r="E9" i="33"/>
  <c r="G9" i="33" s="1"/>
  <c r="N38" i="28"/>
  <c r="L30" i="28"/>
  <c r="N40" i="28"/>
  <c r="N31" i="28"/>
  <c r="V31" i="28" s="1"/>
  <c r="AB31" i="28" s="1"/>
  <c r="N27" i="28"/>
  <c r="N14" i="28"/>
  <c r="N10" i="28"/>
  <c r="N8" i="28"/>
  <c r="N23" i="28"/>
  <c r="L21" i="28"/>
  <c r="N22" i="28"/>
  <c r="N19" i="28"/>
  <c r="N17" i="28"/>
  <c r="V17" i="28" s="1"/>
  <c r="AB17" i="28" s="1"/>
  <c r="N41" i="28"/>
  <c r="V41" i="28" s="1"/>
  <c r="N12" i="28"/>
  <c r="N26" i="28"/>
  <c r="N21" i="28"/>
  <c r="V21" i="28" s="1"/>
  <c r="N13" i="28"/>
  <c r="N24" i="28"/>
  <c r="N42" i="28"/>
  <c r="V42" i="28" s="1"/>
  <c r="N11" i="28"/>
  <c r="N16" i="28"/>
  <c r="V16" i="28" s="1"/>
  <c r="AB16" i="28" s="1"/>
  <c r="N34" i="28"/>
  <c r="N35" i="28"/>
  <c r="L41" i="28"/>
  <c r="N29" i="28"/>
  <c r="N9" i="28"/>
  <c r="N30" i="28"/>
  <c r="V30" i="28" s="1"/>
  <c r="N37" i="28"/>
  <c r="N39" i="28"/>
  <c r="N15" i="28"/>
  <c r="V15" i="28" s="1"/>
  <c r="AB15" i="28" s="1"/>
  <c r="N28" i="28"/>
  <c r="N33" i="28"/>
  <c r="N36" i="28"/>
  <c r="L42" i="28"/>
  <c r="N18" i="28"/>
  <c r="B28" i="35"/>
  <c r="B30" i="35"/>
  <c r="B31" i="35"/>
  <c r="N31" i="35" s="1"/>
  <c r="V31" i="35" s="1"/>
  <c r="AB31" i="35" s="1"/>
  <c r="B36" i="35"/>
  <c r="B9" i="35"/>
  <c r="B35" i="35"/>
  <c r="B39" i="35"/>
  <c r="B42" i="35"/>
  <c r="B27" i="35"/>
  <c r="N8" i="35"/>
  <c r="B41" i="35"/>
  <c r="B29" i="35"/>
  <c r="B26" i="35"/>
  <c r="B37" i="35"/>
  <c r="B38" i="35"/>
  <c r="B34" i="35"/>
  <c r="B33" i="35"/>
  <c r="B40" i="35"/>
  <c r="B15" i="35"/>
  <c r="N15" i="35" s="1"/>
  <c r="V15" i="35" s="1"/>
  <c r="AB15" i="35" s="1"/>
  <c r="K18" i="32"/>
  <c r="Y18" i="32"/>
  <c r="G29" i="33"/>
  <c r="I29" i="33" s="1"/>
  <c r="Y23" i="32"/>
  <c r="G39" i="33"/>
  <c r="I39" i="33" s="1"/>
  <c r="Y11" i="33"/>
  <c r="Q38" i="32"/>
  <c r="S38" i="32" s="1"/>
  <c r="U38" i="32" s="1"/>
  <c r="E34" i="34"/>
  <c r="E33" i="34"/>
  <c r="E10" i="32"/>
  <c r="B40" i="32"/>
  <c r="B41" i="32"/>
  <c r="B10" i="32"/>
  <c r="B42" i="32"/>
  <c r="B39" i="32"/>
  <c r="B23" i="32"/>
  <c r="B12" i="32"/>
  <c r="B11" i="32"/>
  <c r="B9" i="32"/>
  <c r="B33" i="32"/>
  <c r="B27" i="32"/>
  <c r="B14" i="32"/>
  <c r="N8" i="32"/>
  <c r="V8" i="32" s="1"/>
  <c r="B36" i="32"/>
  <c r="B18" i="32"/>
  <c r="B15" i="32"/>
  <c r="N15" i="32" s="1"/>
  <c r="V15" i="32" s="1"/>
  <c r="AB15" i="32" s="1"/>
  <c r="B30" i="32"/>
  <c r="B24" i="32"/>
  <c r="B22" i="32"/>
  <c r="B35" i="32"/>
  <c r="B21" i="32"/>
  <c r="B19" i="32"/>
  <c r="B34" i="32"/>
  <c r="B37" i="32"/>
  <c r="B17" i="32"/>
  <c r="N17" i="32" s="1"/>
  <c r="V17" i="32" s="1"/>
  <c r="AB17" i="32" s="1"/>
  <c r="B13" i="32"/>
  <c r="B38" i="32"/>
  <c r="B16" i="32"/>
  <c r="N16" i="32" s="1"/>
  <c r="V16" i="32" s="1"/>
  <c r="AB16" i="32" s="1"/>
  <c r="B29" i="32"/>
  <c r="B28" i="32"/>
  <c r="B31" i="32"/>
  <c r="N31" i="32" s="1"/>
  <c r="V31" i="32" s="1"/>
  <c r="AB31" i="32" s="1"/>
  <c r="L8" i="32"/>
  <c r="B26" i="32"/>
  <c r="Q37" i="33"/>
  <c r="S37" i="33" s="1"/>
  <c r="Y37" i="33" s="1"/>
  <c r="Y37" i="32"/>
  <c r="Y36" i="32"/>
  <c r="AA36" i="32" s="1"/>
  <c r="K36" i="32"/>
  <c r="Y26" i="33"/>
  <c r="S18" i="33"/>
  <c r="T18" i="33"/>
  <c r="S8" i="32"/>
  <c r="Q40" i="32"/>
  <c r="S40" i="32" s="1"/>
  <c r="U40" i="32" s="1"/>
  <c r="I40" i="32"/>
  <c r="K34" i="32"/>
  <c r="E23" i="35"/>
  <c r="E18" i="35"/>
  <c r="H35" i="34"/>
  <c r="R35" i="34" s="1"/>
  <c r="Y27" i="32"/>
  <c r="AA27" i="32" s="1"/>
  <c r="K27" i="32"/>
  <c r="K29" i="32"/>
  <c r="Y29" i="32"/>
  <c r="AA29" i="32" s="1"/>
  <c r="N38" i="26"/>
  <c r="N27" i="26"/>
  <c r="N42" i="26"/>
  <c r="V42" i="26" s="1"/>
  <c r="N37" i="26"/>
  <c r="N31" i="26"/>
  <c r="V31" i="26" s="1"/>
  <c r="AB31" i="26" s="1"/>
  <c r="L41" i="26"/>
  <c r="N9" i="26"/>
  <c r="N13" i="26"/>
  <c r="N19" i="26"/>
  <c r="L30" i="26"/>
  <c r="N11" i="26"/>
  <c r="N16" i="26"/>
  <c r="V16" i="26" s="1"/>
  <c r="AB16" i="26" s="1"/>
  <c r="N8" i="26"/>
  <c r="N17" i="26"/>
  <c r="V17" i="26" s="1"/>
  <c r="AB17" i="26" s="1"/>
  <c r="L42" i="26"/>
  <c r="N12" i="26"/>
  <c r="N23" i="26"/>
  <c r="N35" i="26"/>
  <c r="N15" i="26"/>
  <c r="V15" i="26" s="1"/>
  <c r="AB15" i="26" s="1"/>
  <c r="N28" i="26"/>
  <c r="N24" i="26"/>
  <c r="N41" i="26"/>
  <c r="V41" i="26" s="1"/>
  <c r="N14" i="26"/>
  <c r="N33" i="26"/>
  <c r="N26" i="26"/>
  <c r="N40" i="26"/>
  <c r="N29" i="26"/>
  <c r="N39" i="26"/>
  <c r="N10" i="26"/>
  <c r="N34" i="26"/>
  <c r="N18" i="26"/>
  <c r="N21" i="26"/>
  <c r="V21" i="26" s="1"/>
  <c r="N30" i="26"/>
  <c r="V30" i="26" s="1"/>
  <c r="N22" i="26"/>
  <c r="N36" i="26"/>
  <c r="L21" i="26"/>
  <c r="B38" i="34"/>
  <c r="N38" i="34" s="1"/>
  <c r="B41" i="34"/>
  <c r="B37" i="34"/>
  <c r="B31" i="34"/>
  <c r="N31" i="34" s="1"/>
  <c r="V31" i="34" s="1"/>
  <c r="AB31" i="34" s="1"/>
  <c r="B28" i="34"/>
  <c r="N28" i="34" s="1"/>
  <c r="B9" i="34"/>
  <c r="N8" i="34"/>
  <c r="B29" i="34"/>
  <c r="B33" i="34"/>
  <c r="N33" i="34" s="1"/>
  <c r="B34" i="34"/>
  <c r="B30" i="34"/>
  <c r="B36" i="34"/>
  <c r="B35" i="34"/>
  <c r="B15" i="34"/>
  <c r="N15" i="34" s="1"/>
  <c r="V15" i="34" s="1"/>
  <c r="AB15" i="34" s="1"/>
  <c r="B40" i="34"/>
  <c r="B42" i="34"/>
  <c r="B27" i="34"/>
  <c r="B39" i="34"/>
  <c r="B26" i="34"/>
  <c r="K27" i="33"/>
  <c r="Y27" i="33"/>
  <c r="AA27" i="33" s="1"/>
  <c r="G36" i="33"/>
  <c r="I36" i="33" s="1"/>
  <c r="Y11" i="34"/>
  <c r="I18" i="33"/>
  <c r="J18" i="33"/>
  <c r="Q24" i="33"/>
  <c r="S24" i="33" s="1"/>
  <c r="Y24" i="33" s="1"/>
  <c r="E40" i="33"/>
  <c r="Q37" i="34"/>
  <c r="S37" i="34" s="1"/>
  <c r="I37" i="34"/>
  <c r="E28" i="35"/>
  <c r="B39" i="36"/>
  <c r="N39" i="36" s="1"/>
  <c r="B9" i="36"/>
  <c r="B27" i="36"/>
  <c r="B29" i="36"/>
  <c r="B35" i="36"/>
  <c r="B31" i="36"/>
  <c r="N31" i="36" s="1"/>
  <c r="V31" i="36" s="1"/>
  <c r="AB31" i="36" s="1"/>
  <c r="B26" i="36"/>
  <c r="B28" i="36"/>
  <c r="B15" i="36"/>
  <c r="N15" i="36" s="1"/>
  <c r="V15" i="36" s="1"/>
  <c r="AB15" i="36" s="1"/>
  <c r="B40" i="36"/>
  <c r="B37" i="36"/>
  <c r="B30" i="36"/>
  <c r="B42" i="36"/>
  <c r="B36" i="36"/>
  <c r="N8" i="36"/>
  <c r="B38" i="36"/>
  <c r="B34" i="36"/>
  <c r="B33" i="36"/>
  <c r="B41" i="36"/>
  <c r="T13" i="31"/>
  <c r="S13" i="31"/>
  <c r="G38" i="33"/>
  <c r="I38" i="33" s="1"/>
  <c r="I9" i="31"/>
  <c r="I8" i="32"/>
  <c r="F26" i="34"/>
  <c r="H26" i="34" s="1"/>
  <c r="R26" i="34" s="1"/>
  <c r="H23" i="34"/>
  <c r="R23" i="34" s="1"/>
  <c r="E39" i="34"/>
  <c r="E35" i="35"/>
  <c r="S12" i="31"/>
  <c r="G13" i="32"/>
  <c r="N18" i="27"/>
  <c r="N17" i="27"/>
  <c r="V17" i="27" s="1"/>
  <c r="AB17" i="27" s="1"/>
  <c r="N29" i="27"/>
  <c r="N31" i="27"/>
  <c r="V31" i="27" s="1"/>
  <c r="AB31" i="27" s="1"/>
  <c r="N41" i="27"/>
  <c r="V41" i="27" s="1"/>
  <c r="N22" i="27"/>
  <c r="N33" i="27"/>
  <c r="N9" i="27"/>
  <c r="N40" i="27"/>
  <c r="N21" i="27"/>
  <c r="V21" i="27" s="1"/>
  <c r="N27" i="27"/>
  <c r="N10" i="27"/>
  <c r="L30" i="27"/>
  <c r="N38" i="27"/>
  <c r="N19" i="27"/>
  <c r="N15" i="27"/>
  <c r="V15" i="27" s="1"/>
  <c r="AB15" i="27" s="1"/>
  <c r="N42" i="27"/>
  <c r="V42" i="27" s="1"/>
  <c r="L41" i="27"/>
  <c r="N30" i="27"/>
  <c r="V30" i="27" s="1"/>
  <c r="N11" i="27"/>
  <c r="L21" i="27"/>
  <c r="N35" i="27"/>
  <c r="N24" i="27"/>
  <c r="N28" i="27"/>
  <c r="N36" i="27"/>
  <c r="N26" i="27"/>
  <c r="N23" i="27"/>
  <c r="N14" i="27"/>
  <c r="N37" i="27"/>
  <c r="N34" i="27"/>
  <c r="L42" i="27"/>
  <c r="N12" i="27"/>
  <c r="N16" i="27"/>
  <c r="V16" i="27" s="1"/>
  <c r="AB16" i="27" s="1"/>
  <c r="N13" i="27"/>
  <c r="N8" i="27"/>
  <c r="N39" i="27"/>
  <c r="I13" i="31"/>
  <c r="J13" i="31"/>
  <c r="Z13" i="31" s="1"/>
  <c r="S44" i="31"/>
  <c r="G9" i="32"/>
  <c r="I9" i="32" s="1"/>
  <c r="K40" i="31"/>
  <c r="Y26" i="32"/>
  <c r="G26" i="34"/>
  <c r="I26" i="34" s="1"/>
  <c r="F28" i="34"/>
  <c r="H28" i="34" s="1"/>
  <c r="R28" i="34" s="1"/>
  <c r="G19" i="35"/>
  <c r="I19" i="35" s="1"/>
  <c r="E37" i="35"/>
  <c r="G8" i="33"/>
  <c r="Q8" i="33" s="1"/>
  <c r="G22" i="36"/>
  <c r="I22" i="36" s="1"/>
  <c r="E27" i="35"/>
  <c r="E26" i="35"/>
  <c r="E38" i="34"/>
  <c r="E36" i="34"/>
  <c r="G36" i="34" s="1"/>
  <c r="E12" i="34"/>
  <c r="E29" i="34"/>
  <c r="Q12" i="32"/>
  <c r="N10" i="29"/>
  <c r="N38" i="29"/>
  <c r="N28" i="29"/>
  <c r="N29" i="29"/>
  <c r="N16" i="29"/>
  <c r="V16" i="29" s="1"/>
  <c r="AB16" i="29" s="1"/>
  <c r="N17" i="29"/>
  <c r="V17" i="29" s="1"/>
  <c r="AB17" i="29" s="1"/>
  <c r="N13" i="29"/>
  <c r="N40" i="29"/>
  <c r="N36" i="29"/>
  <c r="N11" i="29"/>
  <c r="L30" i="29"/>
  <c r="N15" i="29"/>
  <c r="V15" i="29" s="1"/>
  <c r="AB15" i="29" s="1"/>
  <c r="N35" i="29"/>
  <c r="N9" i="29"/>
  <c r="N26" i="29"/>
  <c r="N8" i="29"/>
  <c r="N39" i="29"/>
  <c r="L21" i="29"/>
  <c r="N41" i="29"/>
  <c r="V41" i="29" s="1"/>
  <c r="N23" i="29"/>
  <c r="N37" i="29"/>
  <c r="L42" i="29"/>
  <c r="N30" i="29"/>
  <c r="V30" i="29" s="1"/>
  <c r="N22" i="29"/>
  <c r="L41" i="29"/>
  <c r="N21" i="29"/>
  <c r="V21" i="29" s="1"/>
  <c r="N14" i="29"/>
  <c r="N19" i="29"/>
  <c r="N18" i="29"/>
  <c r="N42" i="29"/>
  <c r="V42" i="29" s="1"/>
  <c r="N24" i="29"/>
  <c r="N27" i="29"/>
  <c r="N31" i="29"/>
  <c r="V31" i="29" s="1"/>
  <c r="AB31" i="29" s="1"/>
  <c r="N34" i="29"/>
  <c r="N33" i="29"/>
  <c r="N12" i="29"/>
  <c r="Y36" i="31"/>
  <c r="AA36" i="31" s="1"/>
  <c r="U18" i="31"/>
  <c r="Z18" i="32"/>
  <c r="Y23" i="33"/>
  <c r="G18" i="34"/>
  <c r="Q18" i="34" s="1"/>
  <c r="G35" i="34"/>
  <c r="I35" i="34" s="1"/>
  <c r="Q34" i="32"/>
  <c r="S34" i="32" s="1"/>
  <c r="U34" i="32" s="1"/>
  <c r="G12" i="33"/>
  <c r="I12" i="33" s="1"/>
  <c r="G27" i="34"/>
  <c r="I27" i="34" s="1"/>
  <c r="F22" i="36"/>
  <c r="H22" i="36" s="1"/>
  <c r="R22" i="36" s="1"/>
  <c r="E11" i="36"/>
  <c r="E19" i="36"/>
  <c r="F37" i="35"/>
  <c r="E24" i="35"/>
  <c r="E11" i="35"/>
  <c r="F35" i="35"/>
  <c r="F33" i="34"/>
  <c r="H33" i="34" s="1"/>
  <c r="R33" i="34" s="1"/>
  <c r="F23" i="35"/>
  <c r="F39" i="35"/>
  <c r="H39" i="35" s="1"/>
  <c r="R39" i="35" s="1"/>
  <c r="Y40" i="31" l="1"/>
  <c r="AA40" i="31" s="1"/>
  <c r="Q39" i="33"/>
  <c r="S39" i="33" s="1"/>
  <c r="Q12" i="33"/>
  <c r="S12" i="33" s="1"/>
  <c r="Q23" i="34"/>
  <c r="S23" i="34" s="1"/>
  <c r="Y23" i="34" s="1"/>
  <c r="Q27" i="34"/>
  <c r="S27" i="34" s="1"/>
  <c r="U27" i="34" s="1"/>
  <c r="AB41" i="27"/>
  <c r="Q19" i="35"/>
  <c r="S19" i="35" s="1"/>
  <c r="Y19" i="35" s="1"/>
  <c r="Q19" i="34"/>
  <c r="S19" i="34" s="1"/>
  <c r="Y19" i="34" s="1"/>
  <c r="V28" i="34"/>
  <c r="Q26" i="34"/>
  <c r="S26" i="34" s="1"/>
  <c r="Y26" i="34" s="1"/>
  <c r="AB41" i="28"/>
  <c r="Q33" i="33"/>
  <c r="S33" i="33" s="1"/>
  <c r="Y33" i="33" s="1"/>
  <c r="AB21" i="28"/>
  <c r="AB42" i="29"/>
  <c r="AB42" i="26"/>
  <c r="Q29" i="33"/>
  <c r="S29" i="33" s="1"/>
  <c r="U29" i="33" s="1"/>
  <c r="AB42" i="28"/>
  <c r="Q38" i="33"/>
  <c r="S38" i="33" s="1"/>
  <c r="U38" i="33" s="1"/>
  <c r="AB21" i="26"/>
  <c r="AB42" i="27"/>
  <c r="Q24" i="34"/>
  <c r="S24" i="34" s="1"/>
  <c r="Y24" i="34" s="1"/>
  <c r="Q34" i="33"/>
  <c r="S34" i="33" s="1"/>
  <c r="U34" i="33" s="1"/>
  <c r="U13" i="31"/>
  <c r="S18" i="34"/>
  <c r="T18" i="34"/>
  <c r="G11" i="36"/>
  <c r="I11" i="36" s="1"/>
  <c r="K27" i="34"/>
  <c r="S12" i="32"/>
  <c r="Q36" i="34"/>
  <c r="S36" i="34" s="1"/>
  <c r="U36" i="34" s="1"/>
  <c r="I36" i="34"/>
  <c r="S8" i="33"/>
  <c r="Q9" i="32"/>
  <c r="K13" i="31"/>
  <c r="Y13" i="31"/>
  <c r="AA13" i="31" s="1"/>
  <c r="G39" i="34"/>
  <c r="I39" i="34" s="1"/>
  <c r="N36" i="36"/>
  <c r="B19" i="34"/>
  <c r="B21" i="34"/>
  <c r="B23" i="34"/>
  <c r="B22" i="34"/>
  <c r="B24" i="34"/>
  <c r="B17" i="34"/>
  <c r="N17" i="34" s="1"/>
  <c r="V17" i="34" s="1"/>
  <c r="AB17" i="34" s="1"/>
  <c r="B11" i="34"/>
  <c r="B12" i="34"/>
  <c r="B10" i="34"/>
  <c r="N9" i="34"/>
  <c r="B18" i="34"/>
  <c r="B16" i="34"/>
  <c r="N16" i="34" s="1"/>
  <c r="V16" i="34" s="1"/>
  <c r="AB16" i="34" s="1"/>
  <c r="G23" i="35"/>
  <c r="I23" i="35" s="1"/>
  <c r="N28" i="32"/>
  <c r="V28" i="32" s="1"/>
  <c r="L28" i="32"/>
  <c r="N19" i="32"/>
  <c r="V19" i="32" s="1"/>
  <c r="L19" i="32"/>
  <c r="N36" i="32"/>
  <c r="V36" i="32" s="1"/>
  <c r="L36" i="32"/>
  <c r="N23" i="32"/>
  <c r="V23" i="32" s="1"/>
  <c r="L23" i="32"/>
  <c r="N41" i="35"/>
  <c r="V41" i="35" s="1"/>
  <c r="L41" i="35"/>
  <c r="N36" i="35"/>
  <c r="L39" i="31"/>
  <c r="N39" i="31"/>
  <c r="V39" i="31" s="1"/>
  <c r="N29" i="31"/>
  <c r="V29" i="31" s="1"/>
  <c r="L29" i="31"/>
  <c r="N10" i="31"/>
  <c r="V10" i="31" s="1"/>
  <c r="L10" i="31"/>
  <c r="K34" i="33"/>
  <c r="N26" i="36"/>
  <c r="N40" i="34"/>
  <c r="N34" i="32"/>
  <c r="V34" i="32" s="1"/>
  <c r="L34" i="32"/>
  <c r="L24" i="31"/>
  <c r="N24" i="31"/>
  <c r="V24" i="31" s="1"/>
  <c r="N40" i="31"/>
  <c r="V40" i="31" s="1"/>
  <c r="L40" i="31"/>
  <c r="N30" i="31"/>
  <c r="V30" i="31" s="1"/>
  <c r="L30" i="31"/>
  <c r="L26" i="31"/>
  <c r="N26" i="31"/>
  <c r="V26" i="31" s="1"/>
  <c r="E23" i="36"/>
  <c r="E18" i="36"/>
  <c r="E9" i="34"/>
  <c r="E29" i="35"/>
  <c r="E8" i="34"/>
  <c r="I18" i="34"/>
  <c r="J18" i="34"/>
  <c r="AB21" i="29"/>
  <c r="I13" i="32"/>
  <c r="J13" i="32"/>
  <c r="N42" i="36"/>
  <c r="V42" i="36" s="1"/>
  <c r="L42" i="36"/>
  <c r="N35" i="36"/>
  <c r="Y37" i="34"/>
  <c r="Y18" i="33"/>
  <c r="K18" i="33"/>
  <c r="L35" i="34"/>
  <c r="N35" i="34"/>
  <c r="Y34" i="32"/>
  <c r="AA34" i="32" s="1"/>
  <c r="N29" i="32"/>
  <c r="V29" i="32" s="1"/>
  <c r="L29" i="32"/>
  <c r="N21" i="32"/>
  <c r="V21" i="32" s="1"/>
  <c r="L21" i="32"/>
  <c r="N39" i="32"/>
  <c r="V39" i="32" s="1"/>
  <c r="L39" i="32"/>
  <c r="N40" i="35"/>
  <c r="N42" i="31"/>
  <c r="V42" i="31" s="1"/>
  <c r="L42" i="31"/>
  <c r="L19" i="31"/>
  <c r="N19" i="31"/>
  <c r="V19" i="31" s="1"/>
  <c r="N11" i="31"/>
  <c r="V11" i="31" s="1"/>
  <c r="L11" i="31"/>
  <c r="L38" i="31"/>
  <c r="N38" i="31"/>
  <c r="V38" i="31" s="1"/>
  <c r="AB21" i="27"/>
  <c r="H23" i="35"/>
  <c r="R23" i="35" s="1"/>
  <c r="E27" i="36"/>
  <c r="E26" i="36"/>
  <c r="H37" i="35"/>
  <c r="R37" i="35" s="1"/>
  <c r="E40" i="34"/>
  <c r="G40" i="34" s="1"/>
  <c r="P14" i="31"/>
  <c r="Y12" i="33"/>
  <c r="G38" i="34"/>
  <c r="Q38" i="34" s="1"/>
  <c r="I8" i="33"/>
  <c r="AB30" i="27"/>
  <c r="Q13" i="32"/>
  <c r="I44" i="32"/>
  <c r="Y8" i="32"/>
  <c r="L41" i="36"/>
  <c r="N41" i="36"/>
  <c r="V41" i="36" s="1"/>
  <c r="N30" i="36"/>
  <c r="V30" i="36" s="1"/>
  <c r="L30" i="36"/>
  <c r="N29" i="36"/>
  <c r="N36" i="34"/>
  <c r="L36" i="34"/>
  <c r="AB41" i="26"/>
  <c r="N35" i="32"/>
  <c r="V35" i="32" s="1"/>
  <c r="L35" i="32"/>
  <c r="L14" i="32"/>
  <c r="N14" i="32"/>
  <c r="V14" i="32" s="1"/>
  <c r="N42" i="32"/>
  <c r="V42" i="32" s="1"/>
  <c r="L42" i="32"/>
  <c r="G10" i="32"/>
  <c r="Q10" i="32" s="1"/>
  <c r="E44" i="32"/>
  <c r="N33" i="35"/>
  <c r="N27" i="35"/>
  <c r="N30" i="35"/>
  <c r="V30" i="35" s="1"/>
  <c r="L30" i="35"/>
  <c r="AB30" i="28"/>
  <c r="L28" i="34"/>
  <c r="I28" i="34"/>
  <c r="Y38" i="32"/>
  <c r="AA38" i="32" s="1"/>
  <c r="L12" i="31"/>
  <c r="N12" i="31"/>
  <c r="V12" i="31" s="1"/>
  <c r="N35" i="31"/>
  <c r="V35" i="31" s="1"/>
  <c r="L35" i="31"/>
  <c r="N37" i="31"/>
  <c r="V37" i="31" s="1"/>
  <c r="L37" i="31"/>
  <c r="N21" i="31"/>
  <c r="V21" i="31" s="1"/>
  <c r="L21" i="31"/>
  <c r="Q13" i="33"/>
  <c r="J13" i="33"/>
  <c r="I13" i="33"/>
  <c r="L18" i="32"/>
  <c r="N18" i="32"/>
  <c r="V18" i="32" s="1"/>
  <c r="B23" i="35"/>
  <c r="N9" i="35"/>
  <c r="B22" i="35"/>
  <c r="B21" i="35"/>
  <c r="B18" i="35"/>
  <c r="B12" i="35"/>
  <c r="B10" i="35"/>
  <c r="B11" i="35"/>
  <c r="B16" i="35"/>
  <c r="N16" i="35" s="1"/>
  <c r="V16" i="35" s="1"/>
  <c r="AB16" i="35" s="1"/>
  <c r="B19" i="35"/>
  <c r="B17" i="35"/>
  <c r="N17" i="35" s="1"/>
  <c r="V17" i="35" s="1"/>
  <c r="AB17" i="35" s="1"/>
  <c r="B24" i="35"/>
  <c r="Q9" i="33"/>
  <c r="S9" i="33" s="1"/>
  <c r="I9" i="33"/>
  <c r="E36" i="35"/>
  <c r="D14" i="31"/>
  <c r="AB30" i="29"/>
  <c r="G29" i="34"/>
  <c r="I29" i="34" s="1"/>
  <c r="G37" i="35"/>
  <c r="I37" i="35" s="1"/>
  <c r="Y12" i="31"/>
  <c r="Y9" i="31"/>
  <c r="N33" i="36"/>
  <c r="N37" i="36"/>
  <c r="N27" i="36"/>
  <c r="G40" i="33"/>
  <c r="I40" i="33" s="1"/>
  <c r="N26" i="34"/>
  <c r="V26" i="34" s="1"/>
  <c r="L26" i="34"/>
  <c r="N30" i="34"/>
  <c r="V30" i="34" s="1"/>
  <c r="L30" i="34"/>
  <c r="N37" i="34"/>
  <c r="V37" i="34" s="1"/>
  <c r="L37" i="34"/>
  <c r="K40" i="32"/>
  <c r="Y40" i="32"/>
  <c r="AA40" i="32" s="1"/>
  <c r="Z18" i="33"/>
  <c r="L38" i="32"/>
  <c r="N38" i="32"/>
  <c r="V38" i="32" s="1"/>
  <c r="N22" i="32"/>
  <c r="V22" i="32" s="1"/>
  <c r="L22" i="32"/>
  <c r="N27" i="32"/>
  <c r="V27" i="32" s="1"/>
  <c r="L27" i="32"/>
  <c r="N10" i="32"/>
  <c r="K29" i="33"/>
  <c r="N34" i="35"/>
  <c r="L42" i="35"/>
  <c r="N42" i="35"/>
  <c r="V42" i="35" s="1"/>
  <c r="N28" i="35"/>
  <c r="N34" i="31"/>
  <c r="V34" i="31" s="1"/>
  <c r="L34" i="31"/>
  <c r="L18" i="31"/>
  <c r="N18" i="31"/>
  <c r="V18" i="31" s="1"/>
  <c r="N41" i="31"/>
  <c r="V41" i="31" s="1"/>
  <c r="L41" i="31"/>
  <c r="N29" i="35"/>
  <c r="E34" i="35"/>
  <c r="E33" i="35"/>
  <c r="G11" i="35"/>
  <c r="I11" i="35" s="1"/>
  <c r="E39" i="35"/>
  <c r="G39" i="35" s="1"/>
  <c r="L39" i="35" s="1"/>
  <c r="F28" i="35"/>
  <c r="H28" i="35" s="1"/>
  <c r="R28" i="35" s="1"/>
  <c r="G26" i="35"/>
  <c r="I26" i="35" s="1"/>
  <c r="N34" i="36"/>
  <c r="N40" i="36"/>
  <c r="B23" i="36"/>
  <c r="B10" i="36"/>
  <c r="B11" i="36"/>
  <c r="B24" i="36"/>
  <c r="B22" i="36"/>
  <c r="B17" i="36"/>
  <c r="N17" i="36" s="1"/>
  <c r="V17" i="36" s="1"/>
  <c r="AB17" i="36" s="1"/>
  <c r="B18" i="36"/>
  <c r="B19" i="36"/>
  <c r="B16" i="36"/>
  <c r="N16" i="36" s="1"/>
  <c r="V16" i="36" s="1"/>
  <c r="AB16" i="36" s="1"/>
  <c r="B21" i="36"/>
  <c r="B12" i="36"/>
  <c r="N9" i="36"/>
  <c r="N39" i="34"/>
  <c r="N34" i="34"/>
  <c r="N41" i="34"/>
  <c r="V41" i="34" s="1"/>
  <c r="L41" i="34"/>
  <c r="U18" i="33"/>
  <c r="N13" i="32"/>
  <c r="L13" i="32"/>
  <c r="N24" i="32"/>
  <c r="V24" i="32" s="1"/>
  <c r="L24" i="32"/>
  <c r="N33" i="32"/>
  <c r="V33" i="32" s="1"/>
  <c r="L33" i="32"/>
  <c r="N41" i="32"/>
  <c r="V41" i="32" s="1"/>
  <c r="L41" i="32"/>
  <c r="N38" i="35"/>
  <c r="T10" i="31"/>
  <c r="S10" i="31"/>
  <c r="AB8" i="31"/>
  <c r="L23" i="31"/>
  <c r="N23" i="31"/>
  <c r="V23" i="31" s="1"/>
  <c r="N27" i="31"/>
  <c r="V27" i="31" s="1"/>
  <c r="L27" i="31"/>
  <c r="L28" i="31"/>
  <c r="N28" i="31"/>
  <c r="V28" i="31" s="1"/>
  <c r="E37" i="36"/>
  <c r="G18" i="35"/>
  <c r="Q18" i="35" s="1"/>
  <c r="N12" i="32"/>
  <c r="V12" i="32" s="1"/>
  <c r="L12" i="32"/>
  <c r="H35" i="35"/>
  <c r="R35" i="35" s="1"/>
  <c r="E38" i="35"/>
  <c r="G24" i="35"/>
  <c r="I24" i="35" s="1"/>
  <c r="E12" i="35"/>
  <c r="E10" i="33"/>
  <c r="E44" i="33" s="1"/>
  <c r="F26" i="35"/>
  <c r="H26" i="35" s="1"/>
  <c r="R26" i="35" s="1"/>
  <c r="G19" i="36"/>
  <c r="I19" i="36" s="1"/>
  <c r="E13" i="34"/>
  <c r="AB41" i="29"/>
  <c r="G27" i="35"/>
  <c r="I27" i="35" s="1"/>
  <c r="K36" i="33"/>
  <c r="L27" i="34"/>
  <c r="N27" i="34"/>
  <c r="AB30" i="26"/>
  <c r="L26" i="32"/>
  <c r="N26" i="32"/>
  <c r="V26" i="32" s="1"/>
  <c r="N30" i="32"/>
  <c r="V30" i="32" s="1"/>
  <c r="L30" i="32"/>
  <c r="L9" i="32"/>
  <c r="N9" i="32"/>
  <c r="L40" i="32"/>
  <c r="N40" i="32"/>
  <c r="V40" i="32" s="1"/>
  <c r="G33" i="34"/>
  <c r="Y39" i="33"/>
  <c r="N37" i="35"/>
  <c r="N39" i="35"/>
  <c r="J10" i="31"/>
  <c r="I10" i="31"/>
  <c r="G44" i="31"/>
  <c r="Y44" i="31"/>
  <c r="N36" i="31"/>
  <c r="V36" i="31" s="1"/>
  <c r="L36" i="31"/>
  <c r="N14" i="31"/>
  <c r="V14" i="31" s="1"/>
  <c r="L14" i="31"/>
  <c r="N22" i="31"/>
  <c r="V22" i="31" s="1"/>
  <c r="L22" i="31"/>
  <c r="Q44" i="31"/>
  <c r="E28" i="36"/>
  <c r="E35" i="36"/>
  <c r="D24" i="31"/>
  <c r="F24" i="36"/>
  <c r="H24" i="36" s="1"/>
  <c r="R24" i="36" s="1"/>
  <c r="Q35" i="34"/>
  <c r="S35" i="34" s="1"/>
  <c r="Y35" i="34" s="1"/>
  <c r="G12" i="34"/>
  <c r="Q12" i="34" s="1"/>
  <c r="S12" i="34" s="1"/>
  <c r="Q22" i="36"/>
  <c r="S22" i="36" s="1"/>
  <c r="Y22" i="36" s="1"/>
  <c r="G35" i="35"/>
  <c r="I35" i="35" s="1"/>
  <c r="K38" i="33"/>
  <c r="N38" i="36"/>
  <c r="N28" i="36"/>
  <c r="G28" i="35"/>
  <c r="I28" i="35" s="1"/>
  <c r="Q36" i="33"/>
  <c r="S36" i="33" s="1"/>
  <c r="U36" i="33" s="1"/>
  <c r="N42" i="34"/>
  <c r="V42" i="34" s="1"/>
  <c r="L42" i="34"/>
  <c r="N29" i="34"/>
  <c r="S44" i="32"/>
  <c r="AB8" i="32"/>
  <c r="N37" i="32"/>
  <c r="V37" i="32" s="1"/>
  <c r="L37" i="32"/>
  <c r="L11" i="32"/>
  <c r="N11" i="32"/>
  <c r="V11" i="32" s="1"/>
  <c r="G34" i="34"/>
  <c r="I34" i="34" s="1"/>
  <c r="AA18" i="32"/>
  <c r="N26" i="35"/>
  <c r="N35" i="35"/>
  <c r="N33" i="31"/>
  <c r="V33" i="31" s="1"/>
  <c r="L33" i="31"/>
  <c r="N13" i="31"/>
  <c r="V13" i="31" s="1"/>
  <c r="L13" i="31"/>
  <c r="N9" i="31"/>
  <c r="V9" i="31" s="1"/>
  <c r="L9" i="31"/>
  <c r="F24" i="26"/>
  <c r="F22" i="26"/>
  <c r="P23" i="31"/>
  <c r="P9" i="31"/>
  <c r="F37" i="36"/>
  <c r="H37" i="36" s="1"/>
  <c r="R37" i="36" s="1"/>
  <c r="E8" i="35"/>
  <c r="F23" i="36"/>
  <c r="H23" i="36" s="1"/>
  <c r="R23" i="36" s="1"/>
  <c r="F33" i="35"/>
  <c r="P12" i="31"/>
  <c r="D12" i="31"/>
  <c r="P24" i="31"/>
  <c r="E24" i="36"/>
  <c r="P11" i="31"/>
  <c r="D11" i="31"/>
  <c r="Y29" i="33" l="1"/>
  <c r="AA29" i="33" s="1"/>
  <c r="V36" i="34"/>
  <c r="AB35" i="32"/>
  <c r="AB19" i="32"/>
  <c r="AB28" i="34"/>
  <c r="Q11" i="36"/>
  <c r="S11" i="36" s="1"/>
  <c r="Y11" i="36" s="1"/>
  <c r="AB18" i="32"/>
  <c r="AB27" i="31"/>
  <c r="AB33" i="32"/>
  <c r="AB36" i="32"/>
  <c r="AB11" i="31"/>
  <c r="AB33" i="31"/>
  <c r="AB42" i="34"/>
  <c r="V27" i="34"/>
  <c r="AB27" i="34" s="1"/>
  <c r="AB41" i="31"/>
  <c r="Q39" i="34"/>
  <c r="S39" i="34" s="1"/>
  <c r="Y39" i="34" s="1"/>
  <c r="Y27" i="34"/>
  <c r="AA27" i="34" s="1"/>
  <c r="AB41" i="34"/>
  <c r="Y38" i="33"/>
  <c r="AA38" i="33" s="1"/>
  <c r="AB30" i="32"/>
  <c r="Q27" i="35"/>
  <c r="S27" i="35" s="1"/>
  <c r="U27" i="35" s="1"/>
  <c r="AB42" i="31"/>
  <c r="AB29" i="32"/>
  <c r="L37" i="35"/>
  <c r="L10" i="32"/>
  <c r="L44" i="32" s="1"/>
  <c r="Q11" i="35"/>
  <c r="S11" i="35" s="1"/>
  <c r="Y11" i="35" s="1"/>
  <c r="AB26" i="34"/>
  <c r="AB30" i="35"/>
  <c r="AB9" i="31"/>
  <c r="Q19" i="36"/>
  <c r="S19" i="36" s="1"/>
  <c r="Y19" i="36" s="1"/>
  <c r="AB12" i="32"/>
  <c r="Q40" i="33"/>
  <c r="S40" i="33" s="1"/>
  <c r="U40" i="33" s="1"/>
  <c r="AB30" i="36"/>
  <c r="Y34" i="33"/>
  <c r="AA34" i="33" s="1"/>
  <c r="AB28" i="32"/>
  <c r="AB41" i="35"/>
  <c r="S38" i="34"/>
  <c r="U38" i="34" s="1"/>
  <c r="V38" i="34"/>
  <c r="Z18" i="34"/>
  <c r="AB24" i="32"/>
  <c r="L39" i="34"/>
  <c r="Q26" i="35"/>
  <c r="S26" i="35" s="1"/>
  <c r="Y26" i="35" s="1"/>
  <c r="L27" i="35"/>
  <c r="AB14" i="32"/>
  <c r="AB34" i="32"/>
  <c r="AB29" i="31"/>
  <c r="AB13" i="31"/>
  <c r="V9" i="32"/>
  <c r="AB9" i="32" s="1"/>
  <c r="AB30" i="34"/>
  <c r="AB10" i="31"/>
  <c r="V44" i="31"/>
  <c r="AB21" i="31"/>
  <c r="G44" i="32"/>
  <c r="Q35" i="35"/>
  <c r="S35" i="35" s="1"/>
  <c r="Y35" i="35" s="1"/>
  <c r="AB22" i="31"/>
  <c r="L29" i="34"/>
  <c r="AB27" i="32"/>
  <c r="AA18" i="33"/>
  <c r="L35" i="35"/>
  <c r="AB28" i="31"/>
  <c r="V13" i="32"/>
  <c r="AB13" i="32" s="1"/>
  <c r="AB34" i="31"/>
  <c r="AB22" i="32"/>
  <c r="Q29" i="34"/>
  <c r="S29" i="34" s="1"/>
  <c r="U29" i="34" s="1"/>
  <c r="AB36" i="34"/>
  <c r="D24" i="32"/>
  <c r="J24" i="32" s="1"/>
  <c r="K24" i="32" s="1"/>
  <c r="D24" i="34"/>
  <c r="J24" i="34" s="1"/>
  <c r="D24" i="35"/>
  <c r="J24" i="35" s="1"/>
  <c r="K24" i="35" s="1"/>
  <c r="D24" i="36"/>
  <c r="J24" i="36" s="1"/>
  <c r="D24" i="33"/>
  <c r="J24" i="33" s="1"/>
  <c r="J24" i="31"/>
  <c r="V10" i="32"/>
  <c r="T10" i="32"/>
  <c r="S10" i="32"/>
  <c r="E38" i="36"/>
  <c r="N18" i="36"/>
  <c r="T14" i="31"/>
  <c r="U14" i="31" s="1"/>
  <c r="P14" i="35"/>
  <c r="T14" i="35" s="1"/>
  <c r="U14" i="35" s="1"/>
  <c r="P14" i="32"/>
  <c r="T14" i="32" s="1"/>
  <c r="U14" i="32" s="1"/>
  <c r="P14" i="33"/>
  <c r="T14" i="33" s="1"/>
  <c r="U14" i="33" s="1"/>
  <c r="P14" i="36"/>
  <c r="T14" i="36" s="1"/>
  <c r="U14" i="36" s="1"/>
  <c r="P14" i="34"/>
  <c r="T14" i="34" s="1"/>
  <c r="U14" i="34" s="1"/>
  <c r="E9" i="35"/>
  <c r="Q34" i="34"/>
  <c r="AB36" i="31"/>
  <c r="AB40" i="32"/>
  <c r="Y36" i="33"/>
  <c r="AA36" i="33" s="1"/>
  <c r="Q24" i="35"/>
  <c r="S24" i="35" s="1"/>
  <c r="Y24" i="35" s="1"/>
  <c r="AB18" i="31"/>
  <c r="AB37" i="34"/>
  <c r="G36" i="35"/>
  <c r="N23" i="35"/>
  <c r="L23" i="35"/>
  <c r="AB35" i="31"/>
  <c r="S13" i="32"/>
  <c r="Y13" i="32" s="1"/>
  <c r="T13" i="32"/>
  <c r="Z13" i="32" s="1"/>
  <c r="I44" i="33"/>
  <c r="Y8" i="33"/>
  <c r="AB19" i="31"/>
  <c r="AB21" i="32"/>
  <c r="G8" i="34"/>
  <c r="N10" i="34"/>
  <c r="L19" i="34"/>
  <c r="N19" i="34"/>
  <c r="V19" i="34" s="1"/>
  <c r="F39" i="36"/>
  <c r="P23" i="36"/>
  <c r="T23" i="36" s="1"/>
  <c r="P23" i="35"/>
  <c r="T23" i="35" s="1"/>
  <c r="P23" i="34"/>
  <c r="T23" i="34" s="1"/>
  <c r="U23" i="34" s="1"/>
  <c r="P23" i="33"/>
  <c r="T23" i="33" s="1"/>
  <c r="U23" i="33" s="1"/>
  <c r="P23" i="32"/>
  <c r="T23" i="32" s="1"/>
  <c r="U23" i="32" s="1"/>
  <c r="T23" i="31"/>
  <c r="U23" i="31" s="1"/>
  <c r="K34" i="34"/>
  <c r="G28" i="36"/>
  <c r="Q28" i="36" s="1"/>
  <c r="S28" i="36" s="1"/>
  <c r="G38" i="35"/>
  <c r="S18" i="35"/>
  <c r="T18" i="35"/>
  <c r="L22" i="36"/>
  <c r="N22" i="36"/>
  <c r="V22" i="36" s="1"/>
  <c r="G33" i="35"/>
  <c r="Q33" i="35" s="1"/>
  <c r="S33" i="35" s="1"/>
  <c r="L28" i="35"/>
  <c r="N11" i="35"/>
  <c r="L11" i="35"/>
  <c r="K13" i="33"/>
  <c r="Q40" i="34"/>
  <c r="S40" i="34" s="1"/>
  <c r="U40" i="34" s="1"/>
  <c r="I40" i="34"/>
  <c r="K13" i="32"/>
  <c r="N12" i="34"/>
  <c r="V12" i="34" s="1"/>
  <c r="B13" i="34"/>
  <c r="Y36" i="34"/>
  <c r="AA36" i="34" s="1"/>
  <c r="K36" i="34"/>
  <c r="H33" i="35"/>
  <c r="R33" i="35" s="1"/>
  <c r="H22" i="26"/>
  <c r="AB11" i="32"/>
  <c r="Q28" i="35"/>
  <c r="S28" i="35" s="1"/>
  <c r="Y28" i="35" s="1"/>
  <c r="G35" i="36"/>
  <c r="Q35" i="36" s="1"/>
  <c r="S35" i="36" s="1"/>
  <c r="I18" i="35"/>
  <c r="J18" i="35"/>
  <c r="AB23" i="31"/>
  <c r="N24" i="36"/>
  <c r="G34" i="35"/>
  <c r="Q34" i="35" s="1"/>
  <c r="S34" i="35" s="1"/>
  <c r="U34" i="35" s="1"/>
  <c r="Q37" i="35"/>
  <c r="S37" i="35" s="1"/>
  <c r="Y37" i="35" s="1"/>
  <c r="Y9" i="33"/>
  <c r="N10" i="35"/>
  <c r="G29" i="35"/>
  <c r="Q29" i="35" s="1"/>
  <c r="AB24" i="31"/>
  <c r="L11" i="34"/>
  <c r="N11" i="34"/>
  <c r="V11" i="34" s="1"/>
  <c r="U18" i="34"/>
  <c r="G8" i="35"/>
  <c r="Q8" i="35" s="1"/>
  <c r="N21" i="34"/>
  <c r="V21" i="34" s="1"/>
  <c r="L21" i="34"/>
  <c r="E40" i="35"/>
  <c r="G40" i="35" s="1"/>
  <c r="G10" i="33"/>
  <c r="L44" i="31"/>
  <c r="N12" i="36"/>
  <c r="B13" i="36"/>
  <c r="N11" i="36"/>
  <c r="L11" i="36"/>
  <c r="N12" i="35"/>
  <c r="B13" i="35"/>
  <c r="S13" i="33"/>
  <c r="T13" i="33"/>
  <c r="Z13" i="33" s="1"/>
  <c r="AB12" i="31"/>
  <c r="L38" i="34"/>
  <c r="I38" i="34"/>
  <c r="AB26" i="31"/>
  <c r="Y12" i="32"/>
  <c r="P24" i="33"/>
  <c r="T24" i="33" s="1"/>
  <c r="U24" i="33" s="1"/>
  <c r="P24" i="36"/>
  <c r="T24" i="36" s="1"/>
  <c r="P24" i="35"/>
  <c r="T24" i="35" s="1"/>
  <c r="P24" i="34"/>
  <c r="T24" i="34" s="1"/>
  <c r="U24" i="34" s="1"/>
  <c r="P24" i="32"/>
  <c r="T24" i="32" s="1"/>
  <c r="T24" i="31"/>
  <c r="U24" i="31" s="1"/>
  <c r="G23" i="36"/>
  <c r="I23" i="36" s="1"/>
  <c r="D12" i="35"/>
  <c r="D12" i="33"/>
  <c r="J12" i="33" s="1"/>
  <c r="D12" i="34"/>
  <c r="J12" i="34" s="1"/>
  <c r="J12" i="31"/>
  <c r="D12" i="32"/>
  <c r="J12" i="32" s="1"/>
  <c r="D12" i="36"/>
  <c r="D11" i="32"/>
  <c r="J11" i="32" s="1"/>
  <c r="D11" i="36"/>
  <c r="J11" i="36" s="1"/>
  <c r="K11" i="36" s="1"/>
  <c r="D11" i="35"/>
  <c r="J11" i="35" s="1"/>
  <c r="K11" i="35" s="1"/>
  <c r="D11" i="33"/>
  <c r="J11" i="33" s="1"/>
  <c r="D11" i="34"/>
  <c r="J11" i="34" s="1"/>
  <c r="J11" i="31"/>
  <c r="E13" i="35"/>
  <c r="G13" i="35" s="1"/>
  <c r="F28" i="36"/>
  <c r="P9" i="32"/>
  <c r="T9" i="32" s="1"/>
  <c r="P9" i="33"/>
  <c r="T9" i="33" s="1"/>
  <c r="U9" i="33" s="1"/>
  <c r="P9" i="35"/>
  <c r="P9" i="34"/>
  <c r="P9" i="36"/>
  <c r="T9" i="31"/>
  <c r="H24" i="26"/>
  <c r="AB37" i="32"/>
  <c r="K10" i="31"/>
  <c r="Y10" i="31"/>
  <c r="K27" i="35"/>
  <c r="AB41" i="32"/>
  <c r="N21" i="36"/>
  <c r="V21" i="36" s="1"/>
  <c r="L21" i="36"/>
  <c r="N10" i="36"/>
  <c r="AB42" i="35"/>
  <c r="K29" i="34"/>
  <c r="J14" i="31"/>
  <c r="D14" i="36"/>
  <c r="J14" i="36" s="1"/>
  <c r="D14" i="33"/>
  <c r="J14" i="33" s="1"/>
  <c r="D14" i="35"/>
  <c r="J14" i="35" s="1"/>
  <c r="D14" i="34"/>
  <c r="J14" i="34" s="1"/>
  <c r="D14" i="32"/>
  <c r="J14" i="32" s="1"/>
  <c r="L18" i="35"/>
  <c r="N18" i="35"/>
  <c r="V18" i="35" s="1"/>
  <c r="AB41" i="36"/>
  <c r="AB38" i="31"/>
  <c r="Y18" i="34"/>
  <c r="K18" i="34"/>
  <c r="G9" i="34"/>
  <c r="Q9" i="34" s="1"/>
  <c r="L40" i="34"/>
  <c r="N24" i="34"/>
  <c r="V24" i="34" s="1"/>
  <c r="L24" i="34"/>
  <c r="E34" i="36"/>
  <c r="G34" i="36" s="1"/>
  <c r="E33" i="36"/>
  <c r="F26" i="36"/>
  <c r="H26" i="36" s="1"/>
  <c r="R26" i="36" s="1"/>
  <c r="E10" i="34"/>
  <c r="Z10" i="31"/>
  <c r="L33" i="34"/>
  <c r="I33" i="34"/>
  <c r="G13" i="34"/>
  <c r="Q13" i="34" s="1"/>
  <c r="G12" i="35"/>
  <c r="I12" i="35" s="1"/>
  <c r="G37" i="36"/>
  <c r="Q37" i="36" s="1"/>
  <c r="S37" i="36" s="1"/>
  <c r="L34" i="34"/>
  <c r="N23" i="36"/>
  <c r="Q39" i="35"/>
  <c r="S39" i="35" s="1"/>
  <c r="I39" i="35"/>
  <c r="AB38" i="32"/>
  <c r="N24" i="35"/>
  <c r="L24" i="35"/>
  <c r="L21" i="35"/>
  <c r="N21" i="35"/>
  <c r="V21" i="35" s="1"/>
  <c r="Y28" i="34"/>
  <c r="I10" i="32"/>
  <c r="J10" i="32"/>
  <c r="G26" i="36"/>
  <c r="Q26" i="36" s="1"/>
  <c r="S26" i="36" s="1"/>
  <c r="V35" i="34"/>
  <c r="AB35" i="34" s="1"/>
  <c r="AB30" i="31"/>
  <c r="AB39" i="31"/>
  <c r="N22" i="34"/>
  <c r="V22" i="34" s="1"/>
  <c r="L22" i="34"/>
  <c r="L19" i="35"/>
  <c r="N19" i="35"/>
  <c r="V19" i="35" s="1"/>
  <c r="S44" i="33"/>
  <c r="E39" i="36"/>
  <c r="P12" i="36"/>
  <c r="P12" i="35"/>
  <c r="P12" i="34"/>
  <c r="T12" i="34" s="1"/>
  <c r="U12" i="34" s="1"/>
  <c r="P12" i="33"/>
  <c r="T12" i="33" s="1"/>
  <c r="U12" i="33" s="1"/>
  <c r="P12" i="32"/>
  <c r="T12" i="32" s="1"/>
  <c r="U12" i="32" s="1"/>
  <c r="T12" i="31"/>
  <c r="U12" i="31" s="1"/>
  <c r="P11" i="36"/>
  <c r="T11" i="31"/>
  <c r="U11" i="31" s="1"/>
  <c r="P11" i="35"/>
  <c r="P11" i="33"/>
  <c r="T11" i="33" s="1"/>
  <c r="U11" i="33" s="1"/>
  <c r="P11" i="34"/>
  <c r="T11" i="34" s="1"/>
  <c r="U11" i="34" s="1"/>
  <c r="P11" i="32"/>
  <c r="T11" i="32" s="1"/>
  <c r="U11" i="32" s="1"/>
  <c r="G24" i="36"/>
  <c r="I24" i="36" s="1"/>
  <c r="E29" i="36"/>
  <c r="F35" i="36"/>
  <c r="H35" i="36" s="1"/>
  <c r="R35" i="36" s="1"/>
  <c r="E12" i="36"/>
  <c r="E36" i="36"/>
  <c r="L26" i="35"/>
  <c r="L12" i="34"/>
  <c r="I12" i="34"/>
  <c r="AB14" i="31"/>
  <c r="Q33" i="34"/>
  <c r="AB26" i="32"/>
  <c r="U10" i="31"/>
  <c r="L19" i="36"/>
  <c r="N19" i="36"/>
  <c r="K40" i="33"/>
  <c r="L22" i="35"/>
  <c r="N22" i="35"/>
  <c r="V22" i="35" s="1"/>
  <c r="AB37" i="31"/>
  <c r="AB42" i="32"/>
  <c r="Y44" i="32"/>
  <c r="G27" i="36"/>
  <c r="Q27" i="36" s="1"/>
  <c r="S27" i="36" s="1"/>
  <c r="U27" i="36" s="1"/>
  <c r="AB39" i="32"/>
  <c r="AB42" i="36"/>
  <c r="G18" i="36"/>
  <c r="L18" i="36" s="1"/>
  <c r="AB40" i="31"/>
  <c r="AB23" i="32"/>
  <c r="Q23" i="35"/>
  <c r="S23" i="35" s="1"/>
  <c r="N18" i="34"/>
  <c r="V18" i="34" s="1"/>
  <c r="L18" i="34"/>
  <c r="N23" i="34"/>
  <c r="V23" i="34" s="1"/>
  <c r="L23" i="34"/>
  <c r="S9" i="32"/>
  <c r="Q44" i="32"/>
  <c r="F24" i="27"/>
  <c r="H24" i="27" s="1"/>
  <c r="F22" i="27"/>
  <c r="F35" i="26"/>
  <c r="F23" i="26"/>
  <c r="F39" i="26"/>
  <c r="H39" i="26" s="1"/>
  <c r="F37" i="26"/>
  <c r="H37" i="26" s="1"/>
  <c r="D9" i="31"/>
  <c r="D23" i="31"/>
  <c r="D26" i="31"/>
  <c r="P35" i="31"/>
  <c r="D35" i="31"/>
  <c r="P22" i="31"/>
  <c r="D22" i="31"/>
  <c r="P19" i="31"/>
  <c r="D19" i="31"/>
  <c r="P8" i="31"/>
  <c r="P39" i="31"/>
  <c r="D39" i="31"/>
  <c r="AB12" i="34" l="1"/>
  <c r="Y18" i="35"/>
  <c r="AA18" i="34"/>
  <c r="Y40" i="33"/>
  <c r="AA40" i="33" s="1"/>
  <c r="AB38" i="34"/>
  <c r="V11" i="36"/>
  <c r="AB11" i="36" s="1"/>
  <c r="T11" i="36"/>
  <c r="Z11" i="36" s="1"/>
  <c r="AA11" i="36" s="1"/>
  <c r="Z10" i="32"/>
  <c r="Y27" i="35"/>
  <c r="AA27" i="35" s="1"/>
  <c r="AB22" i="34"/>
  <c r="V27" i="35"/>
  <c r="AB27" i="35" s="1"/>
  <c r="V39" i="34"/>
  <c r="AB39" i="34" s="1"/>
  <c r="AB44" i="31"/>
  <c r="T11" i="35"/>
  <c r="U11" i="35" s="1"/>
  <c r="AB10" i="32"/>
  <c r="V26" i="35"/>
  <c r="AB26" i="35" s="1"/>
  <c r="AA10" i="31"/>
  <c r="V19" i="36"/>
  <c r="AB19" i="36" s="1"/>
  <c r="Q18" i="36"/>
  <c r="V18" i="36" s="1"/>
  <c r="AB18" i="36" s="1"/>
  <c r="Q12" i="35"/>
  <c r="S12" i="35" s="1"/>
  <c r="Y12" i="35" s="1"/>
  <c r="V28" i="35"/>
  <c r="AB28" i="35" s="1"/>
  <c r="L23" i="36"/>
  <c r="Q23" i="36"/>
  <c r="S23" i="36" s="1"/>
  <c r="U23" i="36" s="1"/>
  <c r="V11" i="35"/>
  <c r="AB11" i="35" s="1"/>
  <c r="U10" i="32"/>
  <c r="V29" i="34"/>
  <c r="AB29" i="34" s="1"/>
  <c r="S29" i="35"/>
  <c r="U29" i="35" s="1"/>
  <c r="V29" i="35"/>
  <c r="U23" i="35"/>
  <c r="Q24" i="36"/>
  <c r="S24" i="36" s="1"/>
  <c r="Y24" i="36" s="1"/>
  <c r="AB21" i="36"/>
  <c r="V24" i="35"/>
  <c r="AB24" i="35" s="1"/>
  <c r="L24" i="36"/>
  <c r="V35" i="35"/>
  <c r="AB35" i="35" s="1"/>
  <c r="V28" i="36"/>
  <c r="V37" i="35"/>
  <c r="AB37" i="35" s="1"/>
  <c r="V33" i="35"/>
  <c r="V39" i="35"/>
  <c r="AB39" i="35" s="1"/>
  <c r="AB21" i="35"/>
  <c r="Y23" i="35"/>
  <c r="Y29" i="34"/>
  <c r="AA29" i="34" s="1"/>
  <c r="V26" i="36"/>
  <c r="AB24" i="34"/>
  <c r="AA13" i="32"/>
  <c r="D22" i="32"/>
  <c r="J22" i="32" s="1"/>
  <c r="K22" i="32" s="1"/>
  <c r="D22" i="36"/>
  <c r="J22" i="36" s="1"/>
  <c r="D22" i="33"/>
  <c r="J22" i="33" s="1"/>
  <c r="D22" i="34"/>
  <c r="J22" i="34" s="1"/>
  <c r="D22" i="35"/>
  <c r="J22" i="35" s="1"/>
  <c r="J22" i="31"/>
  <c r="E8" i="36"/>
  <c r="F26" i="26"/>
  <c r="H26" i="26" s="1"/>
  <c r="H22" i="27"/>
  <c r="U9" i="32"/>
  <c r="Y9" i="32"/>
  <c r="AB19" i="35"/>
  <c r="Y39" i="35"/>
  <c r="Z14" i="31"/>
  <c r="AA14" i="31" s="1"/>
  <c r="K14" i="31"/>
  <c r="R24" i="26"/>
  <c r="T9" i="34"/>
  <c r="Z11" i="31"/>
  <c r="AA11" i="31" s="1"/>
  <c r="K11" i="31"/>
  <c r="Z12" i="31"/>
  <c r="AA12" i="31" s="1"/>
  <c r="K12" i="31"/>
  <c r="Y38" i="34"/>
  <c r="AA38" i="34" s="1"/>
  <c r="K38" i="34"/>
  <c r="AB11" i="34"/>
  <c r="R22" i="26"/>
  <c r="I38" i="35"/>
  <c r="L38" i="35"/>
  <c r="P22" i="36"/>
  <c r="T22" i="36" s="1"/>
  <c r="U22" i="36" s="1"/>
  <c r="P22" i="34"/>
  <c r="T22" i="34" s="1"/>
  <c r="U22" i="34" s="1"/>
  <c r="P22" i="35"/>
  <c r="T22" i="35" s="1"/>
  <c r="U22" i="35" s="1"/>
  <c r="P22" i="33"/>
  <c r="T22" i="33" s="1"/>
  <c r="U22" i="33" s="1"/>
  <c r="P22" i="32"/>
  <c r="T22" i="32" s="1"/>
  <c r="T22" i="31"/>
  <c r="U22" i="31" s="1"/>
  <c r="J35" i="31"/>
  <c r="D35" i="32"/>
  <c r="J35" i="32" s="1"/>
  <c r="D35" i="36"/>
  <c r="J35" i="36" s="1"/>
  <c r="D35" i="35"/>
  <c r="J35" i="35" s="1"/>
  <c r="D35" i="33"/>
  <c r="J35" i="33" s="1"/>
  <c r="D35" i="34"/>
  <c r="J35" i="34" s="1"/>
  <c r="V33" i="34"/>
  <c r="AB33" i="34" s="1"/>
  <c r="S33" i="34"/>
  <c r="Y33" i="34" s="1"/>
  <c r="T13" i="34"/>
  <c r="S13" i="34"/>
  <c r="S9" i="34"/>
  <c r="Z11" i="34"/>
  <c r="AA11" i="34" s="1"/>
  <c r="K11" i="34"/>
  <c r="Z12" i="34"/>
  <c r="I10" i="33"/>
  <c r="J10" i="33"/>
  <c r="G44" i="33"/>
  <c r="V44" i="32"/>
  <c r="AB44" i="32" s="1"/>
  <c r="K40" i="34"/>
  <c r="Y40" i="34"/>
  <c r="AA40" i="34" s="1"/>
  <c r="V23" i="35"/>
  <c r="AB23" i="35" s="1"/>
  <c r="G38" i="36"/>
  <c r="Q38" i="36" s="1"/>
  <c r="Z24" i="31"/>
  <c r="AA24" i="31" s="1"/>
  <c r="K24" i="31"/>
  <c r="G12" i="36"/>
  <c r="P8" i="36"/>
  <c r="P8" i="35"/>
  <c r="T8" i="35" s="1"/>
  <c r="P8" i="33"/>
  <c r="T8" i="33" s="1"/>
  <c r="P8" i="34"/>
  <c r="P8" i="32"/>
  <c r="T8" i="32" s="1"/>
  <c r="T8" i="31"/>
  <c r="P35" i="32"/>
  <c r="T35" i="32" s="1"/>
  <c r="U35" i="32" s="1"/>
  <c r="P35" i="36"/>
  <c r="T35" i="36" s="1"/>
  <c r="U35" i="36" s="1"/>
  <c r="P35" i="33"/>
  <c r="T35" i="33" s="1"/>
  <c r="U35" i="33" s="1"/>
  <c r="P35" i="34"/>
  <c r="T35" i="34" s="1"/>
  <c r="U35" i="34" s="1"/>
  <c r="P35" i="35"/>
  <c r="T35" i="35" s="1"/>
  <c r="U35" i="35" s="1"/>
  <c r="T35" i="31"/>
  <c r="U35" i="31" s="1"/>
  <c r="D9" i="32"/>
  <c r="J9" i="32" s="1"/>
  <c r="D9" i="36"/>
  <c r="D9" i="35"/>
  <c r="D9" i="33"/>
  <c r="J9" i="33" s="1"/>
  <c r="D9" i="34"/>
  <c r="J9" i="34" s="1"/>
  <c r="J9" i="31"/>
  <c r="K9" i="31" s="1"/>
  <c r="R39" i="26"/>
  <c r="R24" i="27"/>
  <c r="S18" i="36"/>
  <c r="T18" i="36"/>
  <c r="I13" i="34"/>
  <c r="J13" i="34"/>
  <c r="I9" i="34"/>
  <c r="L9" i="34"/>
  <c r="AB18" i="35"/>
  <c r="Z11" i="33"/>
  <c r="AA11" i="33" s="1"/>
  <c r="K11" i="33"/>
  <c r="Z12" i="33"/>
  <c r="AA12" i="33" s="1"/>
  <c r="K12" i="33"/>
  <c r="Z24" i="32"/>
  <c r="AA24" i="32" s="1"/>
  <c r="U24" i="32"/>
  <c r="Q10" i="33"/>
  <c r="S8" i="35"/>
  <c r="V8" i="35"/>
  <c r="I34" i="35"/>
  <c r="L34" i="35"/>
  <c r="V27" i="36"/>
  <c r="I28" i="36"/>
  <c r="L28" i="36"/>
  <c r="I8" i="34"/>
  <c r="L8" i="34"/>
  <c r="Y44" i="33"/>
  <c r="I36" i="35"/>
  <c r="L36" i="35"/>
  <c r="Z24" i="33"/>
  <c r="AA24" i="33" s="1"/>
  <c r="K24" i="33"/>
  <c r="F28" i="26"/>
  <c r="H28" i="26" s="1"/>
  <c r="Z12" i="32"/>
  <c r="AA12" i="32" s="1"/>
  <c r="K12" i="32"/>
  <c r="D19" i="32"/>
  <c r="J19" i="32" s="1"/>
  <c r="D19" i="34"/>
  <c r="J19" i="34" s="1"/>
  <c r="K19" i="34" s="1"/>
  <c r="J19" i="31"/>
  <c r="D19" i="36"/>
  <c r="J19" i="36" s="1"/>
  <c r="D19" i="33"/>
  <c r="J19" i="33" s="1"/>
  <c r="D19" i="35"/>
  <c r="J19" i="35" s="1"/>
  <c r="R37" i="26"/>
  <c r="AB23" i="34"/>
  <c r="I18" i="36"/>
  <c r="J18" i="36"/>
  <c r="AB22" i="35"/>
  <c r="Y12" i="34"/>
  <c r="K12" i="34"/>
  <c r="G29" i="36"/>
  <c r="G39" i="36"/>
  <c r="Q39" i="36" s="1"/>
  <c r="K10" i="32"/>
  <c r="Y10" i="32"/>
  <c r="G33" i="36"/>
  <c r="Q33" i="36" s="1"/>
  <c r="Z14" i="32"/>
  <c r="AA14" i="32" s="1"/>
  <c r="K14" i="32"/>
  <c r="J12" i="35"/>
  <c r="K12" i="35" s="1"/>
  <c r="I8" i="35"/>
  <c r="L8" i="35"/>
  <c r="I35" i="36"/>
  <c r="L35" i="36"/>
  <c r="B14" i="34"/>
  <c r="N13" i="34"/>
  <c r="V13" i="34" s="1"/>
  <c r="L13" i="34"/>
  <c r="AB22" i="36"/>
  <c r="H39" i="36"/>
  <c r="R39" i="36" s="1"/>
  <c r="Q8" i="34"/>
  <c r="Q36" i="35"/>
  <c r="U24" i="35"/>
  <c r="Z24" i="36"/>
  <c r="G10" i="34"/>
  <c r="Q10" i="34" s="1"/>
  <c r="V10" i="34" s="1"/>
  <c r="P19" i="35"/>
  <c r="T19" i="35" s="1"/>
  <c r="U19" i="35" s="1"/>
  <c r="P19" i="34"/>
  <c r="T19" i="34" s="1"/>
  <c r="P19" i="33"/>
  <c r="T19" i="33" s="1"/>
  <c r="U19" i="33" s="1"/>
  <c r="P19" i="32"/>
  <c r="T19" i="32" s="1"/>
  <c r="U19" i="32" s="1"/>
  <c r="P19" i="36"/>
  <c r="T19" i="36" s="1"/>
  <c r="U19" i="36" s="1"/>
  <c r="T19" i="31"/>
  <c r="U19" i="31" s="1"/>
  <c r="I27" i="36"/>
  <c r="L27" i="36"/>
  <c r="I26" i="36"/>
  <c r="L26" i="36"/>
  <c r="Q34" i="36"/>
  <c r="I34" i="36"/>
  <c r="L34" i="36"/>
  <c r="Z14" i="34"/>
  <c r="AA14" i="34" s="1"/>
  <c r="K14" i="34"/>
  <c r="H28" i="36"/>
  <c r="R28" i="36" s="1"/>
  <c r="V40" i="34"/>
  <c r="AB40" i="34" s="1"/>
  <c r="Q40" i="35"/>
  <c r="I40" i="35"/>
  <c r="L40" i="35"/>
  <c r="I29" i="35"/>
  <c r="L29" i="35"/>
  <c r="U13" i="32"/>
  <c r="G9" i="35"/>
  <c r="Q9" i="35" s="1"/>
  <c r="Z24" i="35"/>
  <c r="AA24" i="35" s="1"/>
  <c r="Z14" i="36"/>
  <c r="AA14" i="36" s="1"/>
  <c r="K14" i="36"/>
  <c r="N13" i="35"/>
  <c r="B14" i="35"/>
  <c r="L13" i="35"/>
  <c r="D39" i="33"/>
  <c r="J39" i="33" s="1"/>
  <c r="D39" i="35"/>
  <c r="J39" i="35" s="1"/>
  <c r="K39" i="35" s="1"/>
  <c r="D39" i="34"/>
  <c r="J39" i="34" s="1"/>
  <c r="K39" i="34" s="1"/>
  <c r="D39" i="32"/>
  <c r="J39" i="32" s="1"/>
  <c r="D39" i="36"/>
  <c r="J39" i="31"/>
  <c r="K39" i="31" s="1"/>
  <c r="P39" i="34"/>
  <c r="T39" i="34" s="1"/>
  <c r="P39" i="33"/>
  <c r="T39" i="33" s="1"/>
  <c r="U39" i="33" s="1"/>
  <c r="P39" i="35"/>
  <c r="T39" i="35" s="1"/>
  <c r="P39" i="32"/>
  <c r="T39" i="32" s="1"/>
  <c r="U39" i="32" s="1"/>
  <c r="P39" i="36"/>
  <c r="T39" i="31"/>
  <c r="E13" i="36"/>
  <c r="D26" i="32"/>
  <c r="J26" i="32" s="1"/>
  <c r="K26" i="32" s="1"/>
  <c r="D26" i="34"/>
  <c r="J26" i="34" s="1"/>
  <c r="K26" i="34" s="1"/>
  <c r="D26" i="36"/>
  <c r="J26" i="36" s="1"/>
  <c r="D26" i="33"/>
  <c r="J26" i="33" s="1"/>
  <c r="D26" i="35"/>
  <c r="J26" i="35" s="1"/>
  <c r="J26" i="31"/>
  <c r="H23" i="26"/>
  <c r="H35" i="26"/>
  <c r="AB18" i="34"/>
  <c r="G36" i="36"/>
  <c r="V34" i="35"/>
  <c r="Z14" i="35"/>
  <c r="AA14" i="35" s="1"/>
  <c r="K14" i="35"/>
  <c r="Z11" i="32"/>
  <c r="AA11" i="32" s="1"/>
  <c r="K11" i="32"/>
  <c r="U13" i="33"/>
  <c r="N13" i="36"/>
  <c r="B14" i="36"/>
  <c r="Y13" i="33"/>
  <c r="AA13" i="33" s="1"/>
  <c r="I33" i="35"/>
  <c r="L33" i="35"/>
  <c r="U18" i="35"/>
  <c r="AB19" i="34"/>
  <c r="V34" i="34"/>
  <c r="AB34" i="34" s="1"/>
  <c r="S34" i="34"/>
  <c r="Z24" i="34"/>
  <c r="AA24" i="34" s="1"/>
  <c r="K24" i="34"/>
  <c r="E9" i="36"/>
  <c r="D23" i="33"/>
  <c r="J23" i="33" s="1"/>
  <c r="D23" i="35"/>
  <c r="J23" i="35" s="1"/>
  <c r="J23" i="31"/>
  <c r="D23" i="34"/>
  <c r="J23" i="34" s="1"/>
  <c r="D23" i="32"/>
  <c r="J23" i="32" s="1"/>
  <c r="D23" i="36"/>
  <c r="J23" i="36" s="1"/>
  <c r="Z23" i="36" s="1"/>
  <c r="E40" i="36"/>
  <c r="F33" i="36"/>
  <c r="H33" i="36" s="1"/>
  <c r="R33" i="36" s="1"/>
  <c r="E10" i="35"/>
  <c r="K24" i="36"/>
  <c r="I37" i="36"/>
  <c r="L37" i="36"/>
  <c r="Z14" i="33"/>
  <c r="AA14" i="33" s="1"/>
  <c r="K14" i="33"/>
  <c r="U9" i="31"/>
  <c r="Q13" i="35"/>
  <c r="J13" i="35"/>
  <c r="I13" i="35"/>
  <c r="V35" i="36"/>
  <c r="L12" i="35"/>
  <c r="AB21" i="34"/>
  <c r="V37" i="36"/>
  <c r="K18" i="35"/>
  <c r="Z18" i="35"/>
  <c r="AA18" i="35" s="1"/>
  <c r="Q38" i="35"/>
  <c r="V9" i="34"/>
  <c r="F24" i="28"/>
  <c r="F22" i="28"/>
  <c r="H22" i="28" s="1"/>
  <c r="F33" i="26"/>
  <c r="H33" i="26" s="1"/>
  <c r="F35" i="27"/>
  <c r="H35" i="27" s="1"/>
  <c r="F23" i="27"/>
  <c r="H23" i="27" s="1"/>
  <c r="F37" i="27"/>
  <c r="F39" i="27"/>
  <c r="P26" i="31"/>
  <c r="P37" i="31"/>
  <c r="D37" i="31"/>
  <c r="P30" i="31"/>
  <c r="D30" i="31"/>
  <c r="P28" i="31"/>
  <c r="D28" i="31"/>
  <c r="Z11" i="35" l="1"/>
  <c r="AA11" i="35" s="1"/>
  <c r="AA10" i="32"/>
  <c r="U9" i="34"/>
  <c r="U11" i="36"/>
  <c r="AB28" i="36"/>
  <c r="J39" i="36"/>
  <c r="T12" i="35"/>
  <c r="Z12" i="35" s="1"/>
  <c r="AA12" i="35" s="1"/>
  <c r="Z9" i="34"/>
  <c r="Z9" i="31"/>
  <c r="AA9" i="31" s="1"/>
  <c r="AB26" i="36"/>
  <c r="Y23" i="36"/>
  <c r="V23" i="36"/>
  <c r="AB23" i="36" s="1"/>
  <c r="U24" i="36"/>
  <c r="V12" i="35"/>
  <c r="AB12" i="35" s="1"/>
  <c r="AB29" i="35"/>
  <c r="AB33" i="35"/>
  <c r="AA12" i="34"/>
  <c r="AB8" i="35"/>
  <c r="U18" i="36"/>
  <c r="K23" i="36"/>
  <c r="AB27" i="36"/>
  <c r="V24" i="36"/>
  <c r="AB24" i="36" s="1"/>
  <c r="AB35" i="36"/>
  <c r="AA24" i="36"/>
  <c r="U13" i="34"/>
  <c r="AB13" i="34"/>
  <c r="Q44" i="34"/>
  <c r="AB37" i="36"/>
  <c r="J9" i="35"/>
  <c r="Z35" i="36"/>
  <c r="T8" i="34"/>
  <c r="AB34" i="35"/>
  <c r="Z13" i="34"/>
  <c r="P26" i="36"/>
  <c r="T26" i="36" s="1"/>
  <c r="P26" i="35"/>
  <c r="T26" i="35" s="1"/>
  <c r="U26" i="35" s="1"/>
  <c r="P26" i="34"/>
  <c r="T26" i="34" s="1"/>
  <c r="P26" i="33"/>
  <c r="T26" i="33" s="1"/>
  <c r="U26" i="33" s="1"/>
  <c r="P26" i="32"/>
  <c r="T26" i="32" s="1"/>
  <c r="T26" i="31"/>
  <c r="U26" i="31" s="1"/>
  <c r="I12" i="36"/>
  <c r="L12" i="36"/>
  <c r="Z35" i="33"/>
  <c r="AA35" i="33" s="1"/>
  <c r="K35" i="33"/>
  <c r="R35" i="27"/>
  <c r="R33" i="26"/>
  <c r="S13" i="35"/>
  <c r="Y13" i="35" s="1"/>
  <c r="T13" i="35"/>
  <c r="Z13" i="35" s="1"/>
  <c r="Y37" i="36"/>
  <c r="Z23" i="31"/>
  <c r="AA23" i="31" s="1"/>
  <c r="K23" i="31"/>
  <c r="Z39" i="34"/>
  <c r="AA39" i="34" s="1"/>
  <c r="U39" i="34"/>
  <c r="L14" i="35"/>
  <c r="N14" i="35"/>
  <c r="V14" i="35" s="1"/>
  <c r="I10" i="34"/>
  <c r="J10" i="34"/>
  <c r="L10" i="34"/>
  <c r="AB10" i="34" s="1"/>
  <c r="N14" i="34"/>
  <c r="V14" i="34" s="1"/>
  <c r="L14" i="34"/>
  <c r="Y34" i="35"/>
  <c r="AA34" i="35" s="1"/>
  <c r="K34" i="35"/>
  <c r="K10" i="33"/>
  <c r="Z35" i="35"/>
  <c r="AA35" i="35" s="1"/>
  <c r="K35" i="35"/>
  <c r="K29" i="35"/>
  <c r="Y29" i="35"/>
  <c r="AA29" i="35" s="1"/>
  <c r="I44" i="34"/>
  <c r="Z9" i="32"/>
  <c r="AA9" i="32" s="1"/>
  <c r="K9" i="32"/>
  <c r="D28" i="35"/>
  <c r="J28" i="35" s="1"/>
  <c r="D28" i="34"/>
  <c r="J28" i="34" s="1"/>
  <c r="D28" i="33"/>
  <c r="J28" i="33" s="1"/>
  <c r="D28" i="32"/>
  <c r="J28" i="32" s="1"/>
  <c r="D28" i="36"/>
  <c r="J28" i="36" s="1"/>
  <c r="K28" i="36" s="1"/>
  <c r="J28" i="31"/>
  <c r="G40" i="36"/>
  <c r="Q40" i="36" s="1"/>
  <c r="Z23" i="35"/>
  <c r="AA23" i="35" s="1"/>
  <c r="K23" i="35"/>
  <c r="I36" i="36"/>
  <c r="L36" i="36"/>
  <c r="G13" i="36"/>
  <c r="Q13" i="36" s="1"/>
  <c r="V13" i="36" s="1"/>
  <c r="V13" i="35"/>
  <c r="AB13" i="35" s="1"/>
  <c r="K40" i="35"/>
  <c r="Z19" i="32"/>
  <c r="AA19" i="32" s="1"/>
  <c r="K19" i="32"/>
  <c r="R28" i="26"/>
  <c r="U8" i="33"/>
  <c r="U44" i="33" s="1"/>
  <c r="Z22" i="31"/>
  <c r="AA22" i="31" s="1"/>
  <c r="K22" i="31"/>
  <c r="U8" i="32"/>
  <c r="U44" i="32" s="1"/>
  <c r="P28" i="36"/>
  <c r="T28" i="36" s="1"/>
  <c r="U28" i="36" s="1"/>
  <c r="T28" i="31"/>
  <c r="U28" i="31" s="1"/>
  <c r="P28" i="35"/>
  <c r="T28" i="35" s="1"/>
  <c r="U28" i="35" s="1"/>
  <c r="P28" i="33"/>
  <c r="T28" i="33" s="1"/>
  <c r="U28" i="33" s="1"/>
  <c r="P28" i="34"/>
  <c r="T28" i="34" s="1"/>
  <c r="U28" i="34" s="1"/>
  <c r="P28" i="32"/>
  <c r="T28" i="32" s="1"/>
  <c r="U28" i="32" s="1"/>
  <c r="D37" i="36"/>
  <c r="J37" i="36" s="1"/>
  <c r="D37" i="34"/>
  <c r="J37" i="34" s="1"/>
  <c r="D37" i="33"/>
  <c r="J37" i="33" s="1"/>
  <c r="D37" i="35"/>
  <c r="J37" i="35" s="1"/>
  <c r="J37" i="31"/>
  <c r="D37" i="32"/>
  <c r="J37" i="32" s="1"/>
  <c r="Z23" i="33"/>
  <c r="AA23" i="33" s="1"/>
  <c r="K23" i="33"/>
  <c r="Q36" i="36"/>
  <c r="S40" i="35"/>
  <c r="U40" i="35" s="1"/>
  <c r="V40" i="35"/>
  <c r="AB40" i="35" s="1"/>
  <c r="Y35" i="36"/>
  <c r="K35" i="36"/>
  <c r="AB9" i="34"/>
  <c r="S38" i="36"/>
  <c r="U38" i="36" s="1"/>
  <c r="V38" i="36"/>
  <c r="Z35" i="32"/>
  <c r="AA35" i="32" s="1"/>
  <c r="K35" i="32"/>
  <c r="Z22" i="35"/>
  <c r="AA22" i="35" s="1"/>
  <c r="K22" i="35"/>
  <c r="Z23" i="34"/>
  <c r="AA23" i="34" s="1"/>
  <c r="K23" i="34"/>
  <c r="S10" i="33"/>
  <c r="Y10" i="33" s="1"/>
  <c r="T10" i="33"/>
  <c r="Z10" i="33" s="1"/>
  <c r="Q44" i="33"/>
  <c r="J30" i="31"/>
  <c r="D30" i="36"/>
  <c r="J30" i="36" s="1"/>
  <c r="D30" i="34"/>
  <c r="J30" i="34" s="1"/>
  <c r="D30" i="32"/>
  <c r="J30" i="32" s="1"/>
  <c r="D30" i="35"/>
  <c r="J30" i="35" s="1"/>
  <c r="D30" i="33"/>
  <c r="J30" i="33" s="1"/>
  <c r="P37" i="32"/>
  <c r="T37" i="32" s="1"/>
  <c r="U37" i="32" s="1"/>
  <c r="P37" i="34"/>
  <c r="T37" i="34" s="1"/>
  <c r="U37" i="34" s="1"/>
  <c r="P37" i="33"/>
  <c r="T37" i="33" s="1"/>
  <c r="U37" i="33" s="1"/>
  <c r="P37" i="35"/>
  <c r="T37" i="35" s="1"/>
  <c r="U37" i="35" s="1"/>
  <c r="P37" i="36"/>
  <c r="T37" i="36" s="1"/>
  <c r="U37" i="36" s="1"/>
  <c r="T37" i="31"/>
  <c r="U37" i="31" s="1"/>
  <c r="G9" i="36"/>
  <c r="Q9" i="36" s="1"/>
  <c r="N14" i="36"/>
  <c r="V14" i="36" s="1"/>
  <c r="L14" i="36"/>
  <c r="R35" i="26"/>
  <c r="K26" i="31"/>
  <c r="Z39" i="31"/>
  <c r="AA39" i="31" s="1"/>
  <c r="U39" i="31"/>
  <c r="Z39" i="32"/>
  <c r="AA39" i="32" s="1"/>
  <c r="K39" i="32"/>
  <c r="Y27" i="36"/>
  <c r="AA27" i="36" s="1"/>
  <c r="K27" i="36"/>
  <c r="S33" i="36"/>
  <c r="V33" i="36"/>
  <c r="S39" i="36"/>
  <c r="V39" i="36"/>
  <c r="K36" i="35"/>
  <c r="Y28" i="36"/>
  <c r="S44" i="35"/>
  <c r="U8" i="35"/>
  <c r="U44" i="35" s="1"/>
  <c r="K9" i="34"/>
  <c r="Y9" i="34"/>
  <c r="I38" i="36"/>
  <c r="L38" i="36"/>
  <c r="Z35" i="31"/>
  <c r="AA35" i="31" s="1"/>
  <c r="K35" i="31"/>
  <c r="Z22" i="34"/>
  <c r="AA22" i="34" s="1"/>
  <c r="K22" i="34"/>
  <c r="Z19" i="31"/>
  <c r="AA19" i="31" s="1"/>
  <c r="K19" i="31"/>
  <c r="G8" i="36"/>
  <c r="Q8" i="36" s="1"/>
  <c r="T30" i="31"/>
  <c r="U30" i="31" s="1"/>
  <c r="P30" i="36"/>
  <c r="T30" i="36" s="1"/>
  <c r="U30" i="36" s="1"/>
  <c r="P30" i="35"/>
  <c r="T30" i="35" s="1"/>
  <c r="U30" i="35" s="1"/>
  <c r="P30" i="33"/>
  <c r="T30" i="33" s="1"/>
  <c r="U30" i="33" s="1"/>
  <c r="P30" i="34"/>
  <c r="T30" i="34" s="1"/>
  <c r="U30" i="34" s="1"/>
  <c r="P30" i="32"/>
  <c r="T30" i="32" s="1"/>
  <c r="U30" i="32" s="1"/>
  <c r="H37" i="27"/>
  <c r="S38" i="35"/>
  <c r="U38" i="35" s="1"/>
  <c r="V38" i="35"/>
  <c r="AB38" i="35" s="1"/>
  <c r="Y33" i="35"/>
  <c r="K26" i="35"/>
  <c r="T39" i="36"/>
  <c r="S36" i="35"/>
  <c r="U36" i="35" s="1"/>
  <c r="V36" i="35"/>
  <c r="AB36" i="35" s="1"/>
  <c r="I33" i="36"/>
  <c r="L33" i="36"/>
  <c r="L39" i="36"/>
  <c r="I39" i="36"/>
  <c r="Z18" i="36"/>
  <c r="Z19" i="35"/>
  <c r="AA19" i="35" s="1"/>
  <c r="K19" i="35"/>
  <c r="Z9" i="33"/>
  <c r="AA9" i="33" s="1"/>
  <c r="K9" i="33"/>
  <c r="Z22" i="33"/>
  <c r="AA22" i="33" s="1"/>
  <c r="K22" i="33"/>
  <c r="H39" i="27"/>
  <c r="U34" i="34"/>
  <c r="Y34" i="34"/>
  <c r="AA34" i="34" s="1"/>
  <c r="S34" i="36"/>
  <c r="U34" i="36" s="1"/>
  <c r="V34" i="36"/>
  <c r="AB34" i="36" s="1"/>
  <c r="S10" i="34"/>
  <c r="T10" i="34"/>
  <c r="F28" i="27"/>
  <c r="R22" i="28"/>
  <c r="J12" i="36"/>
  <c r="G10" i="35"/>
  <c r="Q10" i="35" s="1"/>
  <c r="AA23" i="36"/>
  <c r="K26" i="33"/>
  <c r="S9" i="35"/>
  <c r="V9" i="35"/>
  <c r="Y26" i="36"/>
  <c r="K26" i="36"/>
  <c r="S8" i="34"/>
  <c r="V8" i="34"/>
  <c r="AB8" i="34" s="1"/>
  <c r="I29" i="36"/>
  <c r="L29" i="36"/>
  <c r="K18" i="36"/>
  <c r="Y18" i="36"/>
  <c r="Z19" i="33"/>
  <c r="AA19" i="33" s="1"/>
  <c r="K19" i="33"/>
  <c r="K13" i="34"/>
  <c r="Y13" i="34"/>
  <c r="T9" i="35"/>
  <c r="Z22" i="32"/>
  <c r="AA22" i="32" s="1"/>
  <c r="U22" i="32"/>
  <c r="R22" i="27"/>
  <c r="R26" i="26"/>
  <c r="Z22" i="36"/>
  <c r="AA22" i="36" s="1"/>
  <c r="K22" i="36"/>
  <c r="F26" i="27"/>
  <c r="H26" i="27" s="1"/>
  <c r="H24" i="28"/>
  <c r="E10" i="36"/>
  <c r="G10" i="36" s="1"/>
  <c r="R23" i="27"/>
  <c r="K13" i="35"/>
  <c r="Z23" i="32"/>
  <c r="AA23" i="32" s="1"/>
  <c r="K23" i="32"/>
  <c r="R23" i="26"/>
  <c r="Z39" i="35"/>
  <c r="AA39" i="35" s="1"/>
  <c r="Z39" i="33"/>
  <c r="AA39" i="33" s="1"/>
  <c r="K39" i="33"/>
  <c r="L9" i="35"/>
  <c r="I9" i="35"/>
  <c r="K34" i="36"/>
  <c r="Z19" i="34"/>
  <c r="AA19" i="34" s="1"/>
  <c r="U19" i="34"/>
  <c r="I44" i="35"/>
  <c r="Y8" i="35"/>
  <c r="Q29" i="36"/>
  <c r="K19" i="36"/>
  <c r="Z19" i="36"/>
  <c r="AA19" i="36" s="1"/>
  <c r="G44" i="34"/>
  <c r="U8" i="31"/>
  <c r="U44" i="31" s="1"/>
  <c r="Q12" i="36"/>
  <c r="U39" i="35"/>
  <c r="Z35" i="34"/>
  <c r="AA35" i="34" s="1"/>
  <c r="K35" i="34"/>
  <c r="K38" i="35"/>
  <c r="F22" i="29"/>
  <c r="F24" i="29"/>
  <c r="F23" i="28"/>
  <c r="F39" i="28"/>
  <c r="F33" i="27"/>
  <c r="F37" i="28"/>
  <c r="F35" i="28"/>
  <c r="H35" i="28" s="1"/>
  <c r="AA9" i="34" l="1"/>
  <c r="Z39" i="36"/>
  <c r="U12" i="35"/>
  <c r="AA13" i="34"/>
  <c r="Z9" i="35"/>
  <c r="R37" i="27"/>
  <c r="U10" i="34"/>
  <c r="AA10" i="33"/>
  <c r="AA35" i="36"/>
  <c r="L44" i="34"/>
  <c r="Z26" i="31"/>
  <c r="AA26" i="31" s="1"/>
  <c r="R24" i="28"/>
  <c r="AB39" i="36"/>
  <c r="V44" i="34"/>
  <c r="Y38" i="35"/>
  <c r="AA38" i="35" s="1"/>
  <c r="Z26" i="33"/>
  <c r="AA26" i="33" s="1"/>
  <c r="U13" i="35"/>
  <c r="Y44" i="35"/>
  <c r="Y34" i="36"/>
  <c r="AA34" i="36" s="1"/>
  <c r="Z28" i="36"/>
  <c r="AA28" i="36" s="1"/>
  <c r="Z26" i="35"/>
  <c r="AA26" i="35" s="1"/>
  <c r="AA13" i="35"/>
  <c r="AB38" i="36"/>
  <c r="Z37" i="36"/>
  <c r="AA37" i="36" s="1"/>
  <c r="V8" i="36"/>
  <c r="S8" i="36"/>
  <c r="T8" i="36"/>
  <c r="S9" i="36"/>
  <c r="V9" i="36"/>
  <c r="T9" i="36"/>
  <c r="Q44" i="35"/>
  <c r="T10" i="35"/>
  <c r="S10" i="35"/>
  <c r="V10" i="35"/>
  <c r="V44" i="35" s="1"/>
  <c r="S44" i="34"/>
  <c r="Y44" i="34" s="1"/>
  <c r="U8" i="34"/>
  <c r="U44" i="34" s="1"/>
  <c r="Z10" i="34"/>
  <c r="H33" i="27"/>
  <c r="H39" i="28"/>
  <c r="U39" i="36"/>
  <c r="K30" i="33"/>
  <c r="Z30" i="33"/>
  <c r="AA30" i="33" s="1"/>
  <c r="Y10" i="34"/>
  <c r="K10" i="34"/>
  <c r="AB14" i="35"/>
  <c r="K28" i="31"/>
  <c r="Z28" i="31"/>
  <c r="AA28" i="31" s="1"/>
  <c r="Y38" i="36"/>
  <c r="AA38" i="36" s="1"/>
  <c r="K38" i="36"/>
  <c r="Z30" i="35"/>
  <c r="AA30" i="35" s="1"/>
  <c r="K30" i="35"/>
  <c r="Z28" i="32"/>
  <c r="AA28" i="32" s="1"/>
  <c r="K28" i="32"/>
  <c r="Z26" i="34"/>
  <c r="AA26" i="34" s="1"/>
  <c r="U26" i="34"/>
  <c r="I9" i="36"/>
  <c r="L9" i="36"/>
  <c r="Z26" i="32"/>
  <c r="AA26" i="32" s="1"/>
  <c r="U26" i="32"/>
  <c r="H37" i="28"/>
  <c r="H24" i="29"/>
  <c r="AA18" i="36"/>
  <c r="K30" i="32"/>
  <c r="Z30" i="32"/>
  <c r="AA30" i="32" s="1"/>
  <c r="U10" i="33"/>
  <c r="S36" i="36"/>
  <c r="U36" i="36" s="1"/>
  <c r="V36" i="36"/>
  <c r="AB36" i="36" s="1"/>
  <c r="Z37" i="32"/>
  <c r="AA37" i="32" s="1"/>
  <c r="K37" i="32"/>
  <c r="T13" i="36"/>
  <c r="S13" i="36"/>
  <c r="K36" i="36"/>
  <c r="Z28" i="33"/>
  <c r="AA28" i="33" s="1"/>
  <c r="K28" i="33"/>
  <c r="Y8" i="34"/>
  <c r="K12" i="36"/>
  <c r="S12" i="36"/>
  <c r="T12" i="36"/>
  <c r="Z12" i="36" s="1"/>
  <c r="V12" i="36"/>
  <c r="AB12" i="36" s="1"/>
  <c r="AB9" i="35"/>
  <c r="K39" i="36"/>
  <c r="Y39" i="36"/>
  <c r="AA39" i="36" s="1"/>
  <c r="Y36" i="35"/>
  <c r="AA36" i="35" s="1"/>
  <c r="Z30" i="34"/>
  <c r="AA30" i="34" s="1"/>
  <c r="K30" i="34"/>
  <c r="K37" i="31"/>
  <c r="Z37" i="31"/>
  <c r="AA37" i="31" s="1"/>
  <c r="J13" i="36"/>
  <c r="I13" i="36"/>
  <c r="L13" i="36"/>
  <c r="AB13" i="36" s="1"/>
  <c r="Z28" i="34"/>
  <c r="AA28" i="34" s="1"/>
  <c r="K28" i="34"/>
  <c r="Z26" i="36"/>
  <c r="AA26" i="36" s="1"/>
  <c r="U26" i="36"/>
  <c r="H23" i="28"/>
  <c r="Q10" i="36"/>
  <c r="I10" i="36"/>
  <c r="J10" i="36"/>
  <c r="L10" i="36"/>
  <c r="U9" i="35"/>
  <c r="K30" i="36"/>
  <c r="Z30" i="36"/>
  <c r="AA30" i="36" s="1"/>
  <c r="Z37" i="35"/>
  <c r="AA37" i="35" s="1"/>
  <c r="K37" i="35"/>
  <c r="Z28" i="35"/>
  <c r="AA28" i="35" s="1"/>
  <c r="K28" i="35"/>
  <c r="D21" i="31"/>
  <c r="D33" i="31"/>
  <c r="P33" i="31"/>
  <c r="P21" i="31"/>
  <c r="H22" i="29"/>
  <c r="S29" i="36"/>
  <c r="U29" i="36" s="1"/>
  <c r="V29" i="36"/>
  <c r="AB29" i="36" s="1"/>
  <c r="R26" i="27"/>
  <c r="K29" i="36"/>
  <c r="H28" i="27"/>
  <c r="R39" i="27"/>
  <c r="AB33" i="36"/>
  <c r="AB14" i="36"/>
  <c r="Z30" i="31"/>
  <c r="AA30" i="31" s="1"/>
  <c r="K30" i="31"/>
  <c r="Z37" i="33"/>
  <c r="AA37" i="33" s="1"/>
  <c r="K37" i="33"/>
  <c r="S40" i="36"/>
  <c r="U40" i="36" s="1"/>
  <c r="V40" i="36"/>
  <c r="AB14" i="34"/>
  <c r="R35" i="28"/>
  <c r="F26" i="28"/>
  <c r="F28" i="28"/>
  <c r="J9" i="36"/>
  <c r="K9" i="35"/>
  <c r="Y9" i="35"/>
  <c r="I10" i="35"/>
  <c r="J10" i="35"/>
  <c r="L10" i="35"/>
  <c r="G44" i="35"/>
  <c r="Y33" i="36"/>
  <c r="I8" i="36"/>
  <c r="G44" i="36"/>
  <c r="L8" i="36"/>
  <c r="Z37" i="34"/>
  <c r="AA37" i="34" s="1"/>
  <c r="K37" i="34"/>
  <c r="Y40" i="35"/>
  <c r="AA40" i="35" s="1"/>
  <c r="I40" i="36"/>
  <c r="L40" i="36"/>
  <c r="K37" i="36"/>
  <c r="F24" i="30"/>
  <c r="F22" i="30"/>
  <c r="F37" i="29"/>
  <c r="F35" i="29"/>
  <c r="H35" i="29" s="1"/>
  <c r="F23" i="29"/>
  <c r="H23" i="29" s="1"/>
  <c r="F39" i="29"/>
  <c r="H39" i="29" s="1"/>
  <c r="F33" i="28"/>
  <c r="H33" i="28" s="1"/>
  <c r="AB40" i="36" l="1"/>
  <c r="AA9" i="35"/>
  <c r="Z9" i="36"/>
  <c r="R28" i="27"/>
  <c r="U13" i="36"/>
  <c r="R33" i="27"/>
  <c r="U10" i="35"/>
  <c r="R37" i="28"/>
  <c r="AB44" i="34"/>
  <c r="Y36" i="36"/>
  <c r="AA36" i="36" s="1"/>
  <c r="U9" i="36"/>
  <c r="AB10" i="35"/>
  <c r="R39" i="28"/>
  <c r="R23" i="28"/>
  <c r="AA10" i="34"/>
  <c r="H37" i="29"/>
  <c r="P33" i="36"/>
  <c r="T33" i="36" s="1"/>
  <c r="U33" i="36" s="1"/>
  <c r="P33" i="35"/>
  <c r="T33" i="35" s="1"/>
  <c r="P33" i="34"/>
  <c r="T33" i="34" s="1"/>
  <c r="P33" i="33"/>
  <c r="T33" i="33" s="1"/>
  <c r="U33" i="33" s="1"/>
  <c r="P33" i="32"/>
  <c r="T33" i="32" s="1"/>
  <c r="U33" i="32" s="1"/>
  <c r="T33" i="31"/>
  <c r="U33" i="31" s="1"/>
  <c r="U12" i="36"/>
  <c r="P21" i="33"/>
  <c r="T21" i="33" s="1"/>
  <c r="P21" i="32"/>
  <c r="T21" i="32" s="1"/>
  <c r="P21" i="36"/>
  <c r="T21" i="36" s="1"/>
  <c r="U21" i="36" s="1"/>
  <c r="P21" i="35"/>
  <c r="T21" i="35" s="1"/>
  <c r="P21" i="34"/>
  <c r="T21" i="34" s="1"/>
  <c r="T21" i="31"/>
  <c r="R33" i="28"/>
  <c r="F26" i="29"/>
  <c r="H24" i="30"/>
  <c r="K40" i="36"/>
  <c r="Y40" i="36"/>
  <c r="AA40" i="36" s="1"/>
  <c r="R22" i="29"/>
  <c r="L44" i="35"/>
  <c r="AB44" i="35" s="1"/>
  <c r="AB9" i="36"/>
  <c r="H28" i="28"/>
  <c r="R39" i="29"/>
  <c r="Y29" i="36"/>
  <c r="AA29" i="36" s="1"/>
  <c r="D33" i="36"/>
  <c r="J33" i="36" s="1"/>
  <c r="D33" i="35"/>
  <c r="J33" i="35" s="1"/>
  <c r="K33" i="35" s="1"/>
  <c r="D33" i="34"/>
  <c r="J33" i="34" s="1"/>
  <c r="K33" i="34" s="1"/>
  <c r="D33" i="32"/>
  <c r="J33" i="32" s="1"/>
  <c r="D33" i="33"/>
  <c r="J33" i="33" s="1"/>
  <c r="J33" i="31"/>
  <c r="Z13" i="36"/>
  <c r="Y9" i="36"/>
  <c r="AA9" i="36" s="1"/>
  <c r="K9" i="36"/>
  <c r="AB8" i="36"/>
  <c r="L44" i="36"/>
  <c r="D21" i="32"/>
  <c r="J21" i="32" s="1"/>
  <c r="D21" i="34"/>
  <c r="J21" i="34" s="1"/>
  <c r="D21" i="33"/>
  <c r="J21" i="33" s="1"/>
  <c r="D21" i="36"/>
  <c r="J21" i="36" s="1"/>
  <c r="D21" i="35"/>
  <c r="J21" i="35" s="1"/>
  <c r="J21" i="31"/>
  <c r="Z10" i="35"/>
  <c r="K10" i="36"/>
  <c r="Y12" i="36"/>
  <c r="AA12" i="36" s="1"/>
  <c r="S44" i="36"/>
  <c r="U8" i="36"/>
  <c r="U44" i="36" s="1"/>
  <c r="R35" i="29"/>
  <c r="F28" i="29"/>
  <c r="Y8" i="36"/>
  <c r="I44" i="36"/>
  <c r="H26" i="28"/>
  <c r="T10" i="36"/>
  <c r="Z10" i="36" s="1"/>
  <c r="S10" i="36"/>
  <c r="Y10" i="36" s="1"/>
  <c r="V10" i="36"/>
  <c r="V44" i="36" s="1"/>
  <c r="Q44" i="36"/>
  <c r="H22" i="30"/>
  <c r="Y13" i="36"/>
  <c r="K13" i="36"/>
  <c r="R23" i="29"/>
  <c r="K10" i="35"/>
  <c r="Y10" i="35"/>
  <c r="R24" i="29"/>
  <c r="F23" i="30"/>
  <c r="H23" i="30" s="1"/>
  <c r="F39" i="30"/>
  <c r="F33" i="29"/>
  <c r="H33" i="29" s="1"/>
  <c r="F37" i="30"/>
  <c r="F35" i="30"/>
  <c r="H35" i="30" s="1"/>
  <c r="R22" i="30" l="1"/>
  <c r="R24" i="30"/>
  <c r="R28" i="28"/>
  <c r="Y44" i="36"/>
  <c r="AA13" i="36"/>
  <c r="AB10" i="36"/>
  <c r="AA10" i="35"/>
  <c r="U21" i="33"/>
  <c r="T44" i="33"/>
  <c r="AA10" i="36"/>
  <c r="T44" i="36"/>
  <c r="Z21" i="32"/>
  <c r="AA21" i="32" s="1"/>
  <c r="K21" i="32"/>
  <c r="R37" i="29"/>
  <c r="Z33" i="36"/>
  <c r="AA33" i="36" s="1"/>
  <c r="K33" i="36"/>
  <c r="F26" i="30"/>
  <c r="Z21" i="34"/>
  <c r="AA21" i="34" s="1"/>
  <c r="K21" i="34"/>
  <c r="Z33" i="31"/>
  <c r="AA33" i="31" s="1"/>
  <c r="K33" i="31"/>
  <c r="U21" i="31"/>
  <c r="T44" i="31"/>
  <c r="F28" i="30"/>
  <c r="H39" i="30"/>
  <c r="H28" i="29"/>
  <c r="Z21" i="31"/>
  <c r="AA21" i="31" s="1"/>
  <c r="K21" i="31"/>
  <c r="Z33" i="33"/>
  <c r="AA33" i="33" s="1"/>
  <c r="K33" i="33"/>
  <c r="U21" i="34"/>
  <c r="T44" i="34"/>
  <c r="K21" i="35"/>
  <c r="Z21" i="35"/>
  <c r="AA21" i="35" s="1"/>
  <c r="AB44" i="36"/>
  <c r="Z33" i="32"/>
  <c r="AA33" i="32" s="1"/>
  <c r="K33" i="32"/>
  <c r="H26" i="29"/>
  <c r="U21" i="35"/>
  <c r="T44" i="35"/>
  <c r="R33" i="29"/>
  <c r="R23" i="30"/>
  <c r="Z21" i="36"/>
  <c r="AA21" i="36" s="1"/>
  <c r="K21" i="36"/>
  <c r="Z33" i="34"/>
  <c r="AA33" i="34" s="1"/>
  <c r="U33" i="34"/>
  <c r="R35" i="30"/>
  <c r="H37" i="30"/>
  <c r="U10" i="36"/>
  <c r="R26" i="28"/>
  <c r="Z21" i="33"/>
  <c r="AA21" i="33" s="1"/>
  <c r="K21" i="33"/>
  <c r="U21" i="32"/>
  <c r="T44" i="32"/>
  <c r="Z33" i="35"/>
  <c r="AA33" i="35" s="1"/>
  <c r="U33" i="35"/>
  <c r="O23" i="25"/>
  <c r="F33" i="30"/>
  <c r="R37" i="30" l="1"/>
  <c r="H28" i="30"/>
  <c r="H26" i="30"/>
  <c r="R28" i="29"/>
  <c r="R39" i="30"/>
  <c r="H33" i="30"/>
  <c r="R26" i="29"/>
  <c r="R33" i="30" l="1"/>
  <c r="R26" i="30"/>
  <c r="R28" i="30"/>
  <c r="AH97" i="15" l="1"/>
  <c r="AH98" i="15" s="1"/>
  <c r="B35" i="14" l="1"/>
  <c r="C35" i="14" s="1"/>
  <c r="B28" i="14"/>
  <c r="C28" i="14" s="1"/>
  <c r="B21" i="14"/>
  <c r="C21" i="14" s="1"/>
  <c r="B22" i="14"/>
  <c r="C22" i="14" s="1"/>
  <c r="B31" i="14"/>
  <c r="C31" i="14" s="1"/>
  <c r="C23" i="13"/>
  <c r="Q23" i="13" s="1"/>
  <c r="B23" i="14"/>
  <c r="C23" i="14" s="1"/>
  <c r="C22" i="13"/>
  <c r="Q22" i="13" s="1"/>
  <c r="C28" i="13"/>
  <c r="C35" i="13"/>
  <c r="C31" i="13"/>
  <c r="C21" i="13"/>
  <c r="E31" i="13" l="1"/>
  <c r="Q31" i="13"/>
  <c r="E21" i="13"/>
  <c r="Q21" i="13"/>
  <c r="E35" i="13"/>
  <c r="H35" i="13" s="1"/>
  <c r="Q35" i="13"/>
  <c r="E28" i="13"/>
  <c r="Q28" i="13"/>
  <c r="B29" i="14"/>
  <c r="B34" i="14"/>
  <c r="C34" i="14" s="1"/>
  <c r="B25" i="14"/>
  <c r="C25" i="14" s="1"/>
  <c r="C24" i="13"/>
  <c r="B27" i="14"/>
  <c r="C27" i="14" s="1"/>
  <c r="B24" i="14"/>
  <c r="C27" i="13"/>
  <c r="C34" i="13"/>
  <c r="B52" i="14"/>
  <c r="C52" i="14" s="1"/>
  <c r="E52" i="14" s="1"/>
  <c r="C29" i="13"/>
  <c r="C25" i="13"/>
  <c r="P41" i="25" l="1"/>
  <c r="P41" i="29" s="1"/>
  <c r="T41" i="29" s="1"/>
  <c r="U41" i="29" s="1"/>
  <c r="R21" i="13"/>
  <c r="R31" i="13"/>
  <c r="E43" i="13"/>
  <c r="R28" i="13"/>
  <c r="E34" i="13"/>
  <c r="Q34" i="13"/>
  <c r="E27" i="13"/>
  <c r="E45" i="13" s="1"/>
  <c r="Q27" i="13"/>
  <c r="R35" i="13"/>
  <c r="E25" i="13"/>
  <c r="Q25" i="13"/>
  <c r="E29" i="13"/>
  <c r="Q29" i="13"/>
  <c r="E24" i="13"/>
  <c r="Q24" i="13"/>
  <c r="C29" i="14"/>
  <c r="B33" i="14"/>
  <c r="B32" i="14"/>
  <c r="C24" i="14"/>
  <c r="E48" i="13"/>
  <c r="D52" i="14"/>
  <c r="C32" i="13"/>
  <c r="Q32" i="13" s="1"/>
  <c r="C33" i="13"/>
  <c r="R24" i="13" l="1"/>
  <c r="P41" i="26"/>
  <c r="T41" i="26" s="1"/>
  <c r="U41" i="26" s="1"/>
  <c r="P41" i="30"/>
  <c r="T41" i="30" s="1"/>
  <c r="U41" i="30" s="1"/>
  <c r="P41" i="27"/>
  <c r="T41" i="27" s="1"/>
  <c r="U41" i="27" s="1"/>
  <c r="P41" i="28"/>
  <c r="T41" i="28" s="1"/>
  <c r="U41" i="28" s="1"/>
  <c r="T41" i="25"/>
  <c r="U41" i="25" s="1"/>
  <c r="E46" i="13"/>
  <c r="R34" i="13"/>
  <c r="R29" i="13"/>
  <c r="R25" i="13"/>
  <c r="R27" i="13"/>
  <c r="E33" i="13"/>
  <c r="E47" i="13" s="1"/>
  <c r="Q33" i="13"/>
  <c r="C32" i="14"/>
  <c r="C33" i="14"/>
  <c r="E32" i="13"/>
  <c r="R32" i="13" s="1"/>
  <c r="R33" i="13" l="1"/>
  <c r="F37" i="42" l="1"/>
  <c r="H37" i="42" s="1"/>
  <c r="F37" i="39"/>
  <c r="H37" i="39" s="1"/>
  <c r="F37" i="41"/>
  <c r="H37" i="41" s="1"/>
  <c r="F37" i="38"/>
  <c r="H37" i="38" s="1"/>
  <c r="F37" i="40"/>
  <c r="H37" i="40" s="1"/>
  <c r="F37" i="37"/>
  <c r="H37" i="37" s="1"/>
  <c r="F35" i="42"/>
  <c r="H35" i="42" s="1"/>
  <c r="F35" i="38"/>
  <c r="H35" i="38" s="1"/>
  <c r="F35" i="41"/>
  <c r="H35" i="41" s="1"/>
  <c r="F35" i="40"/>
  <c r="H35" i="40" s="1"/>
  <c r="F35" i="39"/>
  <c r="H35" i="39" s="1"/>
  <c r="F35" i="37"/>
  <c r="H35" i="37" s="1"/>
  <c r="H39" i="37"/>
  <c r="F33" i="39" l="1"/>
  <c r="H33" i="39" s="1"/>
  <c r="F33" i="40"/>
  <c r="H33" i="40" s="1"/>
  <c r="F33" i="42"/>
  <c r="H33" i="42" s="1"/>
  <c r="F33" i="41"/>
  <c r="H33" i="41" s="1"/>
  <c r="F33" i="38"/>
  <c r="H33" i="38" s="1"/>
  <c r="F33" i="37"/>
  <c r="H33" i="37" s="1"/>
  <c r="F115" i="22" l="1"/>
  <c r="C115" i="22"/>
  <c r="E115" i="22"/>
  <c r="B115" i="22"/>
  <c r="K115" i="22" l="1"/>
  <c r="D115" i="22" l="1"/>
  <c r="L115" i="22"/>
  <c r="N115" i="22" l="1"/>
  <c r="P115" i="22" l="1"/>
  <c r="AC137" i="15" l="1"/>
  <c r="AC138" i="15" s="1"/>
  <c r="AC139" i="15" s="1"/>
  <c r="C20" i="13"/>
  <c r="Q20" i="13" s="1"/>
  <c r="B20" i="14"/>
  <c r="B64" i="17"/>
  <c r="E64" i="17" s="1"/>
  <c r="H64" i="17" s="1"/>
  <c r="L16" i="17" s="1"/>
  <c r="M16" i="17" s="1"/>
  <c r="P16" i="17" s="1"/>
  <c r="C36" i="13" l="1"/>
  <c r="E20" i="13"/>
  <c r="L141" i="15"/>
  <c r="B65" i="17"/>
  <c r="B66" i="17" s="1"/>
  <c r="E66" i="17" s="1"/>
  <c r="H66" i="17" s="1"/>
  <c r="AD136" i="15"/>
  <c r="D39" i="13"/>
  <c r="D20" i="13" s="1"/>
  <c r="O16" i="17"/>
  <c r="D14" i="18" s="1"/>
  <c r="Q16" i="17"/>
  <c r="L12" i="17"/>
  <c r="M12" i="17" s="1"/>
  <c r="P12" i="17" s="1"/>
  <c r="L15" i="17"/>
  <c r="M15" i="17" s="1"/>
  <c r="P15" i="17" s="1"/>
  <c r="B36" i="14"/>
  <c r="B38" i="14" s="1"/>
  <c r="L13" i="17"/>
  <c r="M13" i="17" s="1"/>
  <c r="P13" i="17" s="1"/>
  <c r="L11" i="17"/>
  <c r="M11" i="17" s="1"/>
  <c r="P11" i="17" s="1"/>
  <c r="L14" i="17"/>
  <c r="M14" i="17" s="1"/>
  <c r="P14" i="17" s="1"/>
  <c r="C20" i="14"/>
  <c r="C64" i="17"/>
  <c r="F64" i="17" s="1"/>
  <c r="I64" i="17" s="1"/>
  <c r="P141" i="15" l="1"/>
  <c r="O141" i="15"/>
  <c r="R20" i="13"/>
  <c r="C38" i="13"/>
  <c r="E39" i="13" s="1"/>
  <c r="Q36" i="13"/>
  <c r="P20" i="13"/>
  <c r="D24" i="13"/>
  <c r="P24" i="13" s="1"/>
  <c r="D29" i="13"/>
  <c r="P29" i="13" s="1"/>
  <c r="D37" i="13"/>
  <c r="P37" i="13" s="1"/>
  <c r="E40" i="13"/>
  <c r="E41" i="13" s="1"/>
  <c r="P159" i="15"/>
  <c r="E36" i="13"/>
  <c r="E42" i="13"/>
  <c r="E65" i="17"/>
  <c r="H65" i="17" s="1"/>
  <c r="L21" i="17" s="1"/>
  <c r="M21" i="17" s="1"/>
  <c r="P21" i="17" s="1"/>
  <c r="D27" i="13"/>
  <c r="P27" i="13" s="1"/>
  <c r="D31" i="13"/>
  <c r="P31" i="13" s="1"/>
  <c r="D28" i="13"/>
  <c r="P28" i="13" s="1"/>
  <c r="D35" i="13"/>
  <c r="P35" i="13" s="1"/>
  <c r="D33" i="13"/>
  <c r="P33" i="13" s="1"/>
  <c r="D32" i="13"/>
  <c r="P32" i="13" s="1"/>
  <c r="D25" i="13"/>
  <c r="P25" i="13" s="1"/>
  <c r="D26" i="13"/>
  <c r="P26" i="13" s="1"/>
  <c r="D34" i="13"/>
  <c r="P34" i="13" s="1"/>
  <c r="D21" i="13"/>
  <c r="P21" i="13" s="1"/>
  <c r="C65" i="17"/>
  <c r="C36" i="14"/>
  <c r="C38" i="14" s="1"/>
  <c r="L26" i="17"/>
  <c r="M26" i="17" s="1"/>
  <c r="P26" i="17" s="1"/>
  <c r="L23" i="17"/>
  <c r="M23" i="17" s="1"/>
  <c r="P23" i="17" s="1"/>
  <c r="L28" i="17"/>
  <c r="M28" i="17" s="1"/>
  <c r="P28" i="17" s="1"/>
  <c r="L27" i="17"/>
  <c r="M27" i="17" s="1"/>
  <c r="P27" i="17" s="1"/>
  <c r="L24" i="17"/>
  <c r="M24" i="17" s="1"/>
  <c r="P24" i="17" s="1"/>
  <c r="L25" i="17"/>
  <c r="M25" i="17" s="1"/>
  <c r="P25" i="17" s="1"/>
  <c r="O13" i="17"/>
  <c r="D11" i="18" s="1"/>
  <c r="Q13" i="17"/>
  <c r="Q15" i="17"/>
  <c r="O15" i="17"/>
  <c r="D13" i="18" s="1"/>
  <c r="Q14" i="17"/>
  <c r="O14" i="17"/>
  <c r="D12" i="18" s="1"/>
  <c r="Q12" i="17"/>
  <c r="O12" i="17"/>
  <c r="D10" i="18" s="1"/>
  <c r="L33" i="17"/>
  <c r="M33" i="17" s="1"/>
  <c r="P33" i="17" s="1"/>
  <c r="L32" i="17"/>
  <c r="M32" i="17" s="1"/>
  <c r="P32" i="17" s="1"/>
  <c r="L37" i="17"/>
  <c r="M37" i="17" s="1"/>
  <c r="P37" i="17" s="1"/>
  <c r="L34" i="17"/>
  <c r="M34" i="17" s="1"/>
  <c r="P34" i="17" s="1"/>
  <c r="L35" i="17"/>
  <c r="M35" i="17" s="1"/>
  <c r="P35" i="17" s="1"/>
  <c r="L36" i="17"/>
  <c r="M36" i="17" s="1"/>
  <c r="P36" i="17" s="1"/>
  <c r="D39" i="14"/>
  <c r="D20" i="14" s="1"/>
  <c r="AD137" i="15"/>
  <c r="AD138" i="15" s="1"/>
  <c r="AD139" i="15" s="1"/>
  <c r="O11" i="17"/>
  <c r="D9" i="18" s="1"/>
  <c r="Q11" i="17"/>
  <c r="R36" i="13" l="1"/>
  <c r="D50" i="13"/>
  <c r="D51" i="13" s="1"/>
  <c r="AC148" i="15"/>
  <c r="AC149" i="15" s="1"/>
  <c r="E38" i="13"/>
  <c r="E37" i="13" s="1"/>
  <c r="R37" i="13" s="1"/>
  <c r="Q38" i="13"/>
  <c r="D40" i="13"/>
  <c r="D43" i="13"/>
  <c r="G35" i="13"/>
  <c r="O159" i="15"/>
  <c r="L159" i="15"/>
  <c r="D45" i="13"/>
  <c r="D29" i="14"/>
  <c r="AD148" i="15"/>
  <c r="H50" i="13" s="1"/>
  <c r="AD160" i="15"/>
  <c r="L20" i="17"/>
  <c r="M20" i="17" s="1"/>
  <c r="P20" i="17" s="1"/>
  <c r="O20" i="17" s="1"/>
  <c r="D18" i="18" s="1"/>
  <c r="L17" i="17"/>
  <c r="M17" i="17" s="1"/>
  <c r="P17" i="17" s="1"/>
  <c r="O17" i="17" s="1"/>
  <c r="D15" i="18" s="1"/>
  <c r="D47" i="13"/>
  <c r="L22" i="17"/>
  <c r="M22" i="17" s="1"/>
  <c r="P22" i="17" s="1"/>
  <c r="Q22" i="17" s="1"/>
  <c r="D24" i="14"/>
  <c r="L19" i="17"/>
  <c r="M19" i="17" s="1"/>
  <c r="P19" i="17" s="1"/>
  <c r="Q19" i="17" s="1"/>
  <c r="L18" i="17"/>
  <c r="M18" i="17" s="1"/>
  <c r="P18" i="17" s="1"/>
  <c r="O18" i="17" s="1"/>
  <c r="D16" i="18" s="1"/>
  <c r="E50" i="13"/>
  <c r="D44" i="13"/>
  <c r="G44" i="13" s="1"/>
  <c r="G26" i="13"/>
  <c r="D46" i="13"/>
  <c r="D25" i="14"/>
  <c r="D36" i="13"/>
  <c r="D31" i="14"/>
  <c r="D27" i="14"/>
  <c r="D34" i="14"/>
  <c r="O33" i="17"/>
  <c r="F10" i="18" s="1"/>
  <c r="Q33" i="17"/>
  <c r="Q25" i="17"/>
  <c r="O25" i="17"/>
  <c r="D23" i="18" s="1"/>
  <c r="C66" i="17"/>
  <c r="F66" i="17" s="1"/>
  <c r="I66" i="17" s="1"/>
  <c r="F65" i="17"/>
  <c r="I65" i="17" s="1"/>
  <c r="D32" i="14"/>
  <c r="D26" i="14"/>
  <c r="D44" i="14" s="1"/>
  <c r="O24" i="17"/>
  <c r="D22" i="18" s="1"/>
  <c r="Q24" i="17"/>
  <c r="Q36" i="17"/>
  <c r="O36" i="17"/>
  <c r="F13" i="18" s="1"/>
  <c r="Q27" i="17"/>
  <c r="O27" i="17"/>
  <c r="D25" i="18" s="1"/>
  <c r="D30" i="14"/>
  <c r="Q35" i="17"/>
  <c r="O35" i="17"/>
  <c r="F12" i="18" s="1"/>
  <c r="O28" i="17"/>
  <c r="D26" i="18" s="1"/>
  <c r="Q28" i="17"/>
  <c r="D21" i="14"/>
  <c r="O34" i="17"/>
  <c r="F11" i="18" s="1"/>
  <c r="Q34" i="17"/>
  <c r="O23" i="17"/>
  <c r="D21" i="18" s="1"/>
  <c r="Q23" i="17"/>
  <c r="D33" i="14"/>
  <c r="D37" i="14"/>
  <c r="Q37" i="17"/>
  <c r="O37" i="17"/>
  <c r="F14" i="18" s="1"/>
  <c r="O26" i="17"/>
  <c r="D24" i="18" s="1"/>
  <c r="Q26" i="17"/>
  <c r="D35" i="14"/>
  <c r="G35" i="14" s="1"/>
  <c r="D28" i="14"/>
  <c r="Q32" i="17"/>
  <c r="O32" i="17"/>
  <c r="F9" i="18" s="1"/>
  <c r="E38" i="14"/>
  <c r="E37" i="14" s="1"/>
  <c r="E39" i="14"/>
  <c r="E20" i="14" s="1"/>
  <c r="O21" i="17"/>
  <c r="D19" i="18" s="1"/>
  <c r="Q21" i="17"/>
  <c r="D41" i="27" l="1"/>
  <c r="J41" i="27" s="1"/>
  <c r="Z41" i="27" s="1"/>
  <c r="AA41" i="27" s="1"/>
  <c r="R38" i="13"/>
  <c r="E51" i="13"/>
  <c r="D41" i="13"/>
  <c r="M37" i="13"/>
  <c r="N37" i="13" s="1"/>
  <c r="M36" i="13"/>
  <c r="N36" i="13" s="1"/>
  <c r="M38" i="13"/>
  <c r="P36" i="13"/>
  <c r="D41" i="28"/>
  <c r="J41" i="28" s="1"/>
  <c r="K41" i="28" s="1"/>
  <c r="D41" i="29"/>
  <c r="J41" i="29" s="1"/>
  <c r="K41" i="29" s="1"/>
  <c r="D41" i="25"/>
  <c r="J41" i="25" s="1"/>
  <c r="K41" i="25" s="1"/>
  <c r="D41" i="26"/>
  <c r="J41" i="26" s="1"/>
  <c r="K41" i="26" s="1"/>
  <c r="D41" i="30"/>
  <c r="J41" i="30" s="1"/>
  <c r="K41" i="30" s="1"/>
  <c r="M20" i="13"/>
  <c r="N20" i="13" s="1"/>
  <c r="AC160" i="15"/>
  <c r="AC161" i="15" s="1"/>
  <c r="AC162" i="15" s="1"/>
  <c r="AC163" i="15" s="1"/>
  <c r="D38" i="13"/>
  <c r="M24" i="13"/>
  <c r="N24" i="13" s="1"/>
  <c r="M32" i="13"/>
  <c r="N32" i="13" s="1"/>
  <c r="M25" i="13"/>
  <c r="N25" i="13" s="1"/>
  <c r="M33" i="13"/>
  <c r="N33" i="13" s="1"/>
  <c r="M26" i="13"/>
  <c r="N26" i="13" s="1"/>
  <c r="M34" i="13"/>
  <c r="N34" i="13" s="1"/>
  <c r="M27" i="13"/>
  <c r="N27" i="13" s="1"/>
  <c r="M35" i="13"/>
  <c r="N35" i="13" s="1"/>
  <c r="M30" i="13"/>
  <c r="N30" i="13" s="1"/>
  <c r="M28" i="13"/>
  <c r="N28" i="13" s="1"/>
  <c r="M29" i="13"/>
  <c r="N29" i="13" s="1"/>
  <c r="M21" i="13"/>
  <c r="N21" i="13" s="1"/>
  <c r="M31" i="13"/>
  <c r="N31" i="13" s="1"/>
  <c r="AD161" i="15"/>
  <c r="AD162" i="15" s="1"/>
  <c r="AD163" i="15" s="1"/>
  <c r="AD149" i="15"/>
  <c r="AD150" i="15" s="1"/>
  <c r="AD151" i="15" s="1"/>
  <c r="O19" i="17"/>
  <c r="D17" i="18" s="1"/>
  <c r="D42" i="14"/>
  <c r="Q17" i="17"/>
  <c r="O22" i="17"/>
  <c r="D20" i="18" s="1"/>
  <c r="Q20" i="17"/>
  <c r="Q18" i="17"/>
  <c r="D40" i="14"/>
  <c r="D45" i="14"/>
  <c r="D48" i="13"/>
  <c r="E34" i="14"/>
  <c r="E30" i="14"/>
  <c r="E29" i="14"/>
  <c r="E33" i="14"/>
  <c r="E47" i="14" s="1"/>
  <c r="E24" i="14"/>
  <c r="E27" i="14"/>
  <c r="E45" i="14" s="1"/>
  <c r="E42" i="14"/>
  <c r="E40" i="14"/>
  <c r="D46" i="14"/>
  <c r="E25" i="14"/>
  <c r="E26" i="14"/>
  <c r="D36" i="14"/>
  <c r="D38" i="14" s="1"/>
  <c r="L40" i="17"/>
  <c r="M40" i="17" s="1"/>
  <c r="P40" i="17" s="1"/>
  <c r="L42" i="17"/>
  <c r="M42" i="17" s="1"/>
  <c r="P42" i="17" s="1"/>
  <c r="L38" i="17"/>
  <c r="M38" i="17" s="1"/>
  <c r="P38" i="17" s="1"/>
  <c r="L43" i="17"/>
  <c r="M43" i="17" s="1"/>
  <c r="P43" i="17" s="1"/>
  <c r="L39" i="17"/>
  <c r="M39" i="17" s="1"/>
  <c r="P39" i="17" s="1"/>
  <c r="L41" i="17"/>
  <c r="M41" i="17" s="1"/>
  <c r="P41" i="17" s="1"/>
  <c r="L44" i="17"/>
  <c r="M44" i="17" s="1"/>
  <c r="P44" i="17" s="1"/>
  <c r="L46" i="17"/>
  <c r="M46" i="17" s="1"/>
  <c r="P46" i="17" s="1"/>
  <c r="L45" i="17"/>
  <c r="M45" i="17" s="1"/>
  <c r="P45" i="17" s="1"/>
  <c r="L47" i="17"/>
  <c r="M47" i="17" s="1"/>
  <c r="P47" i="17" s="1"/>
  <c r="L48" i="17"/>
  <c r="M48" i="17" s="1"/>
  <c r="P48" i="17" s="1"/>
  <c r="L49" i="17"/>
  <c r="M49" i="17" s="1"/>
  <c r="P49" i="17" s="1"/>
  <c r="E32" i="14"/>
  <c r="E28" i="14"/>
  <c r="D43" i="14"/>
  <c r="E31" i="14"/>
  <c r="E35" i="14"/>
  <c r="H35" i="14" s="1"/>
  <c r="G26" i="14"/>
  <c r="G44" i="14"/>
  <c r="E21" i="14"/>
  <c r="D47" i="14"/>
  <c r="Z41" i="25" l="1"/>
  <c r="AA41" i="25" s="1"/>
  <c r="K41" i="27"/>
  <c r="Z41" i="26"/>
  <c r="AA41" i="26" s="1"/>
  <c r="C39" i="13"/>
  <c r="N38" i="13"/>
  <c r="P38" i="13"/>
  <c r="Z41" i="28"/>
  <c r="AA41" i="28" s="1"/>
  <c r="Z41" i="29"/>
  <c r="AA41" i="29" s="1"/>
  <c r="Z41" i="30"/>
  <c r="AA41" i="30" s="1"/>
  <c r="AC150" i="15"/>
  <c r="AC151" i="15" s="1"/>
  <c r="G50" i="13"/>
  <c r="D41" i="14"/>
  <c r="D42" i="13"/>
  <c r="E41" i="14"/>
  <c r="E46" i="14"/>
  <c r="Q49" i="17"/>
  <c r="O49" i="17"/>
  <c r="F26" i="18" s="1"/>
  <c r="H26" i="14"/>
  <c r="E44" i="14"/>
  <c r="H44" i="14" s="1"/>
  <c r="Q41" i="17"/>
  <c r="O41" i="17"/>
  <c r="F18" i="18" s="1"/>
  <c r="Q47" i="17"/>
  <c r="O47" i="17"/>
  <c r="F24" i="18" s="1"/>
  <c r="Q39" i="17"/>
  <c r="O39" i="17"/>
  <c r="F16" i="18" s="1"/>
  <c r="O43" i="17"/>
  <c r="F20" i="18" s="1"/>
  <c r="Q43" i="17"/>
  <c r="Q46" i="17"/>
  <c r="O46" i="17"/>
  <c r="F23" i="18" s="1"/>
  <c r="O38" i="17"/>
  <c r="F15" i="18" s="1"/>
  <c r="Q38" i="17"/>
  <c r="O48" i="17"/>
  <c r="F25" i="18" s="1"/>
  <c r="Q48" i="17"/>
  <c r="Q42" i="17"/>
  <c r="O42" i="17"/>
  <c r="F19" i="18" s="1"/>
  <c r="Q45" i="17"/>
  <c r="O45" i="17"/>
  <c r="F22" i="18" s="1"/>
  <c r="D48" i="14"/>
  <c r="E43" i="14"/>
  <c r="Q40" i="17"/>
  <c r="O40" i="17"/>
  <c r="F17" i="18" s="1"/>
  <c r="O44" i="17"/>
  <c r="F21" i="18" s="1"/>
  <c r="Q44" i="17"/>
  <c r="E36" i="14"/>
  <c r="E48" i="14" l="1"/>
  <c r="B116" i="22" l="1"/>
  <c r="E116" i="22"/>
  <c r="C116" i="22"/>
  <c r="L116" i="22" l="1"/>
  <c r="O116" i="22" l="1"/>
  <c r="P116" i="22" l="1"/>
  <c r="N116" i="22" l="1"/>
  <c r="E117" i="22" l="1"/>
  <c r="B117" i="22"/>
  <c r="C117" i="22"/>
  <c r="O117" i="22" l="1"/>
  <c r="L117" i="22"/>
  <c r="N117" i="22" l="1"/>
  <c r="P117" i="22" l="1"/>
  <c r="O118" i="22" l="1"/>
  <c r="B23" i="33" l="1"/>
  <c r="B34" i="33"/>
  <c r="B10" i="33"/>
  <c r="B21" i="33"/>
  <c r="B33" i="33"/>
  <c r="B19" i="33"/>
  <c r="B28" i="33"/>
  <c r="B42" i="33"/>
  <c r="B26" i="33"/>
  <c r="B27" i="33"/>
  <c r="B39" i="33"/>
  <c r="B13" i="33"/>
  <c r="B41" i="33"/>
  <c r="B17" i="33"/>
  <c r="N17" i="33" s="1"/>
  <c r="V17" i="33" s="1"/>
  <c r="AB17" i="33" s="1"/>
  <c r="B9" i="33"/>
  <c r="B24" i="33"/>
  <c r="B12" i="33"/>
  <c r="B29" i="33"/>
  <c r="B31" i="33"/>
  <c r="N31" i="33" s="1"/>
  <c r="V31" i="33" s="1"/>
  <c r="AB31" i="33" s="1"/>
  <c r="B15" i="33"/>
  <c r="N15" i="33" s="1"/>
  <c r="V15" i="33" s="1"/>
  <c r="AB15" i="33" s="1"/>
  <c r="B38" i="33"/>
  <c r="B35" i="33"/>
  <c r="B18" i="33"/>
  <c r="B16" i="33"/>
  <c r="N16" i="33" s="1"/>
  <c r="V16" i="33" s="1"/>
  <c r="AB16" i="33" s="1"/>
  <c r="B11" i="33"/>
  <c r="B22" i="33"/>
  <c r="B14" i="33"/>
  <c r="B37" i="33"/>
  <c r="N8" i="33"/>
  <c r="V8" i="33" s="1"/>
  <c r="B36" i="33"/>
  <c r="B40" i="33"/>
  <c r="B30" i="33"/>
  <c r="L8" i="33"/>
  <c r="P118" i="22"/>
  <c r="N30" i="33" l="1"/>
  <c r="V30" i="33" s="1"/>
  <c r="L30" i="33"/>
  <c r="N24" i="33"/>
  <c r="V24" i="33" s="1"/>
  <c r="L24" i="33"/>
  <c r="L18" i="33"/>
  <c r="N18" i="33"/>
  <c r="V18" i="33" s="1"/>
  <c r="N9" i="33"/>
  <c r="V9" i="33" s="1"/>
  <c r="L9" i="33"/>
  <c r="L28" i="33"/>
  <c r="N28" i="33"/>
  <c r="V28" i="33" s="1"/>
  <c r="L19" i="33"/>
  <c r="N19" i="33"/>
  <c r="V19" i="33" s="1"/>
  <c r="L42" i="33"/>
  <c r="N42" i="33"/>
  <c r="V42" i="33" s="1"/>
  <c r="N40" i="33"/>
  <c r="V40" i="33" s="1"/>
  <c r="L40" i="33"/>
  <c r="N36" i="33"/>
  <c r="V36" i="33" s="1"/>
  <c r="L36" i="33"/>
  <c r="N35" i="33"/>
  <c r="V35" i="33" s="1"/>
  <c r="L35" i="33"/>
  <c r="N38" i="33"/>
  <c r="V38" i="33" s="1"/>
  <c r="L38" i="33"/>
  <c r="L33" i="33"/>
  <c r="N33" i="33"/>
  <c r="V33" i="33" s="1"/>
  <c r="N13" i="33"/>
  <c r="V13" i="33" s="1"/>
  <c r="L13" i="33"/>
  <c r="N21" i="33"/>
  <c r="V21" i="33" s="1"/>
  <c r="L21" i="33"/>
  <c r="L39" i="33"/>
  <c r="N39" i="33"/>
  <c r="V39" i="33" s="1"/>
  <c r="N10" i="33"/>
  <c r="V10" i="33" s="1"/>
  <c r="L10" i="33"/>
  <c r="L22" i="33"/>
  <c r="N22" i="33"/>
  <c r="V22" i="33" s="1"/>
  <c r="L29" i="33"/>
  <c r="N29" i="33"/>
  <c r="V29" i="33" s="1"/>
  <c r="L27" i="33"/>
  <c r="N27" i="33"/>
  <c r="V27" i="33" s="1"/>
  <c r="N34" i="33"/>
  <c r="V34" i="33" s="1"/>
  <c r="L34" i="33"/>
  <c r="N41" i="33"/>
  <c r="V41" i="33" s="1"/>
  <c r="L41" i="33"/>
  <c r="N37" i="33"/>
  <c r="V37" i="33" s="1"/>
  <c r="L37" i="33"/>
  <c r="N14" i="33"/>
  <c r="V14" i="33" s="1"/>
  <c r="L14" i="33"/>
  <c r="AB8" i="33"/>
  <c r="N11" i="33"/>
  <c r="V11" i="33" s="1"/>
  <c r="L11" i="33"/>
  <c r="L12" i="33"/>
  <c r="N12" i="33"/>
  <c r="V12" i="33" s="1"/>
  <c r="N26" i="33"/>
  <c r="V26" i="33" s="1"/>
  <c r="L26" i="33"/>
  <c r="L23" i="33"/>
  <c r="N23" i="33"/>
  <c r="V23" i="33" s="1"/>
  <c r="AB14" i="33" l="1"/>
  <c r="AB37" i="33"/>
  <c r="AB29" i="33"/>
  <c r="AB21" i="33"/>
  <c r="AB35" i="33"/>
  <c r="AB24" i="33"/>
  <c r="AB30" i="33"/>
  <c r="AB22" i="33"/>
  <c r="AB10" i="33"/>
  <c r="AB33" i="33"/>
  <c r="AB26" i="33"/>
  <c r="AB11" i="33"/>
  <c r="AB13" i="33"/>
  <c r="AB34" i="33"/>
  <c r="V44" i="33"/>
  <c r="AB40" i="33"/>
  <c r="AB9" i="33"/>
  <c r="AB27" i="33"/>
  <c r="AB39" i="33"/>
  <c r="AB38" i="33"/>
  <c r="AB42" i="33"/>
  <c r="AB18" i="33"/>
  <c r="AB12" i="33"/>
  <c r="AB19" i="33"/>
  <c r="AB41" i="33"/>
  <c r="L44" i="33"/>
  <c r="AB23" i="33"/>
  <c r="AB36" i="33"/>
  <c r="AB28" i="33"/>
  <c r="AB44" i="33" l="1"/>
  <c r="B120" i="22" l="1"/>
  <c r="E120" i="22" l="1"/>
  <c r="C120" i="22"/>
  <c r="M120" i="22" l="1"/>
  <c r="K120" i="22" l="1"/>
  <c r="D120" i="22" l="1"/>
  <c r="L120" i="22" l="1"/>
  <c r="G120" i="22"/>
  <c r="O120" i="22"/>
  <c r="N120" i="22"/>
  <c r="P120" i="22" l="1"/>
  <c r="M22" i="2" l="1"/>
  <c r="M29" i="2"/>
  <c r="M57" i="8" s="1"/>
  <c r="M23" i="2"/>
  <c r="M11" i="8" s="1"/>
  <c r="M28" i="2"/>
  <c r="M15" i="8" s="1"/>
  <c r="M30" i="2"/>
  <c r="M31" i="2" s="1"/>
  <c r="M17" i="2"/>
  <c r="M7" i="8" s="1"/>
  <c r="M13" i="2"/>
  <c r="M34" i="2"/>
  <c r="M19" i="8" s="1"/>
  <c r="M24" i="2"/>
  <c r="M53" i="8" s="1"/>
  <c r="M3" i="3"/>
  <c r="M25" i="2"/>
  <c r="M3" i="2"/>
  <c r="M3" i="4"/>
  <c r="F3" i="5"/>
  <c r="F5" i="6" s="1"/>
  <c r="M3" i="8"/>
  <c r="B22" i="2"/>
  <c r="M34" i="8" l="1"/>
  <c r="M35" i="8" s="1"/>
  <c r="M36" i="8" s="1"/>
  <c r="M18" i="2"/>
  <c r="M37" i="1"/>
  <c r="M39" i="1" s="1"/>
  <c r="M46" i="1" s="1"/>
  <c r="M49" i="1" s="1"/>
  <c r="C6" i="1"/>
  <c r="C3" i="3" s="1"/>
  <c r="B3" i="8"/>
  <c r="G3" i="5"/>
  <c r="G5" i="6" s="1"/>
  <c r="M6" i="2"/>
  <c r="M7" i="2" s="1"/>
  <c r="M39" i="2" s="1"/>
  <c r="M14" i="2"/>
  <c r="M15" i="2" s="1"/>
  <c r="M58" i="8"/>
  <c r="M59" i="8" s="1"/>
  <c r="M65" i="8"/>
  <c r="M54" i="8"/>
  <c r="M27" i="8"/>
  <c r="M8" i="8"/>
  <c r="M16" i="8"/>
  <c r="M17" i="8" s="1"/>
  <c r="M12" i="8"/>
  <c r="M13" i="8" s="1"/>
  <c r="E22" i="25"/>
  <c r="M20" i="8"/>
  <c r="M21" i="8" s="1"/>
  <c r="B25" i="2"/>
  <c r="B3" i="4"/>
  <c r="M38" i="8"/>
  <c r="M16" i="4"/>
  <c r="M11" i="4"/>
  <c r="B23" i="2"/>
  <c r="B11" i="8" s="1"/>
  <c r="M26" i="2"/>
  <c r="M27" i="2" s="1"/>
  <c r="B28" i="2"/>
  <c r="B15" i="8" s="1"/>
  <c r="B29" i="2"/>
  <c r="B57" i="8" s="1"/>
  <c r="M32" i="2"/>
  <c r="M42" i="8" s="1"/>
  <c r="B3" i="2"/>
  <c r="B8" i="1"/>
  <c r="B37" i="1" s="1"/>
  <c r="B39" i="1" s="1"/>
  <c r="M17" i="4"/>
  <c r="B34" i="2"/>
  <c r="B19" i="8" s="1"/>
  <c r="B24" i="2"/>
  <c r="B53" i="8" s="1"/>
  <c r="B13" i="2"/>
  <c r="B3" i="3"/>
  <c r="B30" i="2"/>
  <c r="M10" i="4"/>
  <c r="B17" i="2"/>
  <c r="B7" i="8" s="1"/>
  <c r="C10" i="3" l="1"/>
  <c r="C13" i="3"/>
  <c r="C17" i="4" s="1"/>
  <c r="C26" i="3"/>
  <c r="C12" i="3"/>
  <c r="C9" i="3"/>
  <c r="B26" i="3"/>
  <c r="B29" i="3" s="1"/>
  <c r="B13" i="3"/>
  <c r="B17" i="4" s="1"/>
  <c r="B10" i="3"/>
  <c r="B11" i="4" s="1"/>
  <c r="B12" i="3"/>
  <c r="B9" i="3"/>
  <c r="B10" i="4" s="1"/>
  <c r="C12" i="1"/>
  <c r="C43" i="1" s="1"/>
  <c r="C23" i="2"/>
  <c r="C11" i="8" s="1"/>
  <c r="C12" i="8" s="1"/>
  <c r="E35" i="26" s="1"/>
  <c r="C28" i="2"/>
  <c r="C15" i="8" s="1"/>
  <c r="C16" i="8" s="1"/>
  <c r="E37" i="26" s="1"/>
  <c r="C25" i="2"/>
  <c r="C26" i="2" s="1"/>
  <c r="E18" i="26" s="1"/>
  <c r="C15" i="1"/>
  <c r="C24" i="2" s="1"/>
  <c r="C53" i="8" s="1"/>
  <c r="C54" i="8" s="1"/>
  <c r="C55" i="8" s="1"/>
  <c r="C23" i="1"/>
  <c r="C34" i="2" s="1"/>
  <c r="C19" i="8" s="1"/>
  <c r="C22" i="2"/>
  <c r="C21" i="1"/>
  <c r="C30" i="2" s="1"/>
  <c r="C31" i="2" s="1"/>
  <c r="E19" i="26" s="1"/>
  <c r="C18" i="1"/>
  <c r="C29" i="2" s="1"/>
  <c r="C57" i="8" s="1"/>
  <c r="C58" i="8" s="1"/>
  <c r="C59" i="8" s="1"/>
  <c r="C11" i="1"/>
  <c r="C17" i="2" s="1"/>
  <c r="C7" i="8" s="1"/>
  <c r="C8" i="8" s="1"/>
  <c r="C42" i="1"/>
  <c r="C9" i="1"/>
  <c r="C13" i="2" s="1"/>
  <c r="C14" i="2" s="1"/>
  <c r="C15" i="2" s="1"/>
  <c r="E11" i="26" s="1"/>
  <c r="C3" i="4"/>
  <c r="D6" i="1"/>
  <c r="M66" i="8"/>
  <c r="M47" i="1"/>
  <c r="C3" i="8"/>
  <c r="C3" i="2"/>
  <c r="H3" i="5"/>
  <c r="H5" i="6" s="1"/>
  <c r="C8" i="1"/>
  <c r="C6" i="2" s="1"/>
  <c r="M10" i="2"/>
  <c r="M12" i="2" s="1"/>
  <c r="M8" i="2"/>
  <c r="M9" i="2" s="1"/>
  <c r="M48" i="2"/>
  <c r="D8" i="1"/>
  <c r="I3" i="5"/>
  <c r="I5" i="6" s="1"/>
  <c r="F29" i="5"/>
  <c r="M15" i="4"/>
  <c r="F31" i="5"/>
  <c r="F30" i="5"/>
  <c r="M37" i="2"/>
  <c r="M38" i="2" s="1"/>
  <c r="B34" i="8"/>
  <c r="M28" i="8"/>
  <c r="B20" i="8"/>
  <c r="E39" i="25" s="1"/>
  <c r="M39" i="8"/>
  <c r="M40" i="8" s="1"/>
  <c r="B14" i="2"/>
  <c r="F15" i="5"/>
  <c r="F13" i="5"/>
  <c r="F14" i="5"/>
  <c r="M43" i="8"/>
  <c r="M44" i="8" s="1"/>
  <c r="B18" i="2"/>
  <c r="M9" i="8"/>
  <c r="M29" i="8" s="1"/>
  <c r="M46" i="8"/>
  <c r="B6" i="2"/>
  <c r="F26" i="5"/>
  <c r="F25" i="5"/>
  <c r="F27" i="5"/>
  <c r="M9" i="4"/>
  <c r="B58" i="8"/>
  <c r="B59" i="8" s="1"/>
  <c r="M55" i="8"/>
  <c r="M67" i="8" s="1"/>
  <c r="B16" i="4"/>
  <c r="B8" i="8"/>
  <c r="B9" i="8" s="1"/>
  <c r="B27" i="8"/>
  <c r="B65" i="8"/>
  <c r="B54" i="8"/>
  <c r="B55" i="8" s="1"/>
  <c r="C11" i="4"/>
  <c r="C10" i="4"/>
  <c r="C16" i="4"/>
  <c r="B12" i="8"/>
  <c r="E35" i="25" s="1"/>
  <c r="B16" i="8"/>
  <c r="E37" i="25" s="1"/>
  <c r="F9" i="5"/>
  <c r="F10" i="5"/>
  <c r="F35" i="25" s="1"/>
  <c r="F11" i="5"/>
  <c r="B31" i="2"/>
  <c r="C18" i="2"/>
  <c r="E14" i="26" s="1"/>
  <c r="B26" i="2"/>
  <c r="E18" i="25" s="1"/>
  <c r="B38" i="8"/>
  <c r="G22" i="25"/>
  <c r="Q22" i="25" s="1"/>
  <c r="M42" i="2"/>
  <c r="M40" i="2"/>
  <c r="C20" i="8" l="1"/>
  <c r="E39" i="26" s="1"/>
  <c r="G39" i="26" s="1"/>
  <c r="Q39" i="26" s="1"/>
  <c r="D11" i="1"/>
  <c r="D17" i="2" s="1"/>
  <c r="D7" i="8" s="1"/>
  <c r="D12" i="1"/>
  <c r="D43" i="1" s="1"/>
  <c r="D28" i="2"/>
  <c r="D15" i="8" s="1"/>
  <c r="D16" i="8" s="1"/>
  <c r="E37" i="27" s="1"/>
  <c r="D23" i="2"/>
  <c r="D11" i="8" s="1"/>
  <c r="D25" i="2"/>
  <c r="D21" i="1"/>
  <c r="D30" i="2" s="1"/>
  <c r="D31" i="2" s="1"/>
  <c r="E19" i="27" s="1"/>
  <c r="D15" i="1"/>
  <c r="D24" i="2" s="1"/>
  <c r="D53" i="8" s="1"/>
  <c r="D54" i="8" s="1"/>
  <c r="D18" i="1"/>
  <c r="D29" i="2" s="1"/>
  <c r="D57" i="8" s="1"/>
  <c r="D22" i="2"/>
  <c r="E22" i="27" s="1"/>
  <c r="D23" i="1"/>
  <c r="D34" i="2" s="1"/>
  <c r="D19" i="8" s="1"/>
  <c r="D42" i="1"/>
  <c r="D13" i="2"/>
  <c r="D14" i="2" s="1"/>
  <c r="D3" i="3"/>
  <c r="D3" i="4"/>
  <c r="D3" i="8"/>
  <c r="E6" i="1"/>
  <c r="D3" i="2"/>
  <c r="C38" i="8"/>
  <c r="C39" i="8" s="1"/>
  <c r="E28" i="26" s="1"/>
  <c r="C34" i="8"/>
  <c r="C35" i="8" s="1"/>
  <c r="C36" i="8" s="1"/>
  <c r="C65" i="8"/>
  <c r="E22" i="26"/>
  <c r="G22" i="26" s="1"/>
  <c r="C27" i="8"/>
  <c r="C37" i="1"/>
  <c r="C39" i="1" s="1"/>
  <c r="B17" i="8"/>
  <c r="E38" i="25" s="1"/>
  <c r="G38" i="25" s="1"/>
  <c r="Q38" i="25" s="1"/>
  <c r="B21" i="8"/>
  <c r="E40" i="25" s="1"/>
  <c r="G40" i="25" s="1"/>
  <c r="Q40" i="25" s="1"/>
  <c r="B66" i="8"/>
  <c r="C17" i="8"/>
  <c r="E38" i="26" s="1"/>
  <c r="G38" i="26" s="1"/>
  <c r="Q38" i="26" s="1"/>
  <c r="B13" i="8"/>
  <c r="E36" i="25" s="1"/>
  <c r="G36" i="25" s="1"/>
  <c r="C32" i="2"/>
  <c r="C42" i="8" s="1"/>
  <c r="M48" i="8"/>
  <c r="M47" i="8"/>
  <c r="B39" i="8"/>
  <c r="E28" i="25" s="1"/>
  <c r="H14" i="5"/>
  <c r="H13" i="5"/>
  <c r="H15" i="5"/>
  <c r="G30" i="5"/>
  <c r="F28" i="25" s="1"/>
  <c r="G29" i="5"/>
  <c r="G31" i="5"/>
  <c r="B15" i="4"/>
  <c r="B35" i="8"/>
  <c r="B36" i="8" s="1"/>
  <c r="C42" i="2"/>
  <c r="C40" i="2"/>
  <c r="E12" i="26" s="1"/>
  <c r="E33" i="26"/>
  <c r="C28" i="8"/>
  <c r="G10" i="5"/>
  <c r="G9" i="5"/>
  <c r="G11" i="5"/>
  <c r="C66" i="8"/>
  <c r="D18" i="2"/>
  <c r="E14" i="27" s="1"/>
  <c r="G14" i="5"/>
  <c r="G13" i="5"/>
  <c r="G15" i="5"/>
  <c r="D6" i="2"/>
  <c r="G35" i="26"/>
  <c r="Q35" i="26" s="1"/>
  <c r="G18" i="25"/>
  <c r="Q18" i="25" s="1"/>
  <c r="B27" i="2"/>
  <c r="E23" i="25" s="1"/>
  <c r="E19" i="25"/>
  <c r="H27" i="5"/>
  <c r="H25" i="5"/>
  <c r="C9" i="4"/>
  <c r="H26" i="5"/>
  <c r="B7" i="2"/>
  <c r="B39" i="2" s="1"/>
  <c r="B48" i="2"/>
  <c r="B8" i="2"/>
  <c r="B9" i="2" s="1"/>
  <c r="E14" i="25"/>
  <c r="B42" i="2"/>
  <c r="B40" i="2"/>
  <c r="E12" i="25" s="1"/>
  <c r="D8" i="8"/>
  <c r="D9" i="8" s="1"/>
  <c r="I22" i="25"/>
  <c r="L22" i="25"/>
  <c r="C67" i="8"/>
  <c r="C7" i="2"/>
  <c r="C39" i="2" s="1"/>
  <c r="C48" i="2"/>
  <c r="C8" i="2"/>
  <c r="C9" i="2" s="1"/>
  <c r="M41" i="2"/>
  <c r="I39" i="26"/>
  <c r="L39" i="26"/>
  <c r="B32" i="2"/>
  <c r="G37" i="25"/>
  <c r="G35" i="25"/>
  <c r="Q35" i="25" s="1"/>
  <c r="G27" i="5"/>
  <c r="B9" i="4"/>
  <c r="G25" i="5"/>
  <c r="G26" i="5"/>
  <c r="F26" i="25" s="1"/>
  <c r="G19" i="26"/>
  <c r="B15" i="2"/>
  <c r="E11" i="25" s="1"/>
  <c r="E3" i="8"/>
  <c r="E3" i="4"/>
  <c r="E3" i="2"/>
  <c r="F6" i="1"/>
  <c r="E3" i="3"/>
  <c r="J3" i="5"/>
  <c r="J5" i="6" s="1"/>
  <c r="E8" i="1"/>
  <c r="D20" i="8"/>
  <c r="E39" i="27" s="1"/>
  <c r="C13" i="8"/>
  <c r="E36" i="26" s="1"/>
  <c r="E34" i="25"/>
  <c r="H35" i="25"/>
  <c r="R35" i="25" s="1"/>
  <c r="C9" i="8"/>
  <c r="B67" i="8"/>
  <c r="S39" i="26"/>
  <c r="V39" i="26"/>
  <c r="G14" i="26"/>
  <c r="Q14" i="26" s="1"/>
  <c r="C15" i="4"/>
  <c r="H31" i="5"/>
  <c r="H29" i="5"/>
  <c r="H30" i="5"/>
  <c r="D58" i="8"/>
  <c r="D59" i="8" s="1"/>
  <c r="G18" i="26"/>
  <c r="Q18" i="26" s="1"/>
  <c r="H9" i="5"/>
  <c r="H10" i="5"/>
  <c r="H11" i="5"/>
  <c r="E33" i="25"/>
  <c r="B28" i="8"/>
  <c r="G37" i="26"/>
  <c r="G39" i="25"/>
  <c r="Q39" i="25" s="1"/>
  <c r="C27" i="2"/>
  <c r="E23" i="26" s="1"/>
  <c r="S22" i="25"/>
  <c r="V22" i="25"/>
  <c r="G11" i="26"/>
  <c r="Q11" i="26" s="1"/>
  <c r="D38" i="8" l="1"/>
  <c r="D27" i="8"/>
  <c r="D26" i="2"/>
  <c r="E18" i="27" s="1"/>
  <c r="D12" i="8"/>
  <c r="E35" i="27" s="1"/>
  <c r="D34" i="8"/>
  <c r="D65" i="8"/>
  <c r="E24" i="26"/>
  <c r="G24" i="26" s="1"/>
  <c r="Q24" i="26" s="1"/>
  <c r="C21" i="8"/>
  <c r="E40" i="26" s="1"/>
  <c r="G40" i="26" s="1"/>
  <c r="I40" i="26" s="1"/>
  <c r="D37" i="1"/>
  <c r="D39" i="1" s="1"/>
  <c r="D46" i="1" s="1"/>
  <c r="D47" i="1" s="1"/>
  <c r="E13" i="3"/>
  <c r="E10" i="3"/>
  <c r="E26" i="3"/>
  <c r="E12" i="3"/>
  <c r="E9" i="3"/>
  <c r="E10" i="4" s="1"/>
  <c r="D13" i="3"/>
  <c r="D17" i="4" s="1"/>
  <c r="I15" i="5" s="1"/>
  <c r="D10" i="3"/>
  <c r="D11" i="4" s="1"/>
  <c r="D12" i="3"/>
  <c r="D16" i="4" s="1"/>
  <c r="D9" i="3"/>
  <c r="D10" i="4" s="1"/>
  <c r="F12" i="1"/>
  <c r="F43" i="1" s="1"/>
  <c r="F22" i="2"/>
  <c r="F15" i="1"/>
  <c r="F24" i="2" s="1"/>
  <c r="F53" i="8" s="1"/>
  <c r="F21" i="1"/>
  <c r="F23" i="1"/>
  <c r="F34" i="2" s="1"/>
  <c r="F19" i="8" s="1"/>
  <c r="F18" i="1"/>
  <c r="F29" i="2" s="1"/>
  <c r="F57" i="8" s="1"/>
  <c r="F11" i="1"/>
  <c r="F42" i="1"/>
  <c r="F13" i="2"/>
  <c r="E12" i="1"/>
  <c r="E43" i="1" s="1"/>
  <c r="E28" i="2"/>
  <c r="E15" i="8" s="1"/>
  <c r="E16" i="8" s="1"/>
  <c r="E37" i="28" s="1"/>
  <c r="E23" i="2"/>
  <c r="E11" i="8" s="1"/>
  <c r="E12" i="8" s="1"/>
  <c r="E35" i="28" s="1"/>
  <c r="E25" i="2"/>
  <c r="E26" i="2" s="1"/>
  <c r="E18" i="28" s="1"/>
  <c r="E22" i="2"/>
  <c r="E21" i="1"/>
  <c r="E30" i="2" s="1"/>
  <c r="E18" i="1"/>
  <c r="E29" i="2" s="1"/>
  <c r="E57" i="8" s="1"/>
  <c r="E15" i="1"/>
  <c r="E24" i="2" s="1"/>
  <c r="E53" i="8" s="1"/>
  <c r="E54" i="8" s="1"/>
  <c r="E55" i="8" s="1"/>
  <c r="E23" i="1"/>
  <c r="E34" i="2" s="1"/>
  <c r="E19" i="8" s="1"/>
  <c r="E20" i="8" s="1"/>
  <c r="E39" i="28" s="1"/>
  <c r="E11" i="1"/>
  <c r="E17" i="2" s="1"/>
  <c r="E7" i="8" s="1"/>
  <c r="E8" i="8" s="1"/>
  <c r="E9" i="8" s="1"/>
  <c r="E42" i="1"/>
  <c r="E13" i="2"/>
  <c r="E14" i="2" s="1"/>
  <c r="E15" i="2" s="1"/>
  <c r="E11" i="28" s="1"/>
  <c r="C46" i="8"/>
  <c r="C46" i="1"/>
  <c r="B29" i="8"/>
  <c r="C10" i="2"/>
  <c r="C12" i="2" s="1"/>
  <c r="D66" i="8"/>
  <c r="D27" i="2"/>
  <c r="E23" i="27" s="1"/>
  <c r="G23" i="27" s="1"/>
  <c r="Q23" i="27" s="1"/>
  <c r="S14" i="26"/>
  <c r="V14" i="26"/>
  <c r="E34" i="27"/>
  <c r="S11" i="26"/>
  <c r="V11" i="26"/>
  <c r="S39" i="25"/>
  <c r="V39" i="25"/>
  <c r="S18" i="25"/>
  <c r="V18" i="25"/>
  <c r="T18" i="25"/>
  <c r="S38" i="25"/>
  <c r="U38" i="25" s="1"/>
  <c r="V38" i="25"/>
  <c r="S35" i="26"/>
  <c r="V35" i="26"/>
  <c r="S40" i="25"/>
  <c r="U40" i="25" s="1"/>
  <c r="V40" i="25"/>
  <c r="I36" i="25"/>
  <c r="L36" i="25"/>
  <c r="I29" i="5"/>
  <c r="I31" i="5"/>
  <c r="I30" i="5"/>
  <c r="AB39" i="26"/>
  <c r="C37" i="2"/>
  <c r="E9" i="26" s="1"/>
  <c r="G19" i="25"/>
  <c r="Q19" i="25" s="1"/>
  <c r="G18" i="27"/>
  <c r="Q18" i="27" s="1"/>
  <c r="C41" i="2"/>
  <c r="E13" i="26" s="1"/>
  <c r="G37" i="27"/>
  <c r="I14" i="26"/>
  <c r="L14" i="26"/>
  <c r="G34" i="25"/>
  <c r="Q34" i="25" s="1"/>
  <c r="G11" i="25"/>
  <c r="Q11" i="25" s="1"/>
  <c r="Y39" i="26"/>
  <c r="G12" i="25"/>
  <c r="Q12" i="25" s="1"/>
  <c r="B37" i="2"/>
  <c r="E9" i="25" s="1"/>
  <c r="E27" i="25"/>
  <c r="I35" i="26"/>
  <c r="L35" i="26"/>
  <c r="T18" i="26"/>
  <c r="S18" i="26"/>
  <c r="V18" i="26"/>
  <c r="I38" i="26"/>
  <c r="L38" i="26"/>
  <c r="G36" i="26"/>
  <c r="Q36" i="26" s="1"/>
  <c r="I19" i="26"/>
  <c r="L19" i="26"/>
  <c r="AB22" i="25"/>
  <c r="B41" i="2"/>
  <c r="E13" i="25" s="1"/>
  <c r="G23" i="25"/>
  <c r="Q23" i="25" s="1"/>
  <c r="D7" i="2"/>
  <c r="D39" i="2" s="1"/>
  <c r="D8" i="2"/>
  <c r="D9" i="2" s="1"/>
  <c r="D48" i="2"/>
  <c r="G14" i="27"/>
  <c r="Q14" i="27" s="1"/>
  <c r="G23" i="26"/>
  <c r="Q23" i="26" s="1"/>
  <c r="F25" i="2"/>
  <c r="F30" i="2"/>
  <c r="F23" i="2"/>
  <c r="F11" i="8" s="1"/>
  <c r="F28" i="2"/>
  <c r="F15" i="8" s="1"/>
  <c r="F17" i="2"/>
  <c r="F7" i="8" s="1"/>
  <c r="K3" i="5"/>
  <c r="K5" i="6" s="1"/>
  <c r="F3" i="4"/>
  <c r="F3" i="2"/>
  <c r="F8" i="1"/>
  <c r="F3" i="8"/>
  <c r="G6" i="1"/>
  <c r="F3" i="3"/>
  <c r="G28" i="26"/>
  <c r="Q28" i="26" s="1"/>
  <c r="E27" i="26"/>
  <c r="D55" i="8"/>
  <c r="D67" i="8" s="1"/>
  <c r="E26" i="26"/>
  <c r="L18" i="26"/>
  <c r="J18" i="26"/>
  <c r="I18" i="26"/>
  <c r="D21" i="8"/>
  <c r="E40" i="27" s="1"/>
  <c r="Q19" i="26"/>
  <c r="I35" i="25"/>
  <c r="L35" i="25"/>
  <c r="I38" i="25"/>
  <c r="L38" i="25"/>
  <c r="Y22" i="25"/>
  <c r="G14" i="25"/>
  <c r="Q14" i="25" s="1"/>
  <c r="D32" i="2"/>
  <c r="D13" i="8"/>
  <c r="E36" i="27" s="1"/>
  <c r="E26" i="25"/>
  <c r="B40" i="8"/>
  <c r="E29" i="25" s="1"/>
  <c r="L37" i="26"/>
  <c r="I37" i="26"/>
  <c r="E33" i="27"/>
  <c r="D28" i="8"/>
  <c r="G12" i="26"/>
  <c r="Q12" i="26" s="1"/>
  <c r="I27" i="5"/>
  <c r="I25" i="5"/>
  <c r="I26" i="5"/>
  <c r="L39" i="25"/>
  <c r="I39" i="25"/>
  <c r="G39" i="27"/>
  <c r="Q39" i="27" s="1"/>
  <c r="E17" i="4"/>
  <c r="E11" i="4"/>
  <c r="E16" i="4"/>
  <c r="H26" i="25"/>
  <c r="R26" i="25" s="1"/>
  <c r="S35" i="25"/>
  <c r="V35" i="25"/>
  <c r="G22" i="27"/>
  <c r="Q22" i="27" s="1"/>
  <c r="J18" i="25"/>
  <c r="I18" i="25"/>
  <c r="L18" i="25"/>
  <c r="G19" i="27"/>
  <c r="G35" i="27"/>
  <c r="Q35" i="27" s="1"/>
  <c r="G28" i="25"/>
  <c r="Q28" i="25" s="1"/>
  <c r="H28" i="25"/>
  <c r="R28" i="25" s="1"/>
  <c r="C40" i="8"/>
  <c r="E29" i="26" s="1"/>
  <c r="G33" i="25"/>
  <c r="Q33" i="25" s="1"/>
  <c r="E34" i="26"/>
  <c r="E6" i="2"/>
  <c r="I37" i="25"/>
  <c r="L37" i="25"/>
  <c r="D35" i="8"/>
  <c r="D36" i="8" s="1"/>
  <c r="C43" i="8"/>
  <c r="C44" i="8" s="1"/>
  <c r="I22" i="26"/>
  <c r="L22" i="26"/>
  <c r="D42" i="2"/>
  <c r="D40" i="2"/>
  <c r="E12" i="27" s="1"/>
  <c r="E24" i="25"/>
  <c r="B42" i="8"/>
  <c r="F37" i="25"/>
  <c r="G33" i="26"/>
  <c r="Q33" i="26" s="1"/>
  <c r="I11" i="26"/>
  <c r="L11" i="26"/>
  <c r="V38" i="26"/>
  <c r="S38" i="26"/>
  <c r="U38" i="26" s="1"/>
  <c r="D17" i="8"/>
  <c r="E38" i="27" s="1"/>
  <c r="Q37" i="26"/>
  <c r="L40" i="25"/>
  <c r="I40" i="25"/>
  <c r="E31" i="2"/>
  <c r="E32" i="2" s="1"/>
  <c r="Q37" i="25"/>
  <c r="B10" i="2"/>
  <c r="Q36" i="25"/>
  <c r="Q22" i="26"/>
  <c r="D39" i="8"/>
  <c r="E28" i="27" s="1"/>
  <c r="D15" i="2"/>
  <c r="E11" i="27" s="1"/>
  <c r="E18" i="2" l="1"/>
  <c r="E8" i="26"/>
  <c r="L40" i="26"/>
  <c r="C29" i="8"/>
  <c r="Q40" i="26"/>
  <c r="E34" i="8"/>
  <c r="E35" i="8" s="1"/>
  <c r="D9" i="4"/>
  <c r="I10" i="5"/>
  <c r="I11" i="5"/>
  <c r="I9" i="5"/>
  <c r="E22" i="28"/>
  <c r="E65" i="8"/>
  <c r="D49" i="1"/>
  <c r="E27" i="8"/>
  <c r="I13" i="5"/>
  <c r="E58" i="8"/>
  <c r="E59" i="8" s="1"/>
  <c r="E67" i="8" s="1"/>
  <c r="E37" i="1"/>
  <c r="E39" i="1" s="1"/>
  <c r="E46" i="1" s="1"/>
  <c r="E49" i="1" s="1"/>
  <c r="E38" i="8"/>
  <c r="E39" i="8" s="1"/>
  <c r="E28" i="28" s="1"/>
  <c r="I14" i="5"/>
  <c r="D15" i="4"/>
  <c r="F13" i="3"/>
  <c r="F17" i="4" s="1"/>
  <c r="F10" i="3"/>
  <c r="F11" i="4" s="1"/>
  <c r="F26" i="3"/>
  <c r="F12" i="3"/>
  <c r="F16" i="4" s="1"/>
  <c r="F9" i="3"/>
  <c r="G12" i="1"/>
  <c r="G43" i="1" s="1"/>
  <c r="G23" i="2"/>
  <c r="G11" i="8" s="1"/>
  <c r="G22" i="2"/>
  <c r="G23" i="1"/>
  <c r="G34" i="2" s="1"/>
  <c r="G19" i="8" s="1"/>
  <c r="G21" i="1"/>
  <c r="G18" i="1"/>
  <c r="G29" i="2" s="1"/>
  <c r="G57" i="8" s="1"/>
  <c r="G15" i="1"/>
  <c r="G24" i="2" s="1"/>
  <c r="G53" i="8" s="1"/>
  <c r="G11" i="1"/>
  <c r="G17" i="2" s="1"/>
  <c r="G7" i="8" s="1"/>
  <c r="G42" i="1"/>
  <c r="G13" i="2"/>
  <c r="F21" i="13" s="1"/>
  <c r="C47" i="1"/>
  <c r="C49" i="1"/>
  <c r="B47" i="1"/>
  <c r="AB40" i="25"/>
  <c r="Z18" i="26"/>
  <c r="AB18" i="25"/>
  <c r="AB14" i="26"/>
  <c r="U18" i="26"/>
  <c r="Z18" i="25"/>
  <c r="AB18" i="26"/>
  <c r="AB11" i="26"/>
  <c r="AB39" i="25"/>
  <c r="AB38" i="25"/>
  <c r="AB35" i="26"/>
  <c r="AB35" i="25"/>
  <c r="E17" i="8"/>
  <c r="E38" i="28" s="1"/>
  <c r="G38" i="28" s="1"/>
  <c r="Q38" i="28" s="1"/>
  <c r="C47" i="8"/>
  <c r="U18" i="25"/>
  <c r="E27" i="2"/>
  <c r="E23" i="28" s="1"/>
  <c r="G23" i="28" s="1"/>
  <c r="Q23" i="28" s="1"/>
  <c r="E13" i="8"/>
  <c r="E36" i="28" s="1"/>
  <c r="G36" i="28" s="1"/>
  <c r="D10" i="2"/>
  <c r="E8" i="27" s="1"/>
  <c r="B38" i="2"/>
  <c r="E10" i="25" s="1"/>
  <c r="G10" i="25" s="1"/>
  <c r="E21" i="8"/>
  <c r="E40" i="28" s="1"/>
  <c r="G40" i="28" s="1"/>
  <c r="Q40" i="28" s="1"/>
  <c r="S12" i="25"/>
  <c r="V12" i="25"/>
  <c r="S22" i="27"/>
  <c r="V22" i="27"/>
  <c r="S23" i="25"/>
  <c r="V23" i="25"/>
  <c r="S11" i="25"/>
  <c r="V11" i="25"/>
  <c r="E34" i="28"/>
  <c r="E24" i="28"/>
  <c r="E42" i="8"/>
  <c r="S12" i="26"/>
  <c r="V12" i="26"/>
  <c r="S14" i="27"/>
  <c r="V14" i="27"/>
  <c r="S14" i="25"/>
  <c r="V14" i="25"/>
  <c r="F54" i="8"/>
  <c r="F55" i="8" s="1"/>
  <c r="F65" i="8"/>
  <c r="V36" i="26"/>
  <c r="S36" i="26"/>
  <c r="U36" i="26" s="1"/>
  <c r="G28" i="27"/>
  <c r="S36" i="25"/>
  <c r="U36" i="25" s="1"/>
  <c r="V36" i="25"/>
  <c r="AB36" i="25" s="1"/>
  <c r="G12" i="27"/>
  <c r="Q12" i="27" s="1"/>
  <c r="S33" i="25"/>
  <c r="V33" i="25"/>
  <c r="E14" i="28"/>
  <c r="I33" i="26"/>
  <c r="L33" i="26"/>
  <c r="D41" i="2"/>
  <c r="E13" i="27" s="1"/>
  <c r="L33" i="25"/>
  <c r="I33" i="25"/>
  <c r="G8" i="26"/>
  <c r="Q8" i="26" s="1"/>
  <c r="Y18" i="25"/>
  <c r="K18" i="25"/>
  <c r="J10" i="5"/>
  <c r="J11" i="5"/>
  <c r="J9" i="5"/>
  <c r="G35" i="28"/>
  <c r="G27" i="26"/>
  <c r="Q27" i="26" s="1"/>
  <c r="E22" i="29"/>
  <c r="F34" i="8"/>
  <c r="I23" i="26"/>
  <c r="L23" i="26"/>
  <c r="I36" i="26"/>
  <c r="L36" i="26"/>
  <c r="J18" i="27"/>
  <c r="I18" i="27"/>
  <c r="L18" i="27"/>
  <c r="G39" i="28"/>
  <c r="H37" i="25"/>
  <c r="R37" i="25" s="1"/>
  <c r="F14" i="2"/>
  <c r="I11" i="25"/>
  <c r="L11" i="25"/>
  <c r="S18" i="27"/>
  <c r="T18" i="27"/>
  <c r="V18" i="27"/>
  <c r="E8" i="25"/>
  <c r="B12" i="2"/>
  <c r="S40" i="26"/>
  <c r="U40" i="26" s="1"/>
  <c r="V40" i="26"/>
  <c r="AB40" i="26" s="1"/>
  <c r="G38" i="27"/>
  <c r="Q38" i="27" s="1"/>
  <c r="L35" i="27"/>
  <c r="I35" i="27"/>
  <c r="I24" i="26"/>
  <c r="L24" i="26"/>
  <c r="I39" i="27"/>
  <c r="L39" i="27"/>
  <c r="G40" i="27"/>
  <c r="G26" i="26"/>
  <c r="L28" i="26"/>
  <c r="I28" i="26"/>
  <c r="F16" i="8"/>
  <c r="E37" i="29" s="1"/>
  <c r="AB38" i="26"/>
  <c r="Y35" i="26"/>
  <c r="G9" i="25"/>
  <c r="Q9" i="25" s="1"/>
  <c r="G37" i="28"/>
  <c r="Q37" i="28" s="1"/>
  <c r="I19" i="25"/>
  <c r="L19" i="25"/>
  <c r="G22" i="28"/>
  <c r="G29" i="25"/>
  <c r="Q29" i="25" s="1"/>
  <c r="S28" i="26"/>
  <c r="V28" i="26"/>
  <c r="I14" i="27"/>
  <c r="L14" i="27"/>
  <c r="G11" i="27"/>
  <c r="S37" i="25"/>
  <c r="Y37" i="25" s="1"/>
  <c r="V37" i="25"/>
  <c r="AB37" i="25" s="1"/>
  <c r="B43" i="8"/>
  <c r="B47" i="8" s="1"/>
  <c r="B46" i="8"/>
  <c r="E7" i="2"/>
  <c r="E39" i="2" s="1"/>
  <c r="E8" i="2"/>
  <c r="E9" i="2" s="1"/>
  <c r="E48" i="2"/>
  <c r="S24" i="26"/>
  <c r="V24" i="26"/>
  <c r="G18" i="28"/>
  <c r="Q18" i="28" s="1"/>
  <c r="Y39" i="25"/>
  <c r="G26" i="25"/>
  <c r="Q26" i="25" s="1"/>
  <c r="F10" i="4"/>
  <c r="F12" i="8"/>
  <c r="E35" i="29" s="1"/>
  <c r="Y38" i="26"/>
  <c r="AA38" i="26" s="1"/>
  <c r="K38" i="26"/>
  <c r="S23" i="27"/>
  <c r="V23" i="27"/>
  <c r="S19" i="25"/>
  <c r="V19" i="25"/>
  <c r="D40" i="8"/>
  <c r="E29" i="27" s="1"/>
  <c r="K40" i="25"/>
  <c r="Y40" i="25"/>
  <c r="AA40" i="25" s="1"/>
  <c r="G24" i="25"/>
  <c r="Q24" i="25" s="1"/>
  <c r="G29" i="26"/>
  <c r="Q29" i="26" s="1"/>
  <c r="I28" i="25"/>
  <c r="L28" i="25"/>
  <c r="G33" i="27"/>
  <c r="Q33" i="27" s="1"/>
  <c r="K38" i="25"/>
  <c r="Y38" i="25"/>
  <c r="AA38" i="25" s="1"/>
  <c r="Y18" i="26"/>
  <c r="K18" i="26"/>
  <c r="G25" i="2"/>
  <c r="G28" i="2"/>
  <c r="G15" i="8" s="1"/>
  <c r="G30" i="2"/>
  <c r="G3" i="8"/>
  <c r="G8" i="1"/>
  <c r="L3" i="5"/>
  <c r="L5" i="6" s="1"/>
  <c r="G3" i="2"/>
  <c r="G3" i="3"/>
  <c r="G3" i="4"/>
  <c r="F31" i="2"/>
  <c r="E19" i="29" s="1"/>
  <c r="I34" i="25"/>
  <c r="L34" i="25"/>
  <c r="I23" i="27"/>
  <c r="L23" i="27"/>
  <c r="G34" i="27"/>
  <c r="Q34" i="27" s="1"/>
  <c r="I12" i="26"/>
  <c r="L12" i="26"/>
  <c r="G13" i="25"/>
  <c r="Q13" i="25" s="1"/>
  <c r="E27" i="27"/>
  <c r="S28" i="25"/>
  <c r="V28" i="25"/>
  <c r="J13" i="5"/>
  <c r="J14" i="5"/>
  <c r="J15" i="5"/>
  <c r="G36" i="27"/>
  <c r="Q36" i="27" s="1"/>
  <c r="F18" i="2"/>
  <c r="E14" i="29" s="1"/>
  <c r="F20" i="8"/>
  <c r="E39" i="29" s="1"/>
  <c r="G27" i="25"/>
  <c r="Q27" i="25" s="1"/>
  <c r="I12" i="25"/>
  <c r="L12" i="25"/>
  <c r="V34" i="25"/>
  <c r="S34" i="25"/>
  <c r="U34" i="25" s="1"/>
  <c r="I37" i="27"/>
  <c r="L37" i="27"/>
  <c r="G9" i="26"/>
  <c r="Q9" i="26" s="1"/>
  <c r="D29" i="8"/>
  <c r="S35" i="27"/>
  <c r="V35" i="27"/>
  <c r="S39" i="27"/>
  <c r="V39" i="27"/>
  <c r="G11" i="28"/>
  <c r="Q11" i="28" s="1"/>
  <c r="G34" i="26"/>
  <c r="Q34" i="26" s="1"/>
  <c r="L19" i="27"/>
  <c r="I19" i="27"/>
  <c r="I22" i="27"/>
  <c r="L22" i="27"/>
  <c r="S22" i="26"/>
  <c r="Y22" i="26" s="1"/>
  <c r="V22" i="26"/>
  <c r="AB22" i="26" s="1"/>
  <c r="S37" i="26"/>
  <c r="Y37" i="26" s="1"/>
  <c r="V37" i="26"/>
  <c r="AB37" i="26" s="1"/>
  <c r="Y11" i="26"/>
  <c r="E40" i="2"/>
  <c r="E12" i="28" s="1"/>
  <c r="E42" i="2"/>
  <c r="Q19" i="27"/>
  <c r="J30" i="5"/>
  <c r="E15" i="4"/>
  <c r="J29" i="5"/>
  <c r="J31" i="5"/>
  <c r="K40" i="26"/>
  <c r="D42" i="8"/>
  <c r="E24" i="27"/>
  <c r="Y35" i="25"/>
  <c r="F37" i="1"/>
  <c r="F39" i="1" s="1"/>
  <c r="F46" i="1" s="1"/>
  <c r="F49" i="1" s="1"/>
  <c r="F6" i="2"/>
  <c r="F8" i="8"/>
  <c r="F9" i="8" s="1"/>
  <c r="F27" i="8"/>
  <c r="F38" i="8"/>
  <c r="F26" i="2"/>
  <c r="E18" i="29" s="1"/>
  <c r="D37" i="2"/>
  <c r="E9" i="27" s="1"/>
  <c r="Q37" i="27"/>
  <c r="C38" i="2"/>
  <c r="E10" i="26" s="1"/>
  <c r="K36" i="25"/>
  <c r="E19" i="28"/>
  <c r="S33" i="26"/>
  <c r="V33" i="26"/>
  <c r="E26" i="27"/>
  <c r="J25" i="5"/>
  <c r="J26" i="5"/>
  <c r="J27" i="5"/>
  <c r="E9" i="4"/>
  <c r="I14" i="25"/>
  <c r="L14" i="25"/>
  <c r="S19" i="26"/>
  <c r="V19" i="26"/>
  <c r="AB19" i="26" s="1"/>
  <c r="C48" i="8"/>
  <c r="F58" i="8"/>
  <c r="F59" i="8" s="1"/>
  <c r="V23" i="26"/>
  <c r="S23" i="26"/>
  <c r="I23" i="25"/>
  <c r="L23" i="25"/>
  <c r="E33" i="28"/>
  <c r="E28" i="8"/>
  <c r="Y14" i="26"/>
  <c r="G13" i="26"/>
  <c r="Q13" i="26" s="1"/>
  <c r="E66" i="8" l="1"/>
  <c r="E46" i="8"/>
  <c r="AB22" i="27"/>
  <c r="AB23" i="25"/>
  <c r="D12" i="2"/>
  <c r="AA18" i="26"/>
  <c r="E47" i="1"/>
  <c r="H12" i="1"/>
  <c r="H43" i="1" s="1"/>
  <c r="H28" i="2"/>
  <c r="H15" i="8" s="1"/>
  <c r="H23" i="1"/>
  <c r="H18" i="1"/>
  <c r="H21" i="1"/>
  <c r="H30" i="2" s="1"/>
  <c r="H15" i="1"/>
  <c r="H11" i="1"/>
  <c r="H17" i="2" s="1"/>
  <c r="H7" i="8" s="1"/>
  <c r="H42" i="1"/>
  <c r="G10" i="3"/>
  <c r="G11" i="4" s="1"/>
  <c r="G13" i="3"/>
  <c r="G17" i="4" s="1"/>
  <c r="G26" i="3"/>
  <c r="G12" i="3"/>
  <c r="G9" i="3"/>
  <c r="AB12" i="26"/>
  <c r="Y36" i="25"/>
  <c r="AA36" i="25" s="1"/>
  <c r="AB14" i="27"/>
  <c r="AA18" i="25"/>
  <c r="AB36" i="26"/>
  <c r="AB33" i="25"/>
  <c r="F43" i="13"/>
  <c r="H43" i="13" s="1"/>
  <c r="AB14" i="25"/>
  <c r="AB12" i="25"/>
  <c r="U18" i="27"/>
  <c r="E41" i="2"/>
  <c r="E13" i="28" s="1"/>
  <c r="G13" i="28" s="1"/>
  <c r="Q13" i="28" s="1"/>
  <c r="F17" i="8"/>
  <c r="E38" i="29" s="1"/>
  <c r="G38" i="29" s="1"/>
  <c r="Q38" i="29" s="1"/>
  <c r="AB18" i="27"/>
  <c r="Z18" i="27"/>
  <c r="F47" i="1"/>
  <c r="F32" i="2"/>
  <c r="E24" i="29" s="1"/>
  <c r="E29" i="8"/>
  <c r="Q36" i="28"/>
  <c r="V36" i="28" s="1"/>
  <c r="AB19" i="25"/>
  <c r="AB34" i="25"/>
  <c r="F27" i="2"/>
  <c r="E23" i="29" s="1"/>
  <c r="G23" i="29" s="1"/>
  <c r="Q23" i="29" s="1"/>
  <c r="E40" i="8"/>
  <c r="E29" i="28" s="1"/>
  <c r="G29" i="28" s="1"/>
  <c r="Q29" i="28" s="1"/>
  <c r="F13" i="8"/>
  <c r="E36" i="29" s="1"/>
  <c r="G36" i="29" s="1"/>
  <c r="V13" i="25"/>
  <c r="S13" i="25"/>
  <c r="T13" i="25"/>
  <c r="E34" i="29"/>
  <c r="S9" i="25"/>
  <c r="V9" i="25"/>
  <c r="S38" i="27"/>
  <c r="U38" i="27" s="1"/>
  <c r="V38" i="27"/>
  <c r="S27" i="26"/>
  <c r="U27" i="26" s="1"/>
  <c r="V27" i="26"/>
  <c r="S38" i="28"/>
  <c r="U38" i="28" s="1"/>
  <c r="V38" i="28"/>
  <c r="V29" i="25"/>
  <c r="S29" i="25"/>
  <c r="U29" i="25" s="1"/>
  <c r="Y28" i="25"/>
  <c r="I39" i="28"/>
  <c r="L39" i="28"/>
  <c r="G13" i="27"/>
  <c r="F21" i="8"/>
  <c r="E40" i="29" s="1"/>
  <c r="Y12" i="26"/>
  <c r="Y34" i="25"/>
  <c r="AA34" i="25" s="1"/>
  <c r="K34" i="25"/>
  <c r="S33" i="27"/>
  <c r="V33" i="27"/>
  <c r="E37" i="2"/>
  <c r="E9" i="28" s="1"/>
  <c r="I40" i="27"/>
  <c r="L40" i="27"/>
  <c r="Y35" i="27"/>
  <c r="AB11" i="25"/>
  <c r="G22" i="29"/>
  <c r="Q22" i="29" s="1"/>
  <c r="AB33" i="26"/>
  <c r="I12" i="27"/>
  <c r="L12" i="27"/>
  <c r="F67" i="8"/>
  <c r="Y24" i="26"/>
  <c r="G33" i="28"/>
  <c r="Q33" i="28" s="1"/>
  <c r="G38" i="8"/>
  <c r="G26" i="2"/>
  <c r="E18" i="30" s="1"/>
  <c r="F57" i="13"/>
  <c r="S29" i="26"/>
  <c r="U29" i="26" s="1"/>
  <c r="V29" i="26"/>
  <c r="D43" i="8"/>
  <c r="D47" i="8" s="1"/>
  <c r="D46" i="8"/>
  <c r="I34" i="27"/>
  <c r="L34" i="27"/>
  <c r="G6" i="2"/>
  <c r="F20" i="13" s="1"/>
  <c r="G37" i="1"/>
  <c r="G39" i="1" s="1"/>
  <c r="G46" i="1" s="1"/>
  <c r="G49" i="1" s="1"/>
  <c r="G14" i="2"/>
  <c r="G15" i="2" s="1"/>
  <c r="E11" i="30" s="1"/>
  <c r="I33" i="27"/>
  <c r="L33" i="27"/>
  <c r="I29" i="26"/>
  <c r="L29" i="26"/>
  <c r="G35" i="29"/>
  <c r="Q35" i="29" s="1"/>
  <c r="Y14" i="27"/>
  <c r="Y19" i="25"/>
  <c r="G37" i="29"/>
  <c r="Q40" i="27"/>
  <c r="AB35" i="27"/>
  <c r="G8" i="25"/>
  <c r="Q8" i="25" s="1"/>
  <c r="Y11" i="25"/>
  <c r="Y18" i="27"/>
  <c r="K18" i="27"/>
  <c r="Y33" i="26"/>
  <c r="F66" i="8"/>
  <c r="Y22" i="27"/>
  <c r="I35" i="28"/>
  <c r="L35" i="28"/>
  <c r="J13" i="26"/>
  <c r="L13" i="26"/>
  <c r="I13" i="26"/>
  <c r="Y23" i="25"/>
  <c r="G10" i="26"/>
  <c r="Q10" i="26" s="1"/>
  <c r="Y40" i="26"/>
  <c r="AA40" i="26" s="1"/>
  <c r="I34" i="26"/>
  <c r="L34" i="26"/>
  <c r="G14" i="29"/>
  <c r="S34" i="27"/>
  <c r="U34" i="27" s="1"/>
  <c r="V34" i="27"/>
  <c r="G54" i="8"/>
  <c r="G65" i="8"/>
  <c r="G18" i="2"/>
  <c r="E14" i="30" s="1"/>
  <c r="G20" i="8"/>
  <c r="E39" i="30" s="1"/>
  <c r="S24" i="25"/>
  <c r="V24" i="25"/>
  <c r="E26" i="28"/>
  <c r="I38" i="28"/>
  <c r="L38" i="28"/>
  <c r="K13" i="5"/>
  <c r="K15" i="5"/>
  <c r="K14" i="5"/>
  <c r="S37" i="28"/>
  <c r="V37" i="28"/>
  <c r="F40" i="2"/>
  <c r="E12" i="29" s="1"/>
  <c r="F42" i="2"/>
  <c r="L27" i="26"/>
  <c r="I27" i="26"/>
  <c r="S8" i="26"/>
  <c r="V8" i="26"/>
  <c r="E43" i="8"/>
  <c r="E47" i="8" s="1"/>
  <c r="L26" i="26"/>
  <c r="I26" i="26"/>
  <c r="S37" i="27"/>
  <c r="Y37" i="27" s="1"/>
  <c r="V37" i="27"/>
  <c r="AB37" i="27" s="1"/>
  <c r="S19" i="27"/>
  <c r="V19" i="27"/>
  <c r="AB19" i="27" s="1"/>
  <c r="S36" i="27"/>
  <c r="U36" i="27" s="1"/>
  <c r="V36" i="27"/>
  <c r="Y19" i="26"/>
  <c r="H8" i="1"/>
  <c r="H34" i="2"/>
  <c r="H19" i="8" s="1"/>
  <c r="H22" i="2"/>
  <c r="H13" i="2"/>
  <c r="H29" i="2"/>
  <c r="H57" i="8" s="1"/>
  <c r="H25" i="2"/>
  <c r="H3" i="3"/>
  <c r="H23" i="2"/>
  <c r="H11" i="8" s="1"/>
  <c r="H24" i="2"/>
  <c r="H53" i="8" s="1"/>
  <c r="H3" i="8"/>
  <c r="H3" i="2"/>
  <c r="I6" i="1"/>
  <c r="M3" i="5"/>
  <c r="M5" i="6" s="1"/>
  <c r="H3" i="4"/>
  <c r="G12" i="8"/>
  <c r="E35" i="30" s="1"/>
  <c r="I24" i="25"/>
  <c r="L24" i="25"/>
  <c r="E36" i="8"/>
  <c r="I10" i="25"/>
  <c r="L10" i="25"/>
  <c r="J10" i="25"/>
  <c r="F9" i="4"/>
  <c r="K25" i="5"/>
  <c r="K27" i="5"/>
  <c r="K26" i="5"/>
  <c r="S18" i="28"/>
  <c r="T18" i="28"/>
  <c r="V18" i="28"/>
  <c r="B44" i="8"/>
  <c r="B48" i="8" s="1"/>
  <c r="L37" i="28"/>
  <c r="I37" i="28"/>
  <c r="AB39" i="27"/>
  <c r="S40" i="28"/>
  <c r="U40" i="28" s="1"/>
  <c r="V40" i="28"/>
  <c r="F15" i="2"/>
  <c r="E11" i="29" s="1"/>
  <c r="L8" i="26"/>
  <c r="I8" i="26"/>
  <c r="G14" i="28"/>
  <c r="I28" i="27"/>
  <c r="L28" i="27"/>
  <c r="G24" i="28"/>
  <c r="Q24" i="28" s="1"/>
  <c r="G26" i="27"/>
  <c r="Q26" i="27" s="1"/>
  <c r="G24" i="27"/>
  <c r="Q24" i="27" s="1"/>
  <c r="S13" i="26"/>
  <c r="T13" i="26"/>
  <c r="V13" i="26"/>
  <c r="E33" i="29"/>
  <c r="F28" i="8"/>
  <c r="H21" i="13"/>
  <c r="P11" i="25" s="1"/>
  <c r="G21" i="13"/>
  <c r="S11" i="28"/>
  <c r="V11" i="28"/>
  <c r="Y12" i="25"/>
  <c r="L36" i="27"/>
  <c r="I36" i="27"/>
  <c r="G27" i="27"/>
  <c r="Q27" i="27" s="1"/>
  <c r="G58" i="8"/>
  <c r="G59" i="8" s="1"/>
  <c r="S23" i="28"/>
  <c r="V23" i="28"/>
  <c r="Q10" i="25"/>
  <c r="L18" i="28"/>
  <c r="J18" i="28"/>
  <c r="I18" i="28"/>
  <c r="Y28" i="26"/>
  <c r="Y39" i="27"/>
  <c r="I40" i="28"/>
  <c r="L40" i="28"/>
  <c r="K36" i="26"/>
  <c r="Y36" i="26"/>
  <c r="AA36" i="26" s="1"/>
  <c r="Y33" i="25"/>
  <c r="Q28" i="27"/>
  <c r="G16" i="8"/>
  <c r="E37" i="30" s="1"/>
  <c r="I22" i="28"/>
  <c r="L22" i="28"/>
  <c r="F35" i="8"/>
  <c r="F36" i="8" s="1"/>
  <c r="S12" i="27"/>
  <c r="V12" i="27"/>
  <c r="Y14" i="25"/>
  <c r="G19" i="28"/>
  <c r="Q19" i="28" s="1"/>
  <c r="V34" i="26"/>
  <c r="S34" i="26"/>
  <c r="U34" i="26" s="1"/>
  <c r="G9" i="27"/>
  <c r="F7" i="2"/>
  <c r="F39" i="2" s="1"/>
  <c r="F48" i="2"/>
  <c r="F8" i="2"/>
  <c r="F9" i="2" s="1"/>
  <c r="I36" i="28"/>
  <c r="L36" i="28"/>
  <c r="D38" i="2"/>
  <c r="E10" i="27" s="1"/>
  <c r="G12" i="28"/>
  <c r="G28" i="28"/>
  <c r="Q28" i="28" s="1"/>
  <c r="L11" i="28"/>
  <c r="I11" i="28"/>
  <c r="I9" i="26"/>
  <c r="L9" i="26"/>
  <c r="I27" i="25"/>
  <c r="L27" i="25"/>
  <c r="AB23" i="27"/>
  <c r="G8" i="27"/>
  <c r="G10" i="4"/>
  <c r="G16" i="4"/>
  <c r="G34" i="8"/>
  <c r="E22" i="30"/>
  <c r="I23" i="28"/>
  <c r="L23" i="28"/>
  <c r="K31" i="5"/>
  <c r="F15" i="4"/>
  <c r="K29" i="5"/>
  <c r="K30" i="5"/>
  <c r="S26" i="25"/>
  <c r="V26" i="25"/>
  <c r="E10" i="2"/>
  <c r="I29" i="25"/>
  <c r="L29" i="25"/>
  <c r="I9" i="25"/>
  <c r="L9" i="25"/>
  <c r="AB9" i="25" s="1"/>
  <c r="AB28" i="26"/>
  <c r="L38" i="27"/>
  <c r="I38" i="27"/>
  <c r="AB23" i="26"/>
  <c r="F39" i="8"/>
  <c r="E28" i="29" s="1"/>
  <c r="G39" i="29"/>
  <c r="Q39" i="29" s="1"/>
  <c r="I11" i="27"/>
  <c r="L11" i="27"/>
  <c r="G18" i="29"/>
  <c r="Q18" i="29" s="1"/>
  <c r="S9" i="26"/>
  <c r="V9" i="26"/>
  <c r="S27" i="25"/>
  <c r="U27" i="25" s="1"/>
  <c r="V27" i="25"/>
  <c r="I13" i="25"/>
  <c r="L13" i="25"/>
  <c r="J13" i="25"/>
  <c r="Y23" i="27"/>
  <c r="G19" i="29"/>
  <c r="Q19" i="29" s="1"/>
  <c r="G8" i="8"/>
  <c r="G9" i="8" s="1"/>
  <c r="G27" i="8"/>
  <c r="G31" i="2"/>
  <c r="AB28" i="25"/>
  <c r="G29" i="27"/>
  <c r="Q29" i="27" s="1"/>
  <c r="K11" i="5"/>
  <c r="K9" i="5"/>
  <c r="K10" i="5"/>
  <c r="I26" i="25"/>
  <c r="L26" i="25"/>
  <c r="Q11" i="27"/>
  <c r="Q22" i="28"/>
  <c r="Q26" i="26"/>
  <c r="AB24" i="26"/>
  <c r="Q39" i="28"/>
  <c r="Y23" i="26"/>
  <c r="Q35" i="28"/>
  <c r="G34" i="28"/>
  <c r="Q34" i="28" s="1"/>
  <c r="AA18" i="27" l="1"/>
  <c r="H10" i="3"/>
  <c r="H26" i="3"/>
  <c r="H13" i="3"/>
  <c r="H17" i="4" s="1"/>
  <c r="H12" i="3"/>
  <c r="H9" i="3"/>
  <c r="H10" i="4" s="1"/>
  <c r="I8" i="1"/>
  <c r="I12" i="1"/>
  <c r="I43" i="1" s="1"/>
  <c r="I18" i="1"/>
  <c r="I23" i="1"/>
  <c r="I15" i="1"/>
  <c r="I22" i="2"/>
  <c r="I21" i="1"/>
  <c r="I30" i="2" s="1"/>
  <c r="I11" i="1"/>
  <c r="I42" i="1"/>
  <c r="I9" i="1"/>
  <c r="I13" i="2" s="1"/>
  <c r="F48" i="13"/>
  <c r="G43" i="13"/>
  <c r="D12" i="26" s="1"/>
  <c r="J12" i="26" s="1"/>
  <c r="AB24" i="25"/>
  <c r="AB37" i="28"/>
  <c r="G44" i="26"/>
  <c r="AB40" i="28"/>
  <c r="Z13" i="25"/>
  <c r="AB13" i="25"/>
  <c r="S36" i="28"/>
  <c r="U36" i="28" s="1"/>
  <c r="AB36" i="27"/>
  <c r="AB23" i="28"/>
  <c r="AB27" i="26"/>
  <c r="AB18" i="28"/>
  <c r="AB29" i="25"/>
  <c r="AB38" i="27"/>
  <c r="F42" i="8"/>
  <c r="F46" i="8" s="1"/>
  <c r="F41" i="2"/>
  <c r="E13" i="29" s="1"/>
  <c r="G13" i="29" s="1"/>
  <c r="Q13" i="29" s="1"/>
  <c r="F25" i="13"/>
  <c r="G25" i="13" s="1"/>
  <c r="F29" i="8"/>
  <c r="Z18" i="28"/>
  <c r="G47" i="1"/>
  <c r="AB12" i="27"/>
  <c r="F42" i="13"/>
  <c r="F41" i="13" s="1"/>
  <c r="H34" i="8"/>
  <c r="H35" i="8" s="1"/>
  <c r="F40" i="13"/>
  <c r="AB33" i="27"/>
  <c r="AB38" i="28"/>
  <c r="AB11" i="28"/>
  <c r="U18" i="28"/>
  <c r="G66" i="8"/>
  <c r="AB26" i="25"/>
  <c r="F10" i="2"/>
  <c r="E8" i="29" s="1"/>
  <c r="G17" i="8"/>
  <c r="E38" i="30" s="1"/>
  <c r="G38" i="30" s="1"/>
  <c r="Q38" i="30" s="1"/>
  <c r="T13" i="28"/>
  <c r="V13" i="28"/>
  <c r="S13" i="28"/>
  <c r="E34" i="30"/>
  <c r="H20" i="13"/>
  <c r="G20" i="13"/>
  <c r="S10" i="26"/>
  <c r="V10" i="26"/>
  <c r="T10" i="26"/>
  <c r="Q44" i="26"/>
  <c r="S18" i="29"/>
  <c r="T18" i="29"/>
  <c r="V18" i="29"/>
  <c r="E27" i="29"/>
  <c r="S29" i="27"/>
  <c r="U29" i="27" s="1"/>
  <c r="V29" i="27"/>
  <c r="G35" i="8"/>
  <c r="G36" i="8" s="1"/>
  <c r="H31" i="2"/>
  <c r="H32" i="2" s="1"/>
  <c r="H42" i="8" s="1"/>
  <c r="G11" i="30"/>
  <c r="Q11" i="30" s="1"/>
  <c r="S33" i="28"/>
  <c r="V33" i="28"/>
  <c r="I23" i="29"/>
  <c r="L23" i="29"/>
  <c r="H6" i="2"/>
  <c r="H37" i="1"/>
  <c r="H39" i="1" s="1"/>
  <c r="H46" i="1" s="1"/>
  <c r="H49" i="1" s="1"/>
  <c r="AB9" i="26"/>
  <c r="I26" i="27"/>
  <c r="L26" i="27"/>
  <c r="Y37" i="28"/>
  <c r="E27" i="28"/>
  <c r="Y26" i="25"/>
  <c r="G28" i="29"/>
  <c r="Y9" i="26"/>
  <c r="AB36" i="28"/>
  <c r="I9" i="27"/>
  <c r="L9" i="27"/>
  <c r="S19" i="28"/>
  <c r="V19" i="28"/>
  <c r="I27" i="27"/>
  <c r="L27" i="27"/>
  <c r="I29" i="28"/>
  <c r="L29" i="28"/>
  <c r="S24" i="28"/>
  <c r="V24" i="28"/>
  <c r="I44" i="26"/>
  <c r="Y8" i="26"/>
  <c r="H58" i="8"/>
  <c r="H59" i="8" s="1"/>
  <c r="E44" i="8"/>
  <c r="E48" i="8" s="1"/>
  <c r="G12" i="29"/>
  <c r="Q12" i="29" s="1"/>
  <c r="G21" i="8"/>
  <c r="E40" i="30" s="1"/>
  <c r="S40" i="27"/>
  <c r="U40" i="27" s="1"/>
  <c r="V40" i="27"/>
  <c r="AB40" i="27" s="1"/>
  <c r="G42" i="2"/>
  <c r="G40" i="2"/>
  <c r="E12" i="30" s="1"/>
  <c r="I33" i="28"/>
  <c r="L33" i="28"/>
  <c r="Y12" i="27"/>
  <c r="I13" i="27"/>
  <c r="L13" i="27"/>
  <c r="J13" i="27"/>
  <c r="G24" i="29"/>
  <c r="Q24" i="29" s="1"/>
  <c r="G34" i="29"/>
  <c r="Q34" i="29" s="1"/>
  <c r="S35" i="28"/>
  <c r="V35" i="28"/>
  <c r="AB35" i="28" s="1"/>
  <c r="S39" i="29"/>
  <c r="V39" i="29"/>
  <c r="Y27" i="25"/>
  <c r="AA27" i="25" s="1"/>
  <c r="K27" i="25"/>
  <c r="I14" i="28"/>
  <c r="L14" i="28"/>
  <c r="H16" i="4"/>
  <c r="H11" i="4"/>
  <c r="I36" i="29"/>
  <c r="L36" i="29"/>
  <c r="V23" i="29"/>
  <c r="S23" i="29"/>
  <c r="L39" i="29"/>
  <c r="I39" i="29"/>
  <c r="G10" i="27"/>
  <c r="H38" i="8"/>
  <c r="H26" i="2"/>
  <c r="H27" i="2" s="1"/>
  <c r="I10" i="26"/>
  <c r="L10" i="26"/>
  <c r="L44" i="26" s="1"/>
  <c r="J10" i="26"/>
  <c r="E19" i="30"/>
  <c r="F32" i="13"/>
  <c r="Y9" i="25"/>
  <c r="S39" i="28"/>
  <c r="Y39" i="28" s="1"/>
  <c r="V39" i="28"/>
  <c r="AB39" i="28" s="1"/>
  <c r="G32" i="2"/>
  <c r="F40" i="8"/>
  <c r="E29" i="29" s="1"/>
  <c r="L31" i="5"/>
  <c r="G15" i="4"/>
  <c r="L30" i="5"/>
  <c r="L29" i="5"/>
  <c r="Y11" i="28"/>
  <c r="K36" i="28"/>
  <c r="Q9" i="27"/>
  <c r="I19" i="28"/>
  <c r="L19" i="28"/>
  <c r="K18" i="28"/>
  <c r="Y18" i="28"/>
  <c r="S10" i="25"/>
  <c r="Y10" i="25" s="1"/>
  <c r="V10" i="25"/>
  <c r="AB10" i="25" s="1"/>
  <c r="T10" i="25"/>
  <c r="Z10" i="25" s="1"/>
  <c r="K36" i="27"/>
  <c r="Y36" i="27"/>
  <c r="AA36" i="27" s="1"/>
  <c r="U13" i="26"/>
  <c r="I24" i="28"/>
  <c r="L24" i="28"/>
  <c r="AB8" i="26"/>
  <c r="Y24" i="25"/>
  <c r="H18" i="2"/>
  <c r="L38" i="29"/>
  <c r="I38" i="29"/>
  <c r="G39" i="30"/>
  <c r="Q39" i="30" s="1"/>
  <c r="I37" i="29"/>
  <c r="L37" i="29"/>
  <c r="S35" i="29"/>
  <c r="V35" i="29"/>
  <c r="G57" i="13"/>
  <c r="H57" i="13"/>
  <c r="Q13" i="27"/>
  <c r="L26" i="5"/>
  <c r="G9" i="4"/>
  <c r="L25" i="5"/>
  <c r="L27" i="5"/>
  <c r="S28" i="27"/>
  <c r="Y28" i="27" s="1"/>
  <c r="V28" i="27"/>
  <c r="AB28" i="27" s="1"/>
  <c r="I25" i="2"/>
  <c r="I24" i="2"/>
  <c r="I53" i="8" s="1"/>
  <c r="I34" i="2"/>
  <c r="I19" i="8" s="1"/>
  <c r="I29" i="2"/>
  <c r="I57" i="8" s="1"/>
  <c r="I3" i="3"/>
  <c r="I17" i="2"/>
  <c r="I7" i="8" s="1"/>
  <c r="I23" i="2"/>
  <c r="I11" i="8" s="1"/>
  <c r="I3" i="4"/>
  <c r="I3" i="2"/>
  <c r="I28" i="2"/>
  <c r="I15" i="8" s="1"/>
  <c r="I3" i="8"/>
  <c r="N3" i="5"/>
  <c r="N5" i="6" s="1"/>
  <c r="J6" i="1"/>
  <c r="S8" i="25"/>
  <c r="Q44" i="25"/>
  <c r="V8" i="25"/>
  <c r="V27" i="27"/>
  <c r="S27" i="27"/>
  <c r="U27" i="27" s="1"/>
  <c r="L11" i="5"/>
  <c r="L9" i="5"/>
  <c r="L10" i="5"/>
  <c r="F28" i="13" s="1"/>
  <c r="I8" i="27"/>
  <c r="L8" i="27"/>
  <c r="I13" i="28"/>
  <c r="J13" i="28"/>
  <c r="L13" i="28"/>
  <c r="S24" i="27"/>
  <c r="V24" i="27"/>
  <c r="G35" i="30"/>
  <c r="H16" i="8"/>
  <c r="H17" i="8" s="1"/>
  <c r="H14" i="2"/>
  <c r="H15" i="2" s="1"/>
  <c r="D12" i="29"/>
  <c r="S38" i="29"/>
  <c r="U38" i="29" s="1"/>
  <c r="V38" i="29"/>
  <c r="K38" i="28"/>
  <c r="Y38" i="28"/>
  <c r="AA38" i="28" s="1"/>
  <c r="I14" i="29"/>
  <c r="L14" i="29"/>
  <c r="Q37" i="29"/>
  <c r="L35" i="29"/>
  <c r="I35" i="29"/>
  <c r="G7" i="2"/>
  <c r="G39" i="2" s="1"/>
  <c r="G8" i="2"/>
  <c r="G9" i="2" s="1"/>
  <c r="G48" i="2"/>
  <c r="Q23" i="21" s="1"/>
  <c r="R23" i="21" s="1"/>
  <c r="B8" i="30" s="1"/>
  <c r="D44" i="8"/>
  <c r="D48" i="8" s="1"/>
  <c r="G18" i="30"/>
  <c r="Q18" i="30" s="1"/>
  <c r="K40" i="27"/>
  <c r="E26" i="29"/>
  <c r="Y29" i="25"/>
  <c r="AA29" i="25" s="1"/>
  <c r="K29" i="25"/>
  <c r="S26" i="26"/>
  <c r="Y26" i="26" s="1"/>
  <c r="V26" i="26"/>
  <c r="V44" i="26" s="1"/>
  <c r="Y13" i="25"/>
  <c r="AA13" i="25" s="1"/>
  <c r="K13" i="25"/>
  <c r="Q8" i="27"/>
  <c r="S28" i="28"/>
  <c r="V28" i="28"/>
  <c r="D11" i="27"/>
  <c r="J11" i="27" s="1"/>
  <c r="K11" i="27" s="1"/>
  <c r="D11" i="25"/>
  <c r="J11" i="25" s="1"/>
  <c r="D11" i="26"/>
  <c r="J11" i="26" s="1"/>
  <c r="D11" i="30"/>
  <c r="F13" i="47"/>
  <c r="H13" i="47" s="1"/>
  <c r="F13" i="43"/>
  <c r="H13" i="43" s="1"/>
  <c r="D11" i="28"/>
  <c r="J11" i="28" s="1"/>
  <c r="K11" i="28" s="1"/>
  <c r="F13" i="46"/>
  <c r="H13" i="46" s="1"/>
  <c r="D11" i="29"/>
  <c r="F13" i="44"/>
  <c r="H13" i="44" s="1"/>
  <c r="F13" i="45"/>
  <c r="H13" i="45" s="1"/>
  <c r="F13" i="48"/>
  <c r="H13" i="48" s="1"/>
  <c r="I24" i="27"/>
  <c r="L24" i="27"/>
  <c r="G11" i="29"/>
  <c r="Q11" i="29" s="1"/>
  <c r="H40" i="13"/>
  <c r="P9" i="25" s="1"/>
  <c r="G40" i="13"/>
  <c r="G13" i="8"/>
  <c r="E36" i="30" s="1"/>
  <c r="P12" i="25"/>
  <c r="H48" i="13"/>
  <c r="G14" i="30"/>
  <c r="Q14" i="30" s="1"/>
  <c r="Q14" i="29"/>
  <c r="Y13" i="26"/>
  <c r="K13" i="26"/>
  <c r="AB29" i="26"/>
  <c r="AB34" i="27"/>
  <c r="G27" i="2"/>
  <c r="E23" i="30" s="1"/>
  <c r="G9" i="28"/>
  <c r="G40" i="29"/>
  <c r="Q40" i="29" s="1"/>
  <c r="U13" i="25"/>
  <c r="G33" i="29"/>
  <c r="Q33" i="29" s="1"/>
  <c r="S22" i="28"/>
  <c r="Y22" i="28" s="1"/>
  <c r="V22" i="28"/>
  <c r="AB22" i="28" s="1"/>
  <c r="Y38" i="27"/>
  <c r="AA38" i="27" s="1"/>
  <c r="K38" i="27"/>
  <c r="E8" i="28"/>
  <c r="E12" i="2"/>
  <c r="Y23" i="28"/>
  <c r="L13" i="5"/>
  <c r="L15" i="5"/>
  <c r="L14" i="5"/>
  <c r="F31" i="13" s="1"/>
  <c r="I28" i="28"/>
  <c r="L28" i="28"/>
  <c r="G37" i="30"/>
  <c r="Q37" i="30" s="1"/>
  <c r="Y40" i="28"/>
  <c r="AA40" i="28" s="1"/>
  <c r="K40" i="28"/>
  <c r="P11" i="26"/>
  <c r="T11" i="26" s="1"/>
  <c r="U11" i="26" s="1"/>
  <c r="P11" i="28"/>
  <c r="T11" i="28" s="1"/>
  <c r="U11" i="28" s="1"/>
  <c r="P11" i="30"/>
  <c r="T11" i="25"/>
  <c r="U11" i="25" s="1"/>
  <c r="P11" i="29"/>
  <c r="P11" i="27"/>
  <c r="T11" i="27" s="1"/>
  <c r="H54" i="8"/>
  <c r="H65" i="8"/>
  <c r="H27" i="8"/>
  <c r="H8" i="8"/>
  <c r="S44" i="26"/>
  <c r="G26" i="28"/>
  <c r="G55" i="8"/>
  <c r="G67" i="8" s="1"/>
  <c r="AB34" i="26"/>
  <c r="AB13" i="26"/>
  <c r="Y29" i="26"/>
  <c r="AA29" i="26" s="1"/>
  <c r="K29" i="26"/>
  <c r="Y34" i="27"/>
  <c r="AA34" i="27" s="1"/>
  <c r="K34" i="27"/>
  <c r="G39" i="8"/>
  <c r="E28" i="30" s="1"/>
  <c r="S22" i="29"/>
  <c r="V22" i="29"/>
  <c r="E38" i="2"/>
  <c r="E10" i="28" s="1"/>
  <c r="S19" i="29"/>
  <c r="V19" i="29"/>
  <c r="I12" i="28"/>
  <c r="L12" i="28"/>
  <c r="S26" i="27"/>
  <c r="V26" i="27"/>
  <c r="K10" i="25"/>
  <c r="Y33" i="27"/>
  <c r="F37" i="2"/>
  <c r="E9" i="29" s="1"/>
  <c r="V29" i="28"/>
  <c r="S29" i="28"/>
  <c r="U29" i="28" s="1"/>
  <c r="I18" i="29"/>
  <c r="L18" i="29"/>
  <c r="J18" i="29"/>
  <c r="V34" i="28"/>
  <c r="S34" i="28"/>
  <c r="U34" i="28" s="1"/>
  <c r="E33" i="30"/>
  <c r="G28" i="8"/>
  <c r="I34" i="28"/>
  <c r="L34" i="28"/>
  <c r="S11" i="27"/>
  <c r="V11" i="27"/>
  <c r="AB11" i="27" s="1"/>
  <c r="I29" i="27"/>
  <c r="L29" i="27"/>
  <c r="L19" i="29"/>
  <c r="I19" i="29"/>
  <c r="G22" i="30"/>
  <c r="Q22" i="30" s="1"/>
  <c r="AB27" i="25"/>
  <c r="Q12" i="28"/>
  <c r="Q14" i="28"/>
  <c r="H12" i="8"/>
  <c r="H13" i="8" s="1"/>
  <c r="H20" i="8"/>
  <c r="H21" i="8" s="1"/>
  <c r="K27" i="26"/>
  <c r="Y27" i="26"/>
  <c r="AA27" i="26" s="1"/>
  <c r="Y34" i="26"/>
  <c r="AA34" i="26" s="1"/>
  <c r="K34" i="26"/>
  <c r="Z13" i="26"/>
  <c r="I8" i="25"/>
  <c r="L8" i="25"/>
  <c r="G44" i="25"/>
  <c r="Q36" i="29"/>
  <c r="I22" i="29"/>
  <c r="L22" i="29"/>
  <c r="Y19" i="27"/>
  <c r="V44" i="25" l="1"/>
  <c r="AB13" i="28"/>
  <c r="G48" i="13"/>
  <c r="D12" i="30"/>
  <c r="D12" i="27"/>
  <c r="J12" i="27" s="1"/>
  <c r="D12" i="28"/>
  <c r="J12" i="28" s="1"/>
  <c r="D12" i="25"/>
  <c r="J12" i="25" s="1"/>
  <c r="K12" i="25" s="1"/>
  <c r="J8" i="1"/>
  <c r="J12" i="1"/>
  <c r="J43" i="1" s="1"/>
  <c r="J15" i="1"/>
  <c r="J18" i="1"/>
  <c r="J29" i="2" s="1"/>
  <c r="J57" i="8" s="1"/>
  <c r="J23" i="1"/>
  <c r="J21" i="1"/>
  <c r="J30" i="2" s="1"/>
  <c r="J11" i="1"/>
  <c r="J42" i="1"/>
  <c r="J9" i="1"/>
  <c r="I26" i="3"/>
  <c r="I13" i="3"/>
  <c r="I17" i="4" s="1"/>
  <c r="I10" i="3"/>
  <c r="I12" i="3"/>
  <c r="I16" i="4" s="1"/>
  <c r="I9" i="3"/>
  <c r="I10" i="4" s="1"/>
  <c r="B18" i="30"/>
  <c r="L18" i="30" s="1"/>
  <c r="B39" i="30"/>
  <c r="L39" i="30" s="1"/>
  <c r="B24" i="30"/>
  <c r="B28" i="30"/>
  <c r="B27" i="30"/>
  <c r="B36" i="30"/>
  <c r="B34" i="30"/>
  <c r="B29" i="30"/>
  <c r="B23" i="30"/>
  <c r="B17" i="30"/>
  <c r="B13" i="30"/>
  <c r="B21" i="30"/>
  <c r="L21" i="30" s="1"/>
  <c r="B41" i="30"/>
  <c r="L41" i="30" s="1"/>
  <c r="B19" i="30"/>
  <c r="B37" i="30"/>
  <c r="L37" i="30" s="1"/>
  <c r="B16" i="30"/>
  <c r="B9" i="30"/>
  <c r="B30" i="30"/>
  <c r="L30" i="30" s="1"/>
  <c r="B26" i="30"/>
  <c r="B10" i="30"/>
  <c r="B12" i="30"/>
  <c r="B40" i="30"/>
  <c r="B15" i="30"/>
  <c r="B35" i="30"/>
  <c r="L35" i="30" s="1"/>
  <c r="B38" i="30"/>
  <c r="L38" i="30" s="1"/>
  <c r="B42" i="30"/>
  <c r="L42" i="30" s="1"/>
  <c r="B11" i="30"/>
  <c r="L11" i="30" s="1"/>
  <c r="B22" i="30"/>
  <c r="B14" i="30"/>
  <c r="L14" i="30" s="1"/>
  <c r="B33" i="30"/>
  <c r="B31" i="30"/>
  <c r="N29" i="30"/>
  <c r="N12" i="30"/>
  <c r="N17" i="30"/>
  <c r="V17" i="30" s="1"/>
  <c r="AB17" i="30" s="1"/>
  <c r="N35" i="30"/>
  <c r="N41" i="30"/>
  <c r="V41" i="30" s="1"/>
  <c r="N38" i="30"/>
  <c r="V38" i="30" s="1"/>
  <c r="N8" i="30"/>
  <c r="N16" i="30"/>
  <c r="V16" i="30" s="1"/>
  <c r="AB16" i="30" s="1"/>
  <c r="N42" i="30"/>
  <c r="V42" i="30" s="1"/>
  <c r="N26" i="30"/>
  <c r="N9" i="30"/>
  <c r="N11" i="30"/>
  <c r="V11" i="30" s="1"/>
  <c r="N10" i="30"/>
  <c r="N23" i="30"/>
  <c r="N19" i="30"/>
  <c r="N18" i="30"/>
  <c r="V18" i="30" s="1"/>
  <c r="N39" i="30"/>
  <c r="V39" i="30" s="1"/>
  <c r="N36" i="30"/>
  <c r="N40" i="30"/>
  <c r="N15" i="30"/>
  <c r="V15" i="30" s="1"/>
  <c r="AB15" i="30" s="1"/>
  <c r="N28" i="30"/>
  <c r="N34" i="30"/>
  <c r="N13" i="30"/>
  <c r="N37" i="30"/>
  <c r="V37" i="30" s="1"/>
  <c r="N24" i="30"/>
  <c r="N21" i="30"/>
  <c r="V21" i="30" s="1"/>
  <c r="N30" i="30"/>
  <c r="V30" i="30" s="1"/>
  <c r="N31" i="30"/>
  <c r="V31" i="30" s="1"/>
  <c r="AB31" i="30" s="1"/>
  <c r="N27" i="30"/>
  <c r="N33" i="30"/>
  <c r="N14" i="30"/>
  <c r="N22" i="30"/>
  <c r="V22" i="30" s="1"/>
  <c r="Y36" i="28"/>
  <c r="AA36" i="28" s="1"/>
  <c r="AB10" i="26"/>
  <c r="AB18" i="29"/>
  <c r="Z13" i="28"/>
  <c r="AA18" i="28"/>
  <c r="AB19" i="28"/>
  <c r="AB33" i="28"/>
  <c r="AB35" i="29"/>
  <c r="F43" i="8"/>
  <c r="F44" i="8" s="1"/>
  <c r="F48" i="8" s="1"/>
  <c r="AB24" i="28"/>
  <c r="H66" i="8"/>
  <c r="AB29" i="27"/>
  <c r="H25" i="13"/>
  <c r="P14" i="25" s="1"/>
  <c r="P14" i="28" s="1"/>
  <c r="T14" i="28" s="1"/>
  <c r="Z10" i="26"/>
  <c r="J12" i="29"/>
  <c r="AB19" i="29"/>
  <c r="U11" i="27"/>
  <c r="G42" i="13"/>
  <c r="H42" i="13"/>
  <c r="AB24" i="27"/>
  <c r="U13" i="28"/>
  <c r="AB34" i="28"/>
  <c r="H47" i="1"/>
  <c r="G41" i="2"/>
  <c r="E13" i="30" s="1"/>
  <c r="G13" i="30" s="1"/>
  <c r="Q13" i="30" s="1"/>
  <c r="F12" i="2"/>
  <c r="H46" i="8"/>
  <c r="J11" i="30"/>
  <c r="AB39" i="29"/>
  <c r="AB26" i="26"/>
  <c r="Y11" i="27"/>
  <c r="U10" i="25"/>
  <c r="AB23" i="29"/>
  <c r="AB22" i="29"/>
  <c r="J11" i="29"/>
  <c r="Z11" i="27"/>
  <c r="AB29" i="28"/>
  <c r="AA10" i="25"/>
  <c r="AB28" i="28"/>
  <c r="G28" i="13"/>
  <c r="H28" i="13"/>
  <c r="P35" i="25" s="1"/>
  <c r="S22" i="30"/>
  <c r="V34" i="29"/>
  <c r="S34" i="29"/>
  <c r="U34" i="29" s="1"/>
  <c r="S38" i="30"/>
  <c r="U38" i="30" s="1"/>
  <c r="S12" i="29"/>
  <c r="V12" i="29"/>
  <c r="S11" i="30"/>
  <c r="S14" i="28"/>
  <c r="Y14" i="28" s="1"/>
  <c r="V14" i="28"/>
  <c r="AB14" i="28" s="1"/>
  <c r="I26" i="28"/>
  <c r="L26" i="28"/>
  <c r="D14" i="25"/>
  <c r="J14" i="25" s="1"/>
  <c r="D14" i="29"/>
  <c r="J14" i="29" s="1"/>
  <c r="K14" i="29" s="1"/>
  <c r="D14" i="27"/>
  <c r="J14" i="27" s="1"/>
  <c r="D14" i="30"/>
  <c r="J14" i="30" s="1"/>
  <c r="D14" i="26"/>
  <c r="J14" i="26" s="1"/>
  <c r="D14" i="28"/>
  <c r="J14" i="28" s="1"/>
  <c r="K14" i="28" s="1"/>
  <c r="I10" i="27"/>
  <c r="J10" i="27"/>
  <c r="L10" i="27"/>
  <c r="L44" i="27" s="1"/>
  <c r="G10" i="28"/>
  <c r="Q10" i="28" s="1"/>
  <c r="S37" i="30"/>
  <c r="K13" i="28"/>
  <c r="Y13" i="28"/>
  <c r="AA13" i="28" s="1"/>
  <c r="Y29" i="28"/>
  <c r="AA29" i="28" s="1"/>
  <c r="K29" i="28"/>
  <c r="H43" i="8"/>
  <c r="H44" i="8" s="1"/>
  <c r="S12" i="28"/>
  <c r="Y12" i="28" s="1"/>
  <c r="V12" i="28"/>
  <c r="AB12" i="28" s="1"/>
  <c r="Y19" i="29"/>
  <c r="I37" i="30"/>
  <c r="V40" i="29"/>
  <c r="S40" i="29"/>
  <c r="U40" i="29" s="1"/>
  <c r="AA13" i="26"/>
  <c r="Z11" i="28"/>
  <c r="AA11" i="28" s="1"/>
  <c r="G26" i="29"/>
  <c r="I18" i="30"/>
  <c r="J18" i="30"/>
  <c r="S37" i="29"/>
  <c r="V37" i="29"/>
  <c r="AB37" i="29" s="1"/>
  <c r="I12" i="8"/>
  <c r="I13" i="8" s="1"/>
  <c r="I34" i="8"/>
  <c r="K10" i="26"/>
  <c r="Y10" i="26"/>
  <c r="K12" i="27"/>
  <c r="AB27" i="27"/>
  <c r="Y23" i="29"/>
  <c r="E26" i="30"/>
  <c r="G29" i="8"/>
  <c r="G41" i="13"/>
  <c r="H41" i="13"/>
  <c r="T12" i="25"/>
  <c r="U12" i="25" s="1"/>
  <c r="P12" i="27"/>
  <c r="T12" i="27" s="1"/>
  <c r="U12" i="27" s="1"/>
  <c r="P12" i="29"/>
  <c r="T12" i="29" s="1"/>
  <c r="P12" i="30"/>
  <c r="P12" i="26"/>
  <c r="T12" i="26" s="1"/>
  <c r="U12" i="26" s="1"/>
  <c r="P12" i="28"/>
  <c r="T12" i="28" s="1"/>
  <c r="Z12" i="28" s="1"/>
  <c r="S13" i="29"/>
  <c r="T13" i="29"/>
  <c r="V13" i="29"/>
  <c r="G33" i="30"/>
  <c r="G9" i="29"/>
  <c r="G8" i="28"/>
  <c r="E44" i="28"/>
  <c r="S33" i="29"/>
  <c r="V33" i="29"/>
  <c r="I40" i="29"/>
  <c r="L40" i="29"/>
  <c r="V14" i="29"/>
  <c r="AB14" i="29" s="1"/>
  <c r="S14" i="29"/>
  <c r="Y14" i="29" s="1"/>
  <c r="H36" i="8"/>
  <c r="I38" i="30"/>
  <c r="K12" i="26"/>
  <c r="I35" i="30"/>
  <c r="I18" i="2"/>
  <c r="I27" i="8"/>
  <c r="I8" i="8"/>
  <c r="I9" i="8" s="1"/>
  <c r="I14" i="2"/>
  <c r="I15" i="2" s="1"/>
  <c r="S13" i="27"/>
  <c r="Y13" i="27" s="1"/>
  <c r="T13" i="27"/>
  <c r="Z13" i="27" s="1"/>
  <c r="V13" i="27"/>
  <c r="AB13" i="27" s="1"/>
  <c r="S39" i="30"/>
  <c r="L34" i="29"/>
  <c r="I34" i="29"/>
  <c r="Y35" i="28"/>
  <c r="Y27" i="27"/>
  <c r="AA27" i="27" s="1"/>
  <c r="K27" i="27"/>
  <c r="G34" i="30"/>
  <c r="Q34" i="30" s="1"/>
  <c r="S18" i="30"/>
  <c r="T18" i="30"/>
  <c r="M25" i="5"/>
  <c r="H9" i="4"/>
  <c r="M26" i="5"/>
  <c r="M27" i="5"/>
  <c r="P8" i="25"/>
  <c r="K5" i="50"/>
  <c r="L5" i="50" s="1"/>
  <c r="M5" i="50" s="1"/>
  <c r="F11" i="45"/>
  <c r="H11" i="45" s="1"/>
  <c r="F11" i="47"/>
  <c r="H11" i="47" s="1"/>
  <c r="F11" i="48"/>
  <c r="H11" i="48" s="1"/>
  <c r="F11" i="44"/>
  <c r="H11" i="44" s="1"/>
  <c r="H17" i="13"/>
  <c r="H16" i="13" s="1"/>
  <c r="F11" i="43"/>
  <c r="H11" i="43" s="1"/>
  <c r="F11" i="46"/>
  <c r="H11" i="46" s="1"/>
  <c r="F38" i="2"/>
  <c r="E10" i="29" s="1"/>
  <c r="G28" i="30"/>
  <c r="Q28" i="30" s="1"/>
  <c r="H28" i="8"/>
  <c r="Y28" i="28"/>
  <c r="I33" i="29"/>
  <c r="L33" i="29"/>
  <c r="I9" i="28"/>
  <c r="L9" i="28"/>
  <c r="S14" i="30"/>
  <c r="V14" i="30"/>
  <c r="Y24" i="27"/>
  <c r="Q35" i="30"/>
  <c r="G44" i="27"/>
  <c r="I11" i="4"/>
  <c r="I38" i="8"/>
  <c r="I26" i="2"/>
  <c r="I27" i="2" s="1"/>
  <c r="I39" i="30"/>
  <c r="Y19" i="28"/>
  <c r="S24" i="29"/>
  <c r="V24" i="29"/>
  <c r="G40" i="30"/>
  <c r="I28" i="29"/>
  <c r="L28" i="29"/>
  <c r="G27" i="28"/>
  <c r="Q27" i="28" s="1"/>
  <c r="H7" i="2"/>
  <c r="H39" i="2" s="1"/>
  <c r="H48" i="2"/>
  <c r="H8" i="2"/>
  <c r="H9" i="2" s="1"/>
  <c r="AB8" i="25"/>
  <c r="L44" i="25"/>
  <c r="AB44" i="25" s="1"/>
  <c r="S11" i="29"/>
  <c r="V11" i="29"/>
  <c r="Y35" i="29"/>
  <c r="S44" i="25"/>
  <c r="K13" i="27"/>
  <c r="Y26" i="27"/>
  <c r="I44" i="25"/>
  <c r="Y8" i="25"/>
  <c r="I31" i="2"/>
  <c r="I32" i="2" s="1"/>
  <c r="I42" i="8" s="1"/>
  <c r="E27" i="30"/>
  <c r="Y22" i="29"/>
  <c r="Y29" i="27"/>
  <c r="AA29" i="27" s="1"/>
  <c r="K29" i="27"/>
  <c r="G40" i="8"/>
  <c r="E29" i="30" s="1"/>
  <c r="H9" i="8"/>
  <c r="H29" i="8" s="1"/>
  <c r="G31" i="13"/>
  <c r="H31" i="13"/>
  <c r="P37" i="25" s="1"/>
  <c r="Q9" i="28"/>
  <c r="I14" i="30"/>
  <c r="G36" i="30"/>
  <c r="Q36" i="30" s="1"/>
  <c r="I58" i="8"/>
  <c r="I59" i="8" s="1"/>
  <c r="K38" i="29"/>
  <c r="Y38" i="29"/>
  <c r="AA38" i="29" s="1"/>
  <c r="S9" i="27"/>
  <c r="V9" i="27"/>
  <c r="AB9" i="27" s="1"/>
  <c r="G32" i="13"/>
  <c r="H32" i="13"/>
  <c r="P19" i="25" s="1"/>
  <c r="H39" i="8"/>
  <c r="M14" i="5"/>
  <c r="M13" i="5"/>
  <c r="M15" i="5"/>
  <c r="I24" i="29"/>
  <c r="L24" i="29"/>
  <c r="Y33" i="28"/>
  <c r="Y44" i="26"/>
  <c r="Q28" i="29"/>
  <c r="U10" i="26"/>
  <c r="T11" i="30"/>
  <c r="I54" i="8"/>
  <c r="I65" i="8"/>
  <c r="K34" i="28"/>
  <c r="Y34" i="28"/>
  <c r="AA34" i="28" s="1"/>
  <c r="U18" i="29"/>
  <c r="V36" i="29"/>
  <c r="AB36" i="29" s="1"/>
  <c r="S36" i="29"/>
  <c r="U36" i="29" s="1"/>
  <c r="Z18" i="29"/>
  <c r="K12" i="28"/>
  <c r="T11" i="29"/>
  <c r="G23" i="30"/>
  <c r="D9" i="30"/>
  <c r="D9" i="25"/>
  <c r="J9" i="25" s="1"/>
  <c r="D9" i="26"/>
  <c r="J9" i="26" s="1"/>
  <c r="D9" i="28"/>
  <c r="J9" i="28" s="1"/>
  <c r="D9" i="27"/>
  <c r="J9" i="27" s="1"/>
  <c r="K9" i="27" s="1"/>
  <c r="D9" i="29"/>
  <c r="Z11" i="26"/>
  <c r="AA11" i="26" s="1"/>
  <c r="K11" i="26"/>
  <c r="G10" i="2"/>
  <c r="H40" i="2"/>
  <c r="H42" i="2"/>
  <c r="I44" i="27"/>
  <c r="I16" i="8"/>
  <c r="I17" i="8" s="1"/>
  <c r="AB38" i="29"/>
  <c r="AB44" i="26"/>
  <c r="G19" i="30"/>
  <c r="Q19" i="30" s="1"/>
  <c r="K36" i="29"/>
  <c r="H15" i="4"/>
  <c r="M31" i="5"/>
  <c r="M30" i="5"/>
  <c r="M29" i="5"/>
  <c r="G12" i="30"/>
  <c r="Q12" i="30" s="1"/>
  <c r="L12" i="29"/>
  <c r="I12" i="29"/>
  <c r="G8" i="29"/>
  <c r="I11" i="30"/>
  <c r="G27" i="29"/>
  <c r="Q27" i="29" s="1"/>
  <c r="Y18" i="29"/>
  <c r="K18" i="29"/>
  <c r="E24" i="30"/>
  <c r="G42" i="8"/>
  <c r="D8" i="29"/>
  <c r="D8" i="30"/>
  <c r="D8" i="28"/>
  <c r="D8" i="25"/>
  <c r="J8" i="25" s="1"/>
  <c r="D8" i="26"/>
  <c r="J8" i="26" s="1"/>
  <c r="D8" i="27"/>
  <c r="J8" i="27" s="1"/>
  <c r="B73" i="13"/>
  <c r="D73" i="13" s="1"/>
  <c r="E73" i="13" s="1"/>
  <c r="F9" i="45"/>
  <c r="H9" i="45" s="1"/>
  <c r="F9" i="48"/>
  <c r="H9" i="48" s="1"/>
  <c r="F9" i="44"/>
  <c r="H9" i="44" s="1"/>
  <c r="F9" i="43"/>
  <c r="H9" i="43" s="1"/>
  <c r="F9" i="47"/>
  <c r="H9" i="47" s="1"/>
  <c r="G17" i="13"/>
  <c r="G16" i="13" s="1"/>
  <c r="D30" i="49"/>
  <c r="F9" i="46"/>
  <c r="H9" i="46" s="1"/>
  <c r="L11" i="29"/>
  <c r="I11" i="29"/>
  <c r="J13" i="2"/>
  <c r="J22" i="2"/>
  <c r="J34" i="2"/>
  <c r="J19" i="8" s="1"/>
  <c r="J24" i="2"/>
  <c r="J53" i="8" s="1"/>
  <c r="J17" i="2"/>
  <c r="J7" i="8" s="1"/>
  <c r="J23" i="2"/>
  <c r="J11" i="8" s="1"/>
  <c r="J3" i="3"/>
  <c r="J25" i="2"/>
  <c r="J28" i="2"/>
  <c r="J15" i="8" s="1"/>
  <c r="J3" i="2"/>
  <c r="J3" i="8"/>
  <c r="C3" i="5"/>
  <c r="C5" i="6" s="1"/>
  <c r="J3" i="4"/>
  <c r="K6" i="1"/>
  <c r="Y24" i="28"/>
  <c r="Y39" i="29"/>
  <c r="I22" i="30"/>
  <c r="L22" i="30"/>
  <c r="Q26" i="28"/>
  <c r="H55" i="8"/>
  <c r="H67" i="8" s="1"/>
  <c r="P9" i="28"/>
  <c r="P9" i="30"/>
  <c r="T9" i="25"/>
  <c r="U9" i="25" s="1"/>
  <c r="P9" i="26"/>
  <c r="T9" i="26" s="1"/>
  <c r="U9" i="26" s="1"/>
  <c r="P9" i="29"/>
  <c r="P9" i="27"/>
  <c r="T9" i="27" s="1"/>
  <c r="Z11" i="25"/>
  <c r="AA11" i="25" s="1"/>
  <c r="K11" i="25"/>
  <c r="V8" i="27"/>
  <c r="S8" i="27"/>
  <c r="Y40" i="27"/>
  <c r="AA40" i="27" s="1"/>
  <c r="G37" i="2"/>
  <c r="E9" i="30" s="1"/>
  <c r="I6" i="2"/>
  <c r="I37" i="1"/>
  <c r="I39" i="1" s="1"/>
  <c r="I46" i="1" s="1"/>
  <c r="I49" i="1" s="1"/>
  <c r="I20" i="8"/>
  <c r="I21" i="8" s="1"/>
  <c r="G29" i="29"/>
  <c r="Q29" i="29" s="1"/>
  <c r="Q10" i="27"/>
  <c r="Q44" i="27" s="1"/>
  <c r="M10" i="5"/>
  <c r="M11" i="5"/>
  <c r="M9" i="5"/>
  <c r="AB26" i="27"/>
  <c r="I13" i="29"/>
  <c r="J13" i="29"/>
  <c r="L13" i="29"/>
  <c r="AA10" i="26" l="1"/>
  <c r="J26" i="3"/>
  <c r="J10" i="3"/>
  <c r="J13" i="3"/>
  <c r="J12" i="3"/>
  <c r="J9" i="3"/>
  <c r="K8" i="1"/>
  <c r="K12" i="1"/>
  <c r="K43" i="1" s="1"/>
  <c r="K15" i="1"/>
  <c r="K18" i="1"/>
  <c r="K21" i="1"/>
  <c r="K23" i="1"/>
  <c r="K34" i="2" s="1"/>
  <c r="K19" i="8" s="1"/>
  <c r="K11" i="1"/>
  <c r="K42" i="1"/>
  <c r="K9" i="1"/>
  <c r="K13" i="2" s="1"/>
  <c r="AB41" i="30"/>
  <c r="AB21" i="30"/>
  <c r="AB42" i="30"/>
  <c r="AB30" i="30"/>
  <c r="AB13" i="29"/>
  <c r="AA11" i="27"/>
  <c r="F47" i="8"/>
  <c r="H47" i="8"/>
  <c r="AB14" i="30"/>
  <c r="G38" i="2"/>
  <c r="E10" i="30" s="1"/>
  <c r="G10" i="30" s="1"/>
  <c r="Q10" i="30" s="1"/>
  <c r="P14" i="30"/>
  <c r="T14" i="30" s="1"/>
  <c r="U14" i="30" s="1"/>
  <c r="P14" i="27"/>
  <c r="T14" i="27" s="1"/>
  <c r="U14" i="27" s="1"/>
  <c r="T14" i="25"/>
  <c r="U14" i="25" s="1"/>
  <c r="P14" i="29"/>
  <c r="T14" i="29" s="1"/>
  <c r="U14" i="29" s="1"/>
  <c r="P14" i="26"/>
  <c r="T14" i="26" s="1"/>
  <c r="U14" i="26" s="1"/>
  <c r="Z12" i="29"/>
  <c r="AB22" i="30"/>
  <c r="J9" i="29"/>
  <c r="AB34" i="29"/>
  <c r="Z11" i="30"/>
  <c r="Z11" i="29"/>
  <c r="J8" i="28"/>
  <c r="T9" i="28"/>
  <c r="Z9" i="28" s="1"/>
  <c r="J12" i="30"/>
  <c r="AB37" i="30"/>
  <c r="Y44" i="25"/>
  <c r="AB38" i="30"/>
  <c r="AB40" i="29"/>
  <c r="AA12" i="28"/>
  <c r="I66" i="8"/>
  <c r="Z12" i="26"/>
  <c r="AA12" i="26" s="1"/>
  <c r="AB11" i="29"/>
  <c r="AB11" i="30"/>
  <c r="AB33" i="29"/>
  <c r="U18" i="30"/>
  <c r="AA18" i="29"/>
  <c r="H40" i="8"/>
  <c r="H48" i="8" s="1"/>
  <c r="V36" i="30"/>
  <c r="S36" i="30"/>
  <c r="U36" i="30" s="1"/>
  <c r="I43" i="8"/>
  <c r="I44" i="8" s="1"/>
  <c r="S29" i="29"/>
  <c r="U29" i="29" s="1"/>
  <c r="V29" i="29"/>
  <c r="S28" i="30"/>
  <c r="V28" i="30"/>
  <c r="S27" i="29"/>
  <c r="U27" i="29" s="1"/>
  <c r="V27" i="29"/>
  <c r="S12" i="30"/>
  <c r="V12" i="30"/>
  <c r="S44" i="27"/>
  <c r="Y44" i="27" s="1"/>
  <c r="L8" i="29"/>
  <c r="I8" i="29"/>
  <c r="Y8" i="27"/>
  <c r="S27" i="28"/>
  <c r="U27" i="28" s="1"/>
  <c r="V27" i="28"/>
  <c r="I26" i="29"/>
  <c r="L26" i="29"/>
  <c r="Y11" i="29"/>
  <c r="K11" i="29"/>
  <c r="Z12" i="27"/>
  <c r="AA12" i="27" s="1"/>
  <c r="J6" i="2"/>
  <c r="J37" i="1"/>
  <c r="J39" i="1" s="1"/>
  <c r="J46" i="1" s="1"/>
  <c r="J49" i="1" s="1"/>
  <c r="J54" i="8"/>
  <c r="J65" i="8"/>
  <c r="I23" i="30"/>
  <c r="L23" i="30"/>
  <c r="U9" i="27"/>
  <c r="Y39" i="30"/>
  <c r="I34" i="30"/>
  <c r="L34" i="30"/>
  <c r="I8" i="28"/>
  <c r="G44" i="28"/>
  <c r="L8" i="28"/>
  <c r="K10" i="27"/>
  <c r="U12" i="29"/>
  <c r="S19" i="30"/>
  <c r="V19" i="30"/>
  <c r="D19" i="27"/>
  <c r="J19" i="27" s="1"/>
  <c r="D19" i="29"/>
  <c r="J19" i="29" s="1"/>
  <c r="D19" i="30"/>
  <c r="J19" i="30" s="1"/>
  <c r="D19" i="25"/>
  <c r="J19" i="25" s="1"/>
  <c r="D19" i="28"/>
  <c r="J19" i="28" s="1"/>
  <c r="D19" i="26"/>
  <c r="J19" i="26" s="1"/>
  <c r="N26" i="5"/>
  <c r="N27" i="5"/>
  <c r="I9" i="4"/>
  <c r="N25" i="5"/>
  <c r="G10" i="29"/>
  <c r="Q10" i="29" s="1"/>
  <c r="U11" i="30"/>
  <c r="G29" i="30"/>
  <c r="I27" i="28"/>
  <c r="L27" i="28"/>
  <c r="I29" i="8"/>
  <c r="J13" i="30"/>
  <c r="I13" i="30"/>
  <c r="L13" i="30"/>
  <c r="I7" i="2"/>
  <c r="I39" i="2" s="1"/>
  <c r="I8" i="2"/>
  <c r="I9" i="2" s="1"/>
  <c r="I48" i="2"/>
  <c r="J16" i="8"/>
  <c r="J17" i="8" s="1"/>
  <c r="J8" i="29"/>
  <c r="Y12" i="29"/>
  <c r="K12" i="29"/>
  <c r="H41" i="2"/>
  <c r="Q23" i="30"/>
  <c r="S28" i="29"/>
  <c r="Y28" i="29" s="1"/>
  <c r="V28" i="29"/>
  <c r="AB28" i="29" s="1"/>
  <c r="K14" i="30"/>
  <c r="Y14" i="30"/>
  <c r="G27" i="30"/>
  <c r="Q27" i="30" s="1"/>
  <c r="U11" i="29"/>
  <c r="H10" i="2"/>
  <c r="H12" i="2" s="1"/>
  <c r="N31" i="5"/>
  <c r="N29" i="5"/>
  <c r="I15" i="4"/>
  <c r="N30" i="5"/>
  <c r="Q8" i="28"/>
  <c r="U12" i="28"/>
  <c r="Z14" i="28"/>
  <c r="AA14" i="28" s="1"/>
  <c r="Y24" i="29"/>
  <c r="I33" i="30"/>
  <c r="L33" i="30"/>
  <c r="Y33" i="29"/>
  <c r="T8" i="25"/>
  <c r="P8" i="27"/>
  <c r="T8" i="27" s="1"/>
  <c r="U8" i="27" s="1"/>
  <c r="U44" i="27" s="1"/>
  <c r="P8" i="29"/>
  <c r="P8" i="26"/>
  <c r="T8" i="26" s="1"/>
  <c r="Z8" i="26" s="1"/>
  <c r="AA8" i="26" s="1"/>
  <c r="P8" i="28"/>
  <c r="P8" i="30"/>
  <c r="Y38" i="30"/>
  <c r="AA38" i="30" s="1"/>
  <c r="K38" i="30"/>
  <c r="Z13" i="29"/>
  <c r="S13" i="30"/>
  <c r="T13" i="30"/>
  <c r="V13" i="30"/>
  <c r="S26" i="28"/>
  <c r="Y26" i="28" s="1"/>
  <c r="V26" i="28"/>
  <c r="AB26" i="28" s="1"/>
  <c r="K22" i="2"/>
  <c r="K29" i="2"/>
  <c r="K57" i="8" s="1"/>
  <c r="K24" i="2"/>
  <c r="K53" i="8" s="1"/>
  <c r="K17" i="2"/>
  <c r="K7" i="8" s="1"/>
  <c r="K28" i="2"/>
  <c r="K15" i="8" s="1"/>
  <c r="K30" i="2"/>
  <c r="K25" i="2"/>
  <c r="K3" i="3"/>
  <c r="K23" i="2"/>
  <c r="K11" i="8" s="1"/>
  <c r="K3" i="4"/>
  <c r="K3" i="8"/>
  <c r="K3" i="2"/>
  <c r="D3" i="5"/>
  <c r="D5" i="6" s="1"/>
  <c r="L6" i="1"/>
  <c r="J20" i="8"/>
  <c r="J21" i="8" s="1"/>
  <c r="G43" i="8"/>
  <c r="G47" i="8" s="1"/>
  <c r="G46" i="8"/>
  <c r="I27" i="29"/>
  <c r="L27" i="29"/>
  <c r="AB12" i="29"/>
  <c r="I47" i="1"/>
  <c r="H37" i="2"/>
  <c r="H38" i="2" s="1"/>
  <c r="N15" i="5"/>
  <c r="N13" i="5"/>
  <c r="N14" i="5"/>
  <c r="U13" i="27"/>
  <c r="Y9" i="27"/>
  <c r="Y37" i="29"/>
  <c r="AB18" i="30"/>
  <c r="K14" i="26"/>
  <c r="I29" i="29"/>
  <c r="L29" i="29"/>
  <c r="Z9" i="25"/>
  <c r="AA9" i="25" s="1"/>
  <c r="K9" i="25"/>
  <c r="K14" i="25"/>
  <c r="L36" i="30"/>
  <c r="I36" i="30"/>
  <c r="AB39" i="30"/>
  <c r="Y13" i="29"/>
  <c r="K13" i="29"/>
  <c r="G9" i="30"/>
  <c r="Q9" i="30" s="1"/>
  <c r="J38" i="8"/>
  <c r="J26" i="2"/>
  <c r="J27" i="2" s="1"/>
  <c r="J34" i="8"/>
  <c r="G24" i="30"/>
  <c r="Y36" i="29"/>
  <c r="AA36" i="29" s="1"/>
  <c r="Z9" i="27"/>
  <c r="AB8" i="27"/>
  <c r="S9" i="28"/>
  <c r="Y9" i="28" s="1"/>
  <c r="V9" i="28"/>
  <c r="AB9" i="28" s="1"/>
  <c r="AA13" i="27"/>
  <c r="I39" i="8"/>
  <c r="I40" i="8" s="1"/>
  <c r="I46" i="8"/>
  <c r="I35" i="8"/>
  <c r="I36" i="8" s="1"/>
  <c r="Z18" i="30"/>
  <c r="Z14" i="30"/>
  <c r="V35" i="30"/>
  <c r="AB35" i="30" s="1"/>
  <c r="S35" i="30"/>
  <c r="V34" i="30"/>
  <c r="S34" i="30"/>
  <c r="U34" i="30" s="1"/>
  <c r="U13" i="29"/>
  <c r="J18" i="2"/>
  <c r="J16" i="4"/>
  <c r="J17" i="4"/>
  <c r="J11" i="4"/>
  <c r="J10" i="4"/>
  <c r="J31" i="2"/>
  <c r="Y11" i="30"/>
  <c r="K11" i="30"/>
  <c r="L12" i="30"/>
  <c r="I12" i="30"/>
  <c r="P37" i="29"/>
  <c r="T37" i="29" s="1"/>
  <c r="U37" i="29" s="1"/>
  <c r="P37" i="26"/>
  <c r="T37" i="26" s="1"/>
  <c r="U37" i="26" s="1"/>
  <c r="T37" i="25"/>
  <c r="U37" i="25" s="1"/>
  <c r="P37" i="28"/>
  <c r="T37" i="28" s="1"/>
  <c r="U37" i="28" s="1"/>
  <c r="P37" i="27"/>
  <c r="T37" i="27" s="1"/>
  <c r="U37" i="27" s="1"/>
  <c r="P37" i="30"/>
  <c r="T37" i="30" s="1"/>
  <c r="U37" i="30" s="1"/>
  <c r="K8" i="25"/>
  <c r="K44" i="25" s="1"/>
  <c r="I40" i="30"/>
  <c r="L40" i="30"/>
  <c r="N11" i="5"/>
  <c r="N10" i="5"/>
  <c r="N9" i="5"/>
  <c r="I42" i="2"/>
  <c r="I40" i="2"/>
  <c r="Y40" i="29"/>
  <c r="AA40" i="29" s="1"/>
  <c r="K40" i="29"/>
  <c r="I9" i="29"/>
  <c r="L9" i="29"/>
  <c r="T12" i="30"/>
  <c r="K18" i="30"/>
  <c r="Y18" i="30"/>
  <c r="S10" i="28"/>
  <c r="T10" i="28"/>
  <c r="V10" i="28"/>
  <c r="K14" i="27"/>
  <c r="U14" i="28"/>
  <c r="P35" i="30"/>
  <c r="T35" i="30" s="1"/>
  <c r="P35" i="29"/>
  <c r="T35" i="29" s="1"/>
  <c r="U35" i="29" s="1"/>
  <c r="T35" i="25"/>
  <c r="U35" i="25" s="1"/>
  <c r="P35" i="27"/>
  <c r="T35" i="27" s="1"/>
  <c r="U35" i="27" s="1"/>
  <c r="P35" i="26"/>
  <c r="T35" i="26" s="1"/>
  <c r="U35" i="26" s="1"/>
  <c r="P35" i="28"/>
  <c r="T35" i="28" s="1"/>
  <c r="U35" i="28" s="1"/>
  <c r="J8" i="8"/>
  <c r="J9" i="8" s="1"/>
  <c r="J27" i="8"/>
  <c r="J58" i="8"/>
  <c r="J59" i="8" s="1"/>
  <c r="Q8" i="29"/>
  <c r="Q33" i="30"/>
  <c r="Z12" i="25"/>
  <c r="AA12" i="25" s="1"/>
  <c r="S10" i="27"/>
  <c r="Y10" i="27" s="1"/>
  <c r="V10" i="27"/>
  <c r="AB10" i="27" s="1"/>
  <c r="T10" i="27"/>
  <c r="Z10" i="27" s="1"/>
  <c r="Y22" i="30"/>
  <c r="J12" i="8"/>
  <c r="J13" i="8" s="1"/>
  <c r="J14" i="2"/>
  <c r="K8" i="26"/>
  <c r="K44" i="26" s="1"/>
  <c r="E44" i="29"/>
  <c r="L19" i="30"/>
  <c r="I19" i="30"/>
  <c r="K8" i="27"/>
  <c r="K44" i="27" s="1"/>
  <c r="E8" i="30"/>
  <c r="G12" i="2"/>
  <c r="Z9" i="26"/>
  <c r="AA9" i="26" s="1"/>
  <c r="K9" i="26"/>
  <c r="I55" i="8"/>
  <c r="I67" i="8" s="1"/>
  <c r="AB24" i="29"/>
  <c r="P19" i="28"/>
  <c r="T19" i="28" s="1"/>
  <c r="U19" i="28" s="1"/>
  <c r="P19" i="30"/>
  <c r="T19" i="30" s="1"/>
  <c r="P19" i="29"/>
  <c r="T19" i="29" s="1"/>
  <c r="U19" i="29" s="1"/>
  <c r="P19" i="27"/>
  <c r="T19" i="27" s="1"/>
  <c r="U19" i="27" s="1"/>
  <c r="T19" i="25"/>
  <c r="U19" i="25" s="1"/>
  <c r="P19" i="26"/>
  <c r="T19" i="26" s="1"/>
  <c r="U19" i="26" s="1"/>
  <c r="D37" i="30"/>
  <c r="J37" i="30" s="1"/>
  <c r="D37" i="26"/>
  <c r="J37" i="26" s="1"/>
  <c r="D37" i="27"/>
  <c r="J37" i="27" s="1"/>
  <c r="D37" i="29"/>
  <c r="J37" i="29" s="1"/>
  <c r="D37" i="28"/>
  <c r="J37" i="28" s="1"/>
  <c r="D37" i="25"/>
  <c r="J37" i="25" s="1"/>
  <c r="Q40" i="30"/>
  <c r="K9" i="28"/>
  <c r="L28" i="30"/>
  <c r="I28" i="30"/>
  <c r="K34" i="29"/>
  <c r="Y34" i="29"/>
  <c r="AA34" i="29" s="1"/>
  <c r="I28" i="8"/>
  <c r="Q9" i="29"/>
  <c r="G26" i="30"/>
  <c r="Q26" i="29"/>
  <c r="Y37" i="30"/>
  <c r="L10" i="28"/>
  <c r="J10" i="28"/>
  <c r="I10" i="28"/>
  <c r="D35" i="26"/>
  <c r="J35" i="26" s="1"/>
  <c r="D35" i="28"/>
  <c r="J35" i="28" s="1"/>
  <c r="D35" i="27"/>
  <c r="J35" i="27" s="1"/>
  <c r="D35" i="29"/>
  <c r="J35" i="29" s="1"/>
  <c r="D35" i="25"/>
  <c r="J35" i="25" s="1"/>
  <c r="D35" i="30"/>
  <c r="J35" i="30" s="1"/>
  <c r="K10" i="3" l="1"/>
  <c r="K13" i="3"/>
  <c r="K26" i="3"/>
  <c r="K12" i="3"/>
  <c r="K9" i="3"/>
  <c r="L8" i="1"/>
  <c r="L12" i="1"/>
  <c r="L43" i="1" s="1"/>
  <c r="L25" i="2"/>
  <c r="L21" i="1"/>
  <c r="L15" i="1"/>
  <c r="L18" i="1"/>
  <c r="L22" i="2"/>
  <c r="L23" i="1"/>
  <c r="L34" i="2" s="1"/>
  <c r="L19" i="8" s="1"/>
  <c r="L11" i="1"/>
  <c r="L42" i="1"/>
  <c r="L9" i="1"/>
  <c r="V44" i="27"/>
  <c r="AB44" i="27" s="1"/>
  <c r="Z14" i="29"/>
  <c r="AA14" i="29" s="1"/>
  <c r="AB19" i="30"/>
  <c r="AB10" i="28"/>
  <c r="Z14" i="26"/>
  <c r="AA14" i="26" s="1"/>
  <c r="Z14" i="25"/>
  <c r="AA14" i="25" s="1"/>
  <c r="Z14" i="27"/>
  <c r="AA14" i="27" s="1"/>
  <c r="Z35" i="30"/>
  <c r="AA12" i="29"/>
  <c r="Z12" i="30"/>
  <c r="AA11" i="30"/>
  <c r="AB29" i="29"/>
  <c r="U9" i="28"/>
  <c r="AA11" i="29"/>
  <c r="AA18" i="30"/>
  <c r="AB28" i="30"/>
  <c r="Z10" i="28"/>
  <c r="AB27" i="28"/>
  <c r="I10" i="2"/>
  <c r="I12" i="2" s="1"/>
  <c r="K34" i="8"/>
  <c r="K35" i="8" s="1"/>
  <c r="AB12" i="30"/>
  <c r="T8" i="28"/>
  <c r="Z8" i="28" s="1"/>
  <c r="U13" i="30"/>
  <c r="Z37" i="30"/>
  <c r="AA37" i="30" s="1"/>
  <c r="Z8" i="27"/>
  <c r="AA8" i="27" s="1"/>
  <c r="J47" i="1"/>
  <c r="AB36" i="30"/>
  <c r="AB27" i="29"/>
  <c r="U35" i="30"/>
  <c r="G44" i="8"/>
  <c r="G48" i="8" s="1"/>
  <c r="AA9" i="28"/>
  <c r="K35" i="30"/>
  <c r="AA10" i="27"/>
  <c r="K29" i="29"/>
  <c r="Y29" i="29"/>
  <c r="AA29" i="29" s="1"/>
  <c r="K34" i="30"/>
  <c r="Y34" i="30"/>
  <c r="AA34" i="30" s="1"/>
  <c r="K16" i="8"/>
  <c r="K17" i="8" s="1"/>
  <c r="V27" i="30"/>
  <c r="S27" i="30"/>
  <c r="U27" i="30" s="1"/>
  <c r="Z19" i="28"/>
  <c r="AA19" i="28" s="1"/>
  <c r="K19" i="28"/>
  <c r="I9" i="30"/>
  <c r="L9" i="30"/>
  <c r="C27" i="5"/>
  <c r="C25" i="5"/>
  <c r="J9" i="4"/>
  <c r="C26" i="5"/>
  <c r="C31" i="5"/>
  <c r="C29" i="5"/>
  <c r="C30" i="5"/>
  <c r="J15" i="4"/>
  <c r="I24" i="30"/>
  <c r="L24" i="30"/>
  <c r="K6" i="2"/>
  <c r="K37" i="1"/>
  <c r="K39" i="1" s="1"/>
  <c r="K46" i="1" s="1"/>
  <c r="K49" i="1" s="1"/>
  <c r="I27" i="30"/>
  <c r="L27" i="30"/>
  <c r="I37" i="2"/>
  <c r="I38" i="2" s="1"/>
  <c r="V10" i="29"/>
  <c r="T10" i="29"/>
  <c r="S10" i="29"/>
  <c r="Z19" i="25"/>
  <c r="AA19" i="25" s="1"/>
  <c r="K19" i="25"/>
  <c r="L44" i="28"/>
  <c r="I26" i="30"/>
  <c r="L26" i="30"/>
  <c r="J28" i="8"/>
  <c r="Y12" i="30"/>
  <c r="K12" i="30"/>
  <c r="Y35" i="30"/>
  <c r="U10" i="28"/>
  <c r="Q24" i="30"/>
  <c r="AA13" i="29"/>
  <c r="K8" i="8"/>
  <c r="K27" i="8"/>
  <c r="S8" i="28"/>
  <c r="Y8" i="28" s="1"/>
  <c r="V8" i="28"/>
  <c r="V44" i="28" s="1"/>
  <c r="Q44" i="28"/>
  <c r="AA14" i="30"/>
  <c r="I10" i="29"/>
  <c r="L10" i="29"/>
  <c r="L44" i="29" s="1"/>
  <c r="J10" i="29"/>
  <c r="Z19" i="30"/>
  <c r="U12" i="30"/>
  <c r="S10" i="30"/>
  <c r="V10" i="30"/>
  <c r="T10" i="30"/>
  <c r="Y27" i="29"/>
  <c r="AA27" i="29" s="1"/>
  <c r="K27" i="29"/>
  <c r="Z19" i="26"/>
  <c r="AA19" i="26" s="1"/>
  <c r="K19" i="26"/>
  <c r="Z35" i="27"/>
  <c r="AA35" i="27" s="1"/>
  <c r="K35" i="27"/>
  <c r="I41" i="2"/>
  <c r="K40" i="30"/>
  <c r="J35" i="8"/>
  <c r="J36" i="8" s="1"/>
  <c r="K12" i="8"/>
  <c r="K13" i="8" s="1"/>
  <c r="AB13" i="30"/>
  <c r="Z19" i="29"/>
  <c r="AA19" i="29" s="1"/>
  <c r="K19" i="29"/>
  <c r="I44" i="28"/>
  <c r="K8" i="28"/>
  <c r="K44" i="28" s="1"/>
  <c r="J66" i="8"/>
  <c r="S8" i="29"/>
  <c r="V8" i="29"/>
  <c r="AB8" i="29" s="1"/>
  <c r="Q44" i="29"/>
  <c r="S9" i="30"/>
  <c r="V9" i="30"/>
  <c r="U8" i="25"/>
  <c r="U44" i="25" s="1"/>
  <c r="I44" i="29"/>
  <c r="K8" i="29"/>
  <c r="K44" i="29" s="1"/>
  <c r="Z35" i="29"/>
  <c r="AA35" i="29" s="1"/>
  <c r="K35" i="29"/>
  <c r="S26" i="29"/>
  <c r="V26" i="29"/>
  <c r="AB26" i="29" s="1"/>
  <c r="Z37" i="25"/>
  <c r="AA37" i="25" s="1"/>
  <c r="K37" i="25"/>
  <c r="Z35" i="28"/>
  <c r="AA35" i="28" s="1"/>
  <c r="K35" i="28"/>
  <c r="Y28" i="30"/>
  <c r="Z37" i="28"/>
  <c r="AA37" i="28" s="1"/>
  <c r="K37" i="28"/>
  <c r="G8" i="30"/>
  <c r="Q8" i="30" s="1"/>
  <c r="E44" i="30"/>
  <c r="J42" i="2"/>
  <c r="J40" i="2"/>
  <c r="U10" i="27"/>
  <c r="C11" i="5"/>
  <c r="C9" i="5"/>
  <c r="C10" i="5"/>
  <c r="Y36" i="30"/>
  <c r="AA36" i="30" s="1"/>
  <c r="K36" i="30"/>
  <c r="Z8" i="25"/>
  <c r="AA8" i="25" s="1"/>
  <c r="K18" i="2"/>
  <c r="K54" i="8"/>
  <c r="K65" i="8"/>
  <c r="U8" i="26"/>
  <c r="U44" i="26" s="1"/>
  <c r="J9" i="30"/>
  <c r="K13" i="30"/>
  <c r="Y13" i="30"/>
  <c r="K27" i="28"/>
  <c r="Y27" i="28"/>
  <c r="AA27" i="28" s="1"/>
  <c r="Z19" i="27"/>
  <c r="AA19" i="27" s="1"/>
  <c r="K19" i="27"/>
  <c r="J55" i="8"/>
  <c r="J67" i="8" s="1"/>
  <c r="Z37" i="26"/>
  <c r="AA37" i="26" s="1"/>
  <c r="K37" i="26"/>
  <c r="J29" i="8"/>
  <c r="K31" i="2"/>
  <c r="K32" i="2" s="1"/>
  <c r="K42" i="8" s="1"/>
  <c r="S9" i="29"/>
  <c r="Y9" i="29" s="1"/>
  <c r="V9" i="29"/>
  <c r="AB9" i="29" s="1"/>
  <c r="Z35" i="26"/>
  <c r="AA35" i="26" s="1"/>
  <c r="K35" i="26"/>
  <c r="K10" i="28"/>
  <c r="Y10" i="28"/>
  <c r="Z37" i="29"/>
  <c r="AA37" i="29" s="1"/>
  <c r="K37" i="29"/>
  <c r="J15" i="2"/>
  <c r="S33" i="30"/>
  <c r="Y33" i="30" s="1"/>
  <c r="V33" i="30"/>
  <c r="AB33" i="30" s="1"/>
  <c r="C13" i="5"/>
  <c r="C15" i="5"/>
  <c r="C14" i="5"/>
  <c r="T9" i="29"/>
  <c r="Z9" i="29" s="1"/>
  <c r="I47" i="8"/>
  <c r="L13" i="2"/>
  <c r="F43" i="14" s="1"/>
  <c r="L28" i="2"/>
  <c r="L15" i="8" s="1"/>
  <c r="L3" i="3"/>
  <c r="L30" i="2"/>
  <c r="L29" i="2"/>
  <c r="L57" i="8" s="1"/>
  <c r="L23" i="2"/>
  <c r="L11" i="8" s="1"/>
  <c r="L24" i="2"/>
  <c r="L53" i="8" s="1"/>
  <c r="L17" i="2"/>
  <c r="L7" i="8" s="1"/>
  <c r="L3" i="4"/>
  <c r="E3" i="5"/>
  <c r="E5" i="6" s="1"/>
  <c r="L3" i="2"/>
  <c r="L3" i="8"/>
  <c r="K17" i="4"/>
  <c r="K10" i="4"/>
  <c r="K16" i="4"/>
  <c r="K11" i="4"/>
  <c r="K58" i="8"/>
  <c r="K59" i="8" s="1"/>
  <c r="T8" i="29"/>
  <c r="T9" i="30"/>
  <c r="Z13" i="30"/>
  <c r="I29" i="30"/>
  <c r="L29" i="30"/>
  <c r="K9" i="29"/>
  <c r="K14" i="2"/>
  <c r="K15" i="2" s="1"/>
  <c r="K37" i="30"/>
  <c r="Z35" i="25"/>
  <c r="AA35" i="25" s="1"/>
  <c r="K35" i="25"/>
  <c r="Q26" i="30"/>
  <c r="S40" i="30"/>
  <c r="U40" i="30" s="1"/>
  <c r="V40" i="30"/>
  <c r="AB40" i="30" s="1"/>
  <c r="Z37" i="27"/>
  <c r="AA37" i="27" s="1"/>
  <c r="K37" i="27"/>
  <c r="Y19" i="30"/>
  <c r="K19" i="30"/>
  <c r="J32" i="2"/>
  <c r="J42" i="8" s="1"/>
  <c r="J46" i="8" s="1"/>
  <c r="I10" i="30"/>
  <c r="J10" i="30"/>
  <c r="L10" i="30"/>
  <c r="I48" i="8"/>
  <c r="J39" i="8"/>
  <c r="J40" i="8" s="1"/>
  <c r="AA9" i="27"/>
  <c r="K38" i="8"/>
  <c r="K26" i="2"/>
  <c r="K27" i="2" s="1"/>
  <c r="K20" i="8"/>
  <c r="K21" i="8" s="1"/>
  <c r="V23" i="30"/>
  <c r="AB23" i="30" s="1"/>
  <c r="S23" i="30"/>
  <c r="Q29" i="30"/>
  <c r="U19" i="30"/>
  <c r="AB34" i="30"/>
  <c r="J7" i="2"/>
  <c r="J39" i="2" s="1"/>
  <c r="J8" i="2"/>
  <c r="J9" i="2" s="1"/>
  <c r="J48" i="2"/>
  <c r="G44" i="29"/>
  <c r="L13" i="3" l="1"/>
  <c r="L17" i="4" s="1"/>
  <c r="L10" i="3"/>
  <c r="L11" i="4" s="1"/>
  <c r="L26" i="3"/>
  <c r="L12" i="3"/>
  <c r="L16" i="4" s="1"/>
  <c r="L9" i="3"/>
  <c r="L10" i="4" s="1"/>
  <c r="AA35" i="30"/>
  <c r="AA12" i="30"/>
  <c r="AA10" i="28"/>
  <c r="AA19" i="30"/>
  <c r="Z10" i="30"/>
  <c r="AA8" i="28"/>
  <c r="AB27" i="30"/>
  <c r="AB44" i="28"/>
  <c r="AB10" i="29"/>
  <c r="K47" i="1"/>
  <c r="J10" i="2"/>
  <c r="J12" i="2" s="1"/>
  <c r="AB10" i="30"/>
  <c r="AA9" i="29"/>
  <c r="Y40" i="30"/>
  <c r="AA40" i="30" s="1"/>
  <c r="K66" i="8"/>
  <c r="AB9" i="30"/>
  <c r="S8" i="30"/>
  <c r="V8" i="30"/>
  <c r="Q44" i="30"/>
  <c r="T8" i="30"/>
  <c r="G43" i="14"/>
  <c r="G48" i="14" s="1"/>
  <c r="H43" i="14"/>
  <c r="H48" i="14" s="1"/>
  <c r="F48" i="14"/>
  <c r="K43" i="8"/>
  <c r="K44" i="8" s="1"/>
  <c r="K46" i="8"/>
  <c r="U8" i="29"/>
  <c r="U44" i="29" s="1"/>
  <c r="S44" i="29"/>
  <c r="Y44" i="29" s="1"/>
  <c r="Y10" i="29"/>
  <c r="K10" i="29"/>
  <c r="K27" i="30"/>
  <c r="Y27" i="30"/>
  <c r="AA27" i="30" s="1"/>
  <c r="J37" i="2"/>
  <c r="J38" i="2" s="1"/>
  <c r="Y10" i="30"/>
  <c r="K10" i="30"/>
  <c r="D15" i="5"/>
  <c r="D14" i="5"/>
  <c r="D13" i="5"/>
  <c r="Z8" i="29"/>
  <c r="F21" i="14"/>
  <c r="Y9" i="30"/>
  <c r="K9" i="30"/>
  <c r="K29" i="30"/>
  <c r="L27" i="8"/>
  <c r="L8" i="8"/>
  <c r="L16" i="8"/>
  <c r="L17" i="8" s="1"/>
  <c r="Z9" i="30"/>
  <c r="J41" i="2"/>
  <c r="U10" i="29"/>
  <c r="S24" i="30"/>
  <c r="V24" i="30"/>
  <c r="AB24" i="30" s="1"/>
  <c r="L31" i="2"/>
  <c r="L32" i="2" s="1"/>
  <c r="L42" i="8" s="1"/>
  <c r="D10" i="5"/>
  <c r="D9" i="5"/>
  <c r="D11" i="5"/>
  <c r="L54" i="8"/>
  <c r="L65" i="8"/>
  <c r="L37" i="1"/>
  <c r="L39" i="1" s="1"/>
  <c r="L46" i="1" s="1"/>
  <c r="L49" i="1" s="1"/>
  <c r="L6" i="2"/>
  <c r="F40" i="14" s="1"/>
  <c r="G40" i="14" s="1"/>
  <c r="U9" i="30"/>
  <c r="Y23" i="30"/>
  <c r="L18" i="2"/>
  <c r="F25" i="14" s="1"/>
  <c r="J43" i="8"/>
  <c r="J47" i="8" s="1"/>
  <c r="D31" i="5"/>
  <c r="K15" i="4"/>
  <c r="D29" i="5"/>
  <c r="D30" i="5"/>
  <c r="L34" i="8"/>
  <c r="AA13" i="30"/>
  <c r="K28" i="8"/>
  <c r="Y26" i="29"/>
  <c r="K8" i="2"/>
  <c r="K9" i="2" s="1"/>
  <c r="K48" i="2"/>
  <c r="K7" i="2"/>
  <c r="K39" i="2" s="1"/>
  <c r="K9" i="4"/>
  <c r="D26" i="5"/>
  <c r="D25" i="5"/>
  <c r="D27" i="5"/>
  <c r="L12" i="8"/>
  <c r="L13" i="8" s="1"/>
  <c r="L20" i="8"/>
  <c r="L21" i="8" s="1"/>
  <c r="L8" i="30"/>
  <c r="G44" i="30"/>
  <c r="I8" i="30"/>
  <c r="J8" i="30"/>
  <c r="K9" i="8"/>
  <c r="K29" i="8" s="1"/>
  <c r="L38" i="8"/>
  <c r="L26" i="2"/>
  <c r="L27" i="2" s="1"/>
  <c r="F52" i="14"/>
  <c r="K39" i="8"/>
  <c r="V29" i="30"/>
  <c r="AB29" i="30" s="1"/>
  <c r="S29" i="30"/>
  <c r="U29" i="30" s="1"/>
  <c r="S26" i="30"/>
  <c r="V26" i="30"/>
  <c r="AB26" i="30" s="1"/>
  <c r="K42" i="2"/>
  <c r="K40" i="2"/>
  <c r="L58" i="8"/>
  <c r="L59" i="8" s="1"/>
  <c r="L14" i="2"/>
  <c r="U9" i="29"/>
  <c r="K55" i="8"/>
  <c r="K67" i="8" s="1"/>
  <c r="Y8" i="29"/>
  <c r="V44" i="29"/>
  <c r="AB44" i="29" s="1"/>
  <c r="U10" i="30"/>
  <c r="Z10" i="29"/>
  <c r="S44" i="28"/>
  <c r="Y44" i="28" s="1"/>
  <c r="U8" i="28"/>
  <c r="U44" i="28" s="1"/>
  <c r="AB8" i="28"/>
  <c r="K36" i="8"/>
  <c r="K47" i="8" l="1"/>
  <c r="AA10" i="30"/>
  <c r="J44" i="8"/>
  <c r="J48" i="8" s="1"/>
  <c r="F32" i="14"/>
  <c r="G32" i="14" s="1"/>
  <c r="K40" i="8"/>
  <c r="K48" i="8" s="1"/>
  <c r="L47" i="1"/>
  <c r="K10" i="2"/>
  <c r="K12" i="2" s="1"/>
  <c r="L66" i="8"/>
  <c r="AA9" i="30"/>
  <c r="AA8" i="29"/>
  <c r="Y24" i="30"/>
  <c r="G25" i="14"/>
  <c r="H25" i="14"/>
  <c r="K41" i="2"/>
  <c r="L7" i="2"/>
  <c r="L39" i="2" s="1"/>
  <c r="L48" i="2"/>
  <c r="L8" i="2"/>
  <c r="L9" i="2" s="1"/>
  <c r="H21" i="14"/>
  <c r="G21" i="14"/>
  <c r="L39" i="8"/>
  <c r="L40" i="8" s="1"/>
  <c r="L42" i="2"/>
  <c r="L40" i="2"/>
  <c r="K37" i="2"/>
  <c r="K38" i="2" s="1"/>
  <c r="Z8" i="30"/>
  <c r="L55" i="8"/>
  <c r="L67" i="8" s="1"/>
  <c r="Y26" i="30"/>
  <c r="L28" i="8"/>
  <c r="Y29" i="30"/>
  <c r="AA29" i="30" s="1"/>
  <c r="E26" i="5"/>
  <c r="L9" i="4"/>
  <c r="E25" i="5"/>
  <c r="E27" i="5"/>
  <c r="L43" i="8"/>
  <c r="L44" i="8" s="1"/>
  <c r="L46" i="8"/>
  <c r="L35" i="8"/>
  <c r="L36" i="8" s="1"/>
  <c r="L15" i="2"/>
  <c r="H52" i="14"/>
  <c r="G52" i="14"/>
  <c r="I44" i="30"/>
  <c r="Y8" i="30"/>
  <c r="K8" i="30"/>
  <c r="K44" i="30" s="1"/>
  <c r="F42" i="14"/>
  <c r="L9" i="8"/>
  <c r="L29" i="8" s="1"/>
  <c r="E29" i="5"/>
  <c r="E30" i="5"/>
  <c r="E31" i="5"/>
  <c r="L15" i="4"/>
  <c r="AA10" i="29"/>
  <c r="E14" i="5"/>
  <c r="F31" i="14" s="1"/>
  <c r="E13" i="5"/>
  <c r="E15" i="5"/>
  <c r="E11" i="5"/>
  <c r="E9" i="5"/>
  <c r="E10" i="5"/>
  <c r="F28" i="14" s="1"/>
  <c r="V44" i="30"/>
  <c r="H40" i="14"/>
  <c r="L44" i="30"/>
  <c r="AB8" i="30"/>
  <c r="F20" i="14"/>
  <c r="S44" i="30"/>
  <c r="U8" i="30"/>
  <c r="U44" i="30" s="1"/>
  <c r="H32" i="14" l="1"/>
  <c r="L10" i="2"/>
  <c r="L12" i="2" s="1"/>
  <c r="H28" i="14"/>
  <c r="G28" i="14"/>
  <c r="G31" i="14"/>
  <c r="H31" i="14"/>
  <c r="F13" i="39"/>
  <c r="H13" i="39" s="1"/>
  <c r="F13" i="37"/>
  <c r="H13" i="37" s="1"/>
  <c r="F13" i="38"/>
  <c r="H13" i="38" s="1"/>
  <c r="F13" i="41"/>
  <c r="H13" i="41" s="1"/>
  <c r="F13" i="42"/>
  <c r="H13" i="42" s="1"/>
  <c r="F13" i="40"/>
  <c r="H13" i="40" s="1"/>
  <c r="L48" i="8"/>
  <c r="F41" i="14"/>
  <c r="G42" i="14"/>
  <c r="H42" i="14"/>
  <c r="L41" i="2"/>
  <c r="H20" i="14"/>
  <c r="G20" i="14"/>
  <c r="F9" i="37" s="1"/>
  <c r="K20" i="14"/>
  <c r="AA8" i="30"/>
  <c r="L37" i="2"/>
  <c r="L38" i="2" s="1"/>
  <c r="Y44" i="30"/>
  <c r="AB44" i="30"/>
  <c r="L47" i="8"/>
  <c r="L20" i="14" l="1"/>
  <c r="M20" i="14" s="1"/>
  <c r="F9" i="39"/>
  <c r="H9" i="39" s="1"/>
  <c r="D8" i="31"/>
  <c r="H9" i="37"/>
  <c r="F9" i="42"/>
  <c r="H9" i="42" s="1"/>
  <c r="F9" i="40"/>
  <c r="H9" i="40" s="1"/>
  <c r="F9" i="41"/>
  <c r="H9" i="41" s="1"/>
  <c r="F9" i="38"/>
  <c r="H9" i="38" s="1"/>
  <c r="F11" i="41"/>
  <c r="H11" i="41" s="1"/>
  <c r="F11" i="39"/>
  <c r="H11" i="39" s="1"/>
  <c r="F11" i="40"/>
  <c r="H11" i="40" s="1"/>
  <c r="F11" i="38"/>
  <c r="H11" i="38" s="1"/>
  <c r="F11" i="37"/>
  <c r="H11" i="37" s="1"/>
  <c r="F11" i="42"/>
  <c r="H11" i="42" s="1"/>
  <c r="H41" i="14"/>
  <c r="G41" i="14"/>
  <c r="J8" i="31" l="1"/>
  <c r="D8" i="32"/>
  <c r="J8" i="32" s="1"/>
  <c r="D8" i="34"/>
  <c r="J8" i="34" s="1"/>
  <c r="D8" i="35"/>
  <c r="J8" i="35" s="1"/>
  <c r="D8" i="36"/>
  <c r="J8" i="36" s="1"/>
  <c r="D8" i="33"/>
  <c r="J8" i="33" s="1"/>
  <c r="Z8" i="36" l="1"/>
  <c r="AA8" i="36" s="1"/>
  <c r="J44" i="36"/>
  <c r="Z44" i="36" s="1"/>
  <c r="AA44" i="36" s="1"/>
  <c r="K8" i="36"/>
  <c r="K44" i="36" s="1"/>
  <c r="K8" i="35"/>
  <c r="K44" i="35" s="1"/>
  <c r="J44" i="35"/>
  <c r="Z44" i="35" s="1"/>
  <c r="AA44" i="35" s="1"/>
  <c r="Z8" i="35"/>
  <c r="AA8" i="35" s="1"/>
  <c r="Z8" i="32"/>
  <c r="AA8" i="32" s="1"/>
  <c r="K8" i="32"/>
  <c r="K44" i="32" s="1"/>
  <c r="J44" i="32"/>
  <c r="Z44" i="32" s="1"/>
  <c r="AA44" i="32" s="1"/>
  <c r="J44" i="33"/>
  <c r="Z44" i="33" s="1"/>
  <c r="AA44" i="33" s="1"/>
  <c r="K8" i="33"/>
  <c r="K44" i="33" s="1"/>
  <c r="Z8" i="33"/>
  <c r="AA8" i="33" s="1"/>
  <c r="Z8" i="34"/>
  <c r="AA8" i="34" s="1"/>
  <c r="J44" i="34"/>
  <c r="Z44" i="34" s="1"/>
  <c r="AA44" i="34" s="1"/>
  <c r="K8" i="34"/>
  <c r="K44" i="34" s="1"/>
  <c r="Z8" i="31"/>
  <c r="AA8" i="31" s="1"/>
  <c r="J44" i="31"/>
  <c r="Z44" i="31" s="1"/>
  <c r="AA44" i="31" s="1"/>
  <c r="K8" i="31"/>
  <c r="K44" i="31" s="1"/>
  <c r="H11" i="3" l="1"/>
  <c r="H12" i="4" s="1"/>
  <c r="I11" i="3"/>
  <c r="I12" i="4" s="1"/>
  <c r="D11" i="3"/>
  <c r="D12" i="4" s="1"/>
  <c r="L11" i="3"/>
  <c r="L12" i="4" s="1"/>
  <c r="G11" i="3"/>
  <c r="G12" i="4" s="1"/>
  <c r="C11" i="3"/>
  <c r="C12" i="4" s="1"/>
  <c r="E11" i="3"/>
  <c r="E12" i="4" s="1"/>
  <c r="M11" i="3"/>
  <c r="M12" i="4" s="1"/>
  <c r="J11" i="3"/>
  <c r="J12" i="4" s="1"/>
  <c r="F11" i="3"/>
  <c r="F12" i="4" s="1"/>
  <c r="B11" i="3"/>
  <c r="B12" i="4" s="1"/>
  <c r="K11" i="3"/>
  <c r="K12" i="4" s="1"/>
  <c r="D17" i="3"/>
  <c r="D22" i="4" s="1"/>
  <c r="L17" i="3"/>
  <c r="L22" i="4" s="1"/>
  <c r="H15" i="3"/>
  <c r="H18" i="4" s="1"/>
  <c r="H20" i="4" s="1"/>
  <c r="D15" i="3"/>
  <c r="D18" i="4" s="1"/>
  <c r="D20" i="4" s="1"/>
  <c r="E17" i="3"/>
  <c r="E22" i="4" s="1"/>
  <c r="M17" i="3"/>
  <c r="M22" i="4" s="1"/>
  <c r="G15" i="3"/>
  <c r="G18" i="4" s="1"/>
  <c r="G20" i="4" s="1"/>
  <c r="B17" i="3"/>
  <c r="B22" i="4" s="1"/>
  <c r="F15" i="3"/>
  <c r="F18" i="4" s="1"/>
  <c r="F20" i="4" s="1"/>
  <c r="G17" i="3"/>
  <c r="G22" i="4" s="1"/>
  <c r="M15" i="3"/>
  <c r="M18" i="4" s="1"/>
  <c r="M20" i="4" s="1"/>
  <c r="E15" i="3"/>
  <c r="E18" i="4" s="1"/>
  <c r="E20" i="4" s="1"/>
  <c r="L15" i="3"/>
  <c r="L18" i="4" s="1"/>
  <c r="L20" i="4" s="1"/>
  <c r="F17" i="3"/>
  <c r="F22" i="4" s="1"/>
  <c r="H17" i="3"/>
  <c r="H22" i="4" s="1"/>
  <c r="I17" i="3"/>
  <c r="I22" i="4" s="1"/>
  <c r="K15" i="3"/>
  <c r="K18" i="4" s="1"/>
  <c r="K20" i="4" s="1"/>
  <c r="C15" i="3"/>
  <c r="C18" i="4" s="1"/>
  <c r="C20" i="4" s="1"/>
  <c r="J17" i="3"/>
  <c r="J22" i="4" s="1"/>
  <c r="J15" i="3"/>
  <c r="J18" i="4" s="1"/>
  <c r="J20" i="4" s="1"/>
  <c r="B15" i="3"/>
  <c r="B18" i="4" s="1"/>
  <c r="B20" i="4" s="1"/>
  <c r="C17" i="3"/>
  <c r="C22" i="4" s="1"/>
  <c r="K17" i="3"/>
  <c r="K22" i="4" s="1"/>
  <c r="I15" i="3"/>
  <c r="I18" i="4" s="1"/>
  <c r="I20" i="4" s="1"/>
  <c r="X8" i="3"/>
  <c r="O8" i="3"/>
  <c r="F8" i="3"/>
  <c r="F8" i="4" s="1"/>
  <c r="F7" i="3"/>
  <c r="B7" i="3"/>
  <c r="C8" i="3"/>
  <c r="C8" i="4" s="1"/>
  <c r="G8" i="3"/>
  <c r="G8" i="4" s="1"/>
  <c r="W8" i="3"/>
  <c r="M8" i="3"/>
  <c r="M8" i="4" s="1"/>
  <c r="E8" i="3"/>
  <c r="E8" i="4" s="1"/>
  <c r="G7" i="3"/>
  <c r="L8" i="3"/>
  <c r="L8" i="4" s="1"/>
  <c r="D8" i="3"/>
  <c r="AC8" i="3"/>
  <c r="T8" i="3"/>
  <c r="I7" i="3"/>
  <c r="B8" i="4"/>
  <c r="Y8" i="3"/>
  <c r="V8" i="3"/>
  <c r="H7" i="3"/>
  <c r="K8" i="3"/>
  <c r="K8" i="4" s="1"/>
  <c r="J7" i="3"/>
  <c r="P8" i="3"/>
  <c r="AB8" i="3"/>
  <c r="S8" i="3"/>
  <c r="J8" i="3"/>
  <c r="J8" i="4" s="1"/>
  <c r="M7" i="3"/>
  <c r="AA8" i="3"/>
  <c r="R8" i="3"/>
  <c r="I8" i="3"/>
  <c r="I8" i="4" s="1"/>
  <c r="C7" i="3"/>
  <c r="K7" i="3"/>
  <c r="Z8" i="3"/>
  <c r="Q8" i="3"/>
  <c r="H8" i="3"/>
  <c r="H8" i="4" s="1"/>
  <c r="D7" i="3"/>
  <c r="L7" i="3"/>
  <c r="E7" i="3"/>
  <c r="D8" i="4" l="1"/>
  <c r="D21" i="3"/>
  <c r="D23" i="3" s="1"/>
  <c r="B21" i="3"/>
  <c r="F23" i="6"/>
  <c r="F22" i="6"/>
  <c r="F21" i="3"/>
  <c r="F7" i="4"/>
  <c r="C23" i="6"/>
  <c r="C22" i="6"/>
  <c r="V8" i="4"/>
  <c r="V23" i="3"/>
  <c r="W8" i="4"/>
  <c r="W23" i="3"/>
  <c r="K22" i="6"/>
  <c r="K23" i="6"/>
  <c r="C18" i="5"/>
  <c r="C17" i="5"/>
  <c r="C19" i="5"/>
  <c r="F28" i="6"/>
  <c r="F29" i="6"/>
  <c r="M29" i="6"/>
  <c r="M28" i="6"/>
  <c r="F33" i="14"/>
  <c r="E13" i="4"/>
  <c r="E14" i="4" s="1"/>
  <c r="J25" i="6"/>
  <c r="J26" i="6"/>
  <c r="H7" i="4"/>
  <c r="H21" i="3"/>
  <c r="E21" i="3"/>
  <c r="E7" i="4"/>
  <c r="K21" i="3"/>
  <c r="K7" i="4"/>
  <c r="S8" i="4"/>
  <c r="S23" i="3"/>
  <c r="I23" i="6"/>
  <c r="I22" i="6"/>
  <c r="L23" i="6"/>
  <c r="L22" i="6"/>
  <c r="O8" i="4"/>
  <c r="O23" i="3"/>
  <c r="H28" i="6"/>
  <c r="H29" i="6"/>
  <c r="L18" i="5"/>
  <c r="L19" i="5"/>
  <c r="L17" i="5"/>
  <c r="E19" i="5"/>
  <c r="E17" i="5"/>
  <c r="E18" i="5"/>
  <c r="C13" i="4"/>
  <c r="C14" i="4" s="1"/>
  <c r="H25" i="6"/>
  <c r="H26" i="6"/>
  <c r="I29" i="6"/>
  <c r="I28" i="6"/>
  <c r="C21" i="3"/>
  <c r="C7" i="4"/>
  <c r="AB8" i="4"/>
  <c r="AB23" i="3"/>
  <c r="Y8" i="4"/>
  <c r="Y23" i="3"/>
  <c r="E23" i="6"/>
  <c r="E22" i="6"/>
  <c r="X8" i="4"/>
  <c r="X23" i="3"/>
  <c r="D29" i="6"/>
  <c r="D28" i="6"/>
  <c r="K29" i="6"/>
  <c r="K28" i="6"/>
  <c r="I18" i="5"/>
  <c r="I19" i="5"/>
  <c r="I17" i="5"/>
  <c r="L26" i="6"/>
  <c r="L25" i="6"/>
  <c r="G13" i="4"/>
  <c r="G14" i="4" s="1"/>
  <c r="J28" i="6"/>
  <c r="J29" i="6"/>
  <c r="L21" i="3"/>
  <c r="L7" i="4"/>
  <c r="N23" i="6"/>
  <c r="N22" i="6"/>
  <c r="P8" i="4"/>
  <c r="P23" i="3"/>
  <c r="G23" i="6"/>
  <c r="G22" i="6"/>
  <c r="F22" i="25"/>
  <c r="H22" i="25" s="1"/>
  <c r="R22" i="25" s="1"/>
  <c r="F27" i="13"/>
  <c r="N29" i="6"/>
  <c r="N28" i="6"/>
  <c r="N19" i="5"/>
  <c r="N17" i="5"/>
  <c r="N18" i="5"/>
  <c r="G18" i="5"/>
  <c r="F39" i="25" s="1"/>
  <c r="H39" i="25" s="1"/>
  <c r="R39" i="25" s="1"/>
  <c r="G19" i="5"/>
  <c r="G17" i="5"/>
  <c r="D25" i="6"/>
  <c r="D26" i="6"/>
  <c r="K13" i="4"/>
  <c r="K14" i="4" s="1"/>
  <c r="E26" i="6"/>
  <c r="E25" i="6"/>
  <c r="L13" i="4"/>
  <c r="L14" i="4" s="1"/>
  <c r="M13" i="4"/>
  <c r="M14" i="4" s="1"/>
  <c r="F26" i="6"/>
  <c r="F25" i="6"/>
  <c r="D7" i="4"/>
  <c r="R8" i="4"/>
  <c r="R23" i="3"/>
  <c r="J7" i="4"/>
  <c r="J21" i="3"/>
  <c r="I21" i="3"/>
  <c r="I7" i="4"/>
  <c r="H23" i="6"/>
  <c r="H22" i="6"/>
  <c r="D17" i="5"/>
  <c r="D18" i="5"/>
  <c r="D19" i="5"/>
  <c r="M18" i="5"/>
  <c r="M19" i="5"/>
  <c r="M17" i="5"/>
  <c r="L29" i="6"/>
  <c r="L28" i="6"/>
  <c r="B13" i="4"/>
  <c r="B14" i="4" s="1"/>
  <c r="F23" i="25" s="1"/>
  <c r="H23" i="25" s="1"/>
  <c r="R23" i="25" s="1"/>
  <c r="G25" i="6"/>
  <c r="G26" i="6"/>
  <c r="F29" i="13"/>
  <c r="I26" i="6"/>
  <c r="I25" i="6"/>
  <c r="D13" i="4"/>
  <c r="D14" i="4" s="1"/>
  <c r="Z8" i="4"/>
  <c r="Z23" i="3"/>
  <c r="C28" i="6"/>
  <c r="C29" i="6"/>
  <c r="M23" i="6"/>
  <c r="M22" i="6"/>
  <c r="F27" i="14"/>
  <c r="AA8" i="4"/>
  <c r="AA23" i="3"/>
  <c r="T8" i="4"/>
  <c r="T23" i="3"/>
  <c r="G7" i="4"/>
  <c r="G21" i="3"/>
  <c r="H19" i="5"/>
  <c r="H17" i="5"/>
  <c r="H18" i="5"/>
  <c r="K18" i="5"/>
  <c r="K19" i="5"/>
  <c r="K17" i="5"/>
  <c r="F17" i="5"/>
  <c r="F19" i="5"/>
  <c r="F18" i="5"/>
  <c r="K25" i="6"/>
  <c r="F13" i="4"/>
  <c r="F14" i="4" s="1"/>
  <c r="K26" i="6"/>
  <c r="I13" i="4"/>
  <c r="I14" i="4" s="1"/>
  <c r="N25" i="6"/>
  <c r="N26" i="6"/>
  <c r="Q8" i="4"/>
  <c r="Q23" i="3"/>
  <c r="M7" i="4"/>
  <c r="M21" i="3"/>
  <c r="D23" i="6"/>
  <c r="D22" i="6"/>
  <c r="AC8" i="4"/>
  <c r="AC23" i="3"/>
  <c r="J23" i="6"/>
  <c r="J22" i="6"/>
  <c r="B7" i="4"/>
  <c r="G29" i="6"/>
  <c r="G28" i="6"/>
  <c r="F24" i="25"/>
  <c r="H24" i="25" s="1"/>
  <c r="R24" i="25" s="1"/>
  <c r="F33" i="13"/>
  <c r="E29" i="6"/>
  <c r="E28" i="6"/>
  <c r="J17" i="5"/>
  <c r="J19" i="5"/>
  <c r="J18" i="5"/>
  <c r="J13" i="4"/>
  <c r="J14" i="4" s="1"/>
  <c r="C25" i="6"/>
  <c r="C26" i="6"/>
  <c r="M25" i="6"/>
  <c r="M26" i="6"/>
  <c r="H13" i="4"/>
  <c r="H14" i="4" s="1"/>
  <c r="F29" i="14"/>
  <c r="L37" i="14" s="1"/>
  <c r="M29" i="3" l="1"/>
  <c r="K29" i="3"/>
  <c r="G29" i="3"/>
  <c r="I29" i="3"/>
  <c r="F29" i="3"/>
  <c r="J29" i="3"/>
  <c r="L29" i="3"/>
  <c r="H29" i="3"/>
  <c r="D29" i="3"/>
  <c r="C29" i="3"/>
  <c r="E29" i="3"/>
  <c r="F46" i="14"/>
  <c r="L39" i="14" s="1"/>
  <c r="L41" i="14" s="1"/>
  <c r="F34" i="14"/>
  <c r="H34" i="14" s="1"/>
  <c r="F46" i="13"/>
  <c r="H46" i="13" s="1"/>
  <c r="P28" i="25" s="1"/>
  <c r="D7" i="5"/>
  <c r="D6" i="5"/>
  <c r="D5" i="5"/>
  <c r="F6" i="5"/>
  <c r="F5" i="5"/>
  <c r="F7" i="5"/>
  <c r="G29" i="14"/>
  <c r="H15" i="37" s="1"/>
  <c r="H29" i="14"/>
  <c r="F45" i="13"/>
  <c r="J6" i="5"/>
  <c r="J5" i="5"/>
  <c r="J7" i="5"/>
  <c r="G6" i="5"/>
  <c r="F33" i="25" s="1"/>
  <c r="H33" i="25" s="1"/>
  <c r="R33" i="25" s="1"/>
  <c r="G7" i="5"/>
  <c r="G5" i="5"/>
  <c r="F47" i="14"/>
  <c r="G27" i="14"/>
  <c r="H27" i="14"/>
  <c r="I6" i="5"/>
  <c r="I7" i="5"/>
  <c r="I5" i="5"/>
  <c r="H33" i="14"/>
  <c r="G33" i="14"/>
  <c r="H33" i="13"/>
  <c r="P24" i="25" s="1"/>
  <c r="G33" i="13"/>
  <c r="F47" i="13"/>
  <c r="K6" i="5"/>
  <c r="K5" i="5"/>
  <c r="K7" i="5"/>
  <c r="C6" i="5"/>
  <c r="C7" i="5"/>
  <c r="C5" i="5"/>
  <c r="F45" i="14"/>
  <c r="N6" i="5"/>
  <c r="N5" i="5"/>
  <c r="N7" i="5"/>
  <c r="F34" i="13"/>
  <c r="L6" i="5"/>
  <c r="L5" i="5"/>
  <c r="L7" i="5"/>
  <c r="G29" i="13"/>
  <c r="H29" i="13"/>
  <c r="P23" i="25" s="1"/>
  <c r="H27" i="13"/>
  <c r="P22" i="25" s="1"/>
  <c r="G27" i="13"/>
  <c r="E5" i="5"/>
  <c r="E6" i="5"/>
  <c r="E7" i="5"/>
  <c r="H5" i="5"/>
  <c r="H7" i="5"/>
  <c r="H6" i="5"/>
  <c r="M5" i="5"/>
  <c r="M7" i="5"/>
  <c r="M6" i="5"/>
  <c r="G46" i="13" l="1"/>
  <c r="D28" i="28" s="1"/>
  <c r="J28" i="28" s="1"/>
  <c r="G46" i="14"/>
  <c r="H46" i="14"/>
  <c r="G34" i="14"/>
  <c r="G47" i="13"/>
  <c r="H47" i="13"/>
  <c r="P30" i="25" s="1"/>
  <c r="G45" i="14"/>
  <c r="H45" i="14"/>
  <c r="D24" i="27"/>
  <c r="J24" i="27" s="1"/>
  <c r="D24" i="25"/>
  <c r="J24" i="25" s="1"/>
  <c r="D24" i="30"/>
  <c r="J24" i="30" s="1"/>
  <c r="D24" i="28"/>
  <c r="J24" i="28" s="1"/>
  <c r="D24" i="26"/>
  <c r="J24" i="26" s="1"/>
  <c r="D24" i="29"/>
  <c r="J24" i="29" s="1"/>
  <c r="F23" i="14"/>
  <c r="P24" i="27"/>
  <c r="T24" i="27" s="1"/>
  <c r="U24" i="27" s="1"/>
  <c r="P24" i="29"/>
  <c r="T24" i="29" s="1"/>
  <c r="U24" i="29" s="1"/>
  <c r="P24" i="28"/>
  <c r="T24" i="28" s="1"/>
  <c r="U24" i="28" s="1"/>
  <c r="T24" i="25"/>
  <c r="U24" i="25" s="1"/>
  <c r="P24" i="30"/>
  <c r="T24" i="30" s="1"/>
  <c r="U24" i="30" s="1"/>
  <c r="P24" i="26"/>
  <c r="T24" i="26" s="1"/>
  <c r="U24" i="26" s="1"/>
  <c r="G45" i="13"/>
  <c r="H45" i="13"/>
  <c r="P26" i="25" s="1"/>
  <c r="D22" i="29"/>
  <c r="J22" i="29" s="1"/>
  <c r="D22" i="28"/>
  <c r="J22" i="28" s="1"/>
  <c r="D22" i="30"/>
  <c r="J22" i="30" s="1"/>
  <c r="D22" i="26"/>
  <c r="J22" i="26" s="1"/>
  <c r="D22" i="25"/>
  <c r="J22" i="25" s="1"/>
  <c r="D22" i="27"/>
  <c r="J22" i="27" s="1"/>
  <c r="F23" i="13"/>
  <c r="P28" i="27"/>
  <c r="T28" i="27" s="1"/>
  <c r="U28" i="27" s="1"/>
  <c r="P28" i="28"/>
  <c r="T28" i="28" s="1"/>
  <c r="U28" i="28" s="1"/>
  <c r="P28" i="29"/>
  <c r="T28" i="29" s="1"/>
  <c r="U28" i="29" s="1"/>
  <c r="T28" i="25"/>
  <c r="U28" i="25" s="1"/>
  <c r="P28" i="26"/>
  <c r="T28" i="26" s="1"/>
  <c r="U28" i="26" s="1"/>
  <c r="P28" i="30"/>
  <c r="T28" i="30" s="1"/>
  <c r="U28" i="30" s="1"/>
  <c r="H47" i="14"/>
  <c r="G47" i="14"/>
  <c r="P22" i="26"/>
  <c r="T22" i="26" s="1"/>
  <c r="U22" i="26" s="1"/>
  <c r="P22" i="30"/>
  <c r="T22" i="30" s="1"/>
  <c r="U22" i="30" s="1"/>
  <c r="P22" i="29"/>
  <c r="T22" i="29" s="1"/>
  <c r="U22" i="29" s="1"/>
  <c r="P22" i="27"/>
  <c r="T22" i="27" s="1"/>
  <c r="U22" i="27" s="1"/>
  <c r="T22" i="25"/>
  <c r="U22" i="25" s="1"/>
  <c r="P22" i="28"/>
  <c r="T22" i="28" s="1"/>
  <c r="U22" i="28" s="1"/>
  <c r="H34" i="13"/>
  <c r="P39" i="25" s="1"/>
  <c r="G34" i="13"/>
  <c r="P23" i="29"/>
  <c r="T23" i="29" s="1"/>
  <c r="U23" i="29" s="1"/>
  <c r="P23" i="28"/>
  <c r="T23" i="28" s="1"/>
  <c r="U23" i="28" s="1"/>
  <c r="T23" i="25"/>
  <c r="U23" i="25" s="1"/>
  <c r="P23" i="26"/>
  <c r="T23" i="26" s="1"/>
  <c r="U23" i="26" s="1"/>
  <c r="P23" i="27"/>
  <c r="T23" i="27" s="1"/>
  <c r="U23" i="27" s="1"/>
  <c r="P23" i="30"/>
  <c r="T23" i="30" s="1"/>
  <c r="D23" i="28"/>
  <c r="J23" i="28" s="1"/>
  <c r="D23" i="30"/>
  <c r="J23" i="30" s="1"/>
  <c r="K23" i="30" s="1"/>
  <c r="D23" i="29"/>
  <c r="J23" i="29" s="1"/>
  <c r="D23" i="26"/>
  <c r="J23" i="26" s="1"/>
  <c r="D23" i="25"/>
  <c r="J23" i="25" s="1"/>
  <c r="D23" i="27"/>
  <c r="J23" i="27" s="1"/>
  <c r="D28" i="26" l="1"/>
  <c r="J28" i="26" s="1"/>
  <c r="D28" i="29"/>
  <c r="J28" i="29" s="1"/>
  <c r="D28" i="27"/>
  <c r="J28" i="27" s="1"/>
  <c r="K28" i="27" s="1"/>
  <c r="D28" i="30"/>
  <c r="J28" i="30" s="1"/>
  <c r="D28" i="25"/>
  <c r="J28" i="25" s="1"/>
  <c r="K23" i="28"/>
  <c r="Z23" i="28"/>
  <c r="AA23" i="28" s="1"/>
  <c r="D39" i="25"/>
  <c r="J39" i="25" s="1"/>
  <c r="D39" i="30"/>
  <c r="J39" i="30" s="1"/>
  <c r="D39" i="29"/>
  <c r="J39" i="29" s="1"/>
  <c r="D39" i="26"/>
  <c r="J39" i="26" s="1"/>
  <c r="D39" i="28"/>
  <c r="J39" i="28" s="1"/>
  <c r="D39" i="27"/>
  <c r="J39" i="27" s="1"/>
  <c r="G23" i="13"/>
  <c r="H23" i="13"/>
  <c r="F24" i="13"/>
  <c r="D26" i="26"/>
  <c r="J26" i="26" s="1"/>
  <c r="D26" i="25"/>
  <c r="J26" i="25" s="1"/>
  <c r="D26" i="30"/>
  <c r="J26" i="30" s="1"/>
  <c r="D26" i="29"/>
  <c r="J26" i="29" s="1"/>
  <c r="D26" i="28"/>
  <c r="J26" i="28" s="1"/>
  <c r="D26" i="27"/>
  <c r="J26" i="27" s="1"/>
  <c r="K24" i="28"/>
  <c r="Z24" i="28"/>
  <c r="AA24" i="28" s="1"/>
  <c r="P39" i="29"/>
  <c r="T39" i="29" s="1"/>
  <c r="U39" i="29" s="1"/>
  <c r="P39" i="26"/>
  <c r="T39" i="26" s="1"/>
  <c r="U39" i="26" s="1"/>
  <c r="T39" i="25"/>
  <c r="U39" i="25" s="1"/>
  <c r="P39" i="27"/>
  <c r="T39" i="27" s="1"/>
  <c r="U39" i="27" s="1"/>
  <c r="P39" i="28"/>
  <c r="T39" i="28" s="1"/>
  <c r="U39" i="28" s="1"/>
  <c r="P39" i="30"/>
  <c r="T39" i="30" s="1"/>
  <c r="U39" i="30" s="1"/>
  <c r="Z22" i="27"/>
  <c r="AA22" i="27" s="1"/>
  <c r="K22" i="27"/>
  <c r="Z24" i="30"/>
  <c r="AA24" i="30" s="1"/>
  <c r="K24" i="30"/>
  <c r="Z23" i="30"/>
  <c r="AA23" i="30" s="1"/>
  <c r="U23" i="30"/>
  <c r="K22" i="25"/>
  <c r="Z22" i="25"/>
  <c r="AA22" i="25" s="1"/>
  <c r="K28" i="28"/>
  <c r="Z28" i="28"/>
  <c r="AA28" i="28" s="1"/>
  <c r="Z24" i="25"/>
  <c r="AA24" i="25" s="1"/>
  <c r="K24" i="25"/>
  <c r="K23" i="27"/>
  <c r="Z23" i="27"/>
  <c r="AA23" i="27" s="1"/>
  <c r="K22" i="26"/>
  <c r="Z22" i="26"/>
  <c r="AA22" i="26" s="1"/>
  <c r="K28" i="26"/>
  <c r="Z28" i="26"/>
  <c r="AA28" i="26" s="1"/>
  <c r="Z24" i="27"/>
  <c r="AA24" i="27" s="1"/>
  <c r="K24" i="27"/>
  <c r="Z23" i="25"/>
  <c r="AA23" i="25" s="1"/>
  <c r="K23" i="25"/>
  <c r="K22" i="30"/>
  <c r="Z22" i="30"/>
  <c r="AA22" i="30" s="1"/>
  <c r="Z28" i="29"/>
  <c r="AA28" i="29" s="1"/>
  <c r="K28" i="29"/>
  <c r="K23" i="26"/>
  <c r="Z23" i="26"/>
  <c r="AA23" i="26" s="1"/>
  <c r="Z22" i="28"/>
  <c r="AA22" i="28" s="1"/>
  <c r="K22" i="28"/>
  <c r="K28" i="25"/>
  <c r="Z28" i="25"/>
  <c r="AA28" i="25" s="1"/>
  <c r="F24" i="14"/>
  <c r="G23" i="14"/>
  <c r="H23" i="14"/>
  <c r="Z23" i="29"/>
  <c r="AA23" i="29" s="1"/>
  <c r="K23" i="29"/>
  <c r="Z22" i="29"/>
  <c r="AA22" i="29" s="1"/>
  <c r="K22" i="29"/>
  <c r="K28" i="30"/>
  <c r="Z28" i="30"/>
  <c r="AA28" i="30" s="1"/>
  <c r="K24" i="29"/>
  <c r="Z24" i="29"/>
  <c r="AA24" i="29" s="1"/>
  <c r="T30" i="25"/>
  <c r="U30" i="25" s="1"/>
  <c r="P30" i="26"/>
  <c r="T30" i="26" s="1"/>
  <c r="U30" i="26" s="1"/>
  <c r="P30" i="28"/>
  <c r="T30" i="28" s="1"/>
  <c r="U30" i="28" s="1"/>
  <c r="P30" i="27"/>
  <c r="T30" i="27" s="1"/>
  <c r="U30" i="27" s="1"/>
  <c r="P30" i="30"/>
  <c r="T30" i="30" s="1"/>
  <c r="U30" i="30" s="1"/>
  <c r="P30" i="29"/>
  <c r="T30" i="29" s="1"/>
  <c r="U30" i="29" s="1"/>
  <c r="T26" i="25"/>
  <c r="U26" i="25" s="1"/>
  <c r="P26" i="27"/>
  <c r="T26" i="27" s="1"/>
  <c r="U26" i="27" s="1"/>
  <c r="P26" i="30"/>
  <c r="T26" i="30" s="1"/>
  <c r="U26" i="30" s="1"/>
  <c r="P26" i="26"/>
  <c r="T26" i="26" s="1"/>
  <c r="U26" i="26" s="1"/>
  <c r="P26" i="28"/>
  <c r="T26" i="28" s="1"/>
  <c r="U26" i="28" s="1"/>
  <c r="P26" i="29"/>
  <c r="T26" i="29" s="1"/>
  <c r="U26" i="29" s="1"/>
  <c r="Z24" i="26"/>
  <c r="AA24" i="26" s="1"/>
  <c r="K24" i="26"/>
  <c r="D30" i="27"/>
  <c r="J30" i="27" s="1"/>
  <c r="D30" i="25"/>
  <c r="J30" i="25" s="1"/>
  <c r="D30" i="30"/>
  <c r="J30" i="30" s="1"/>
  <c r="D30" i="28"/>
  <c r="J30" i="28" s="1"/>
  <c r="D30" i="26"/>
  <c r="J30" i="26" s="1"/>
  <c r="D30" i="29"/>
  <c r="J30" i="29" s="1"/>
  <c r="Z28" i="27" l="1"/>
  <c r="AA28" i="27" s="1"/>
  <c r="Z30" i="25"/>
  <c r="AA30" i="25" s="1"/>
  <c r="K30" i="25"/>
  <c r="Z30" i="27"/>
  <c r="AA30" i="27" s="1"/>
  <c r="K30" i="27"/>
  <c r="Z26" i="28"/>
  <c r="AA26" i="28" s="1"/>
  <c r="K26" i="28"/>
  <c r="Z39" i="27"/>
  <c r="AA39" i="27" s="1"/>
  <c r="K39" i="27"/>
  <c r="K26" i="29"/>
  <c r="Z26" i="29"/>
  <c r="AA26" i="29" s="1"/>
  <c r="Z39" i="28"/>
  <c r="AA39" i="28" s="1"/>
  <c r="K39" i="28"/>
  <c r="H24" i="14"/>
  <c r="G24" i="14"/>
  <c r="K26" i="30"/>
  <c r="Z26" i="30"/>
  <c r="AA26" i="30" s="1"/>
  <c r="Z39" i="26"/>
  <c r="AA39" i="26" s="1"/>
  <c r="K39" i="26"/>
  <c r="K30" i="29"/>
  <c r="Z30" i="29"/>
  <c r="AA30" i="29" s="1"/>
  <c r="Z26" i="25"/>
  <c r="AA26" i="25" s="1"/>
  <c r="K26" i="25"/>
  <c r="Z39" i="29"/>
  <c r="AA39" i="29" s="1"/>
  <c r="K39" i="29"/>
  <c r="K30" i="26"/>
  <c r="Z30" i="26"/>
  <c r="AA30" i="26" s="1"/>
  <c r="Z26" i="26"/>
  <c r="AA26" i="26" s="1"/>
  <c r="K26" i="26"/>
  <c r="Z39" i="30"/>
  <c r="AA39" i="30" s="1"/>
  <c r="K39" i="30"/>
  <c r="Z30" i="28"/>
  <c r="AA30" i="28" s="1"/>
  <c r="K30" i="28"/>
  <c r="H24" i="13"/>
  <c r="G24" i="13"/>
  <c r="Z39" i="25"/>
  <c r="AA39" i="25" s="1"/>
  <c r="K39" i="25"/>
  <c r="K30" i="30"/>
  <c r="Z30" i="30"/>
  <c r="AA30" i="30" s="1"/>
  <c r="Z26" i="27"/>
  <c r="AA26" i="27" s="1"/>
  <c r="K26" i="27"/>
  <c r="D21" i="27" l="1"/>
  <c r="J21" i="27" s="1"/>
  <c r="D21" i="25"/>
  <c r="J21" i="25" s="1"/>
  <c r="D21" i="28"/>
  <c r="J21" i="28" s="1"/>
  <c r="D33" i="29"/>
  <c r="J33" i="29" s="1"/>
  <c r="D33" i="26"/>
  <c r="J33" i="26" s="1"/>
  <c r="D21" i="26"/>
  <c r="J21" i="26" s="1"/>
  <c r="D33" i="27"/>
  <c r="J33" i="27" s="1"/>
  <c r="D33" i="28"/>
  <c r="J33" i="28" s="1"/>
  <c r="D21" i="29"/>
  <c r="J21" i="29" s="1"/>
  <c r="D33" i="30"/>
  <c r="J33" i="30" s="1"/>
  <c r="D21" i="30"/>
  <c r="J21" i="30" s="1"/>
  <c r="D33" i="25"/>
  <c r="J33" i="25" s="1"/>
  <c r="P33" i="25"/>
  <c r="P21" i="25"/>
  <c r="K33" i="27" l="1"/>
  <c r="P21" i="27"/>
  <c r="T21" i="27" s="1"/>
  <c r="P21" i="29"/>
  <c r="T21" i="29" s="1"/>
  <c r="P21" i="28"/>
  <c r="T21" i="28" s="1"/>
  <c r="T21" i="25"/>
  <c r="Z21" i="25" s="1"/>
  <c r="AA21" i="25" s="1"/>
  <c r="P21" i="26"/>
  <c r="T21" i="26" s="1"/>
  <c r="Z21" i="26" s="1"/>
  <c r="AA21" i="26" s="1"/>
  <c r="P21" i="30"/>
  <c r="T21" i="30" s="1"/>
  <c r="Z21" i="30" s="1"/>
  <c r="AA21" i="30" s="1"/>
  <c r="K21" i="26"/>
  <c r="J44" i="26"/>
  <c r="K33" i="28"/>
  <c r="P33" i="29"/>
  <c r="T33" i="29" s="1"/>
  <c r="U33" i="29" s="1"/>
  <c r="P33" i="26"/>
  <c r="T33" i="26" s="1"/>
  <c r="U33" i="26" s="1"/>
  <c r="T33" i="25"/>
  <c r="U33" i="25" s="1"/>
  <c r="P33" i="30"/>
  <c r="T33" i="30" s="1"/>
  <c r="U33" i="30" s="1"/>
  <c r="P33" i="28"/>
  <c r="T33" i="28" s="1"/>
  <c r="U33" i="28" s="1"/>
  <c r="P33" i="27"/>
  <c r="T33" i="27" s="1"/>
  <c r="U33" i="27" s="1"/>
  <c r="K33" i="26"/>
  <c r="K33" i="25"/>
  <c r="K33" i="29"/>
  <c r="K21" i="30"/>
  <c r="J44" i="30"/>
  <c r="K21" i="28"/>
  <c r="J44" i="28"/>
  <c r="K33" i="30"/>
  <c r="K21" i="25"/>
  <c r="J44" i="25"/>
  <c r="K21" i="29"/>
  <c r="J44" i="29"/>
  <c r="K21" i="27"/>
  <c r="J44" i="27"/>
  <c r="Z33" i="30" l="1"/>
  <c r="AA33" i="30" s="1"/>
  <c r="T44" i="25"/>
  <c r="Z44" i="25" s="1"/>
  <c r="AA44" i="25" s="1"/>
  <c r="U21" i="25"/>
  <c r="Z33" i="26"/>
  <c r="AA33" i="26" s="1"/>
  <c r="Z33" i="28"/>
  <c r="AA33" i="28" s="1"/>
  <c r="Z21" i="28"/>
  <c r="AA21" i="28" s="1"/>
  <c r="U21" i="28"/>
  <c r="T44" i="28"/>
  <c r="Z44" i="28" s="1"/>
  <c r="AA44" i="28" s="1"/>
  <c r="Z21" i="29"/>
  <c r="AA21" i="29" s="1"/>
  <c r="U21" i="29"/>
  <c r="T44" i="29"/>
  <c r="Z44" i="29" s="1"/>
  <c r="AA44" i="29" s="1"/>
  <c r="U21" i="30"/>
  <c r="T44" i="30"/>
  <c r="Z44" i="30" s="1"/>
  <c r="AA44" i="30" s="1"/>
  <c r="Z21" i="27"/>
  <c r="AA21" i="27" s="1"/>
  <c r="U21" i="27"/>
  <c r="T44" i="27"/>
  <c r="Z44" i="27" s="1"/>
  <c r="AA44" i="27" s="1"/>
  <c r="Z33" i="25"/>
  <c r="AA33" i="25" s="1"/>
  <c r="Z33" i="27"/>
  <c r="AA33" i="27" s="1"/>
  <c r="T44" i="26"/>
  <c r="Z44" i="26" s="1"/>
  <c r="AA44" i="26" s="1"/>
  <c r="U21" i="26"/>
  <c r="Z33" i="29"/>
  <c r="AA33" i="29" s="1"/>
  <c r="F13" i="19" l="1"/>
  <c r="H13" i="19" s="1"/>
  <c r="F11" i="19" l="1"/>
  <c r="H11" i="19" s="1"/>
  <c r="F9" i="19"/>
  <c r="H9" i="19" s="1"/>
  <c r="H23" i="3" l="1"/>
  <c r="H30" i="3" s="1"/>
  <c r="I23" i="3"/>
  <c r="I30" i="3" s="1"/>
  <c r="K23" i="3"/>
  <c r="K30" i="3" s="1"/>
  <c r="C23" i="3"/>
  <c r="C30" i="3" s="1"/>
  <c r="G23" i="3"/>
  <c r="G30" i="3" s="1"/>
  <c r="D30" i="3" l="1"/>
  <c r="F23" i="3"/>
  <c r="E23" i="3"/>
  <c r="E30" i="3" s="1"/>
  <c r="B23" i="3"/>
  <c r="B30" i="3" s="1"/>
  <c r="J23" i="3"/>
  <c r="J30" i="3" s="1"/>
  <c r="M23" i="3"/>
  <c r="M30" i="3" s="1"/>
  <c r="L23" i="3"/>
  <c r="L30" i="3" s="1"/>
  <c r="F30" i="3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tc={EF0D882E-BF1E-42B7-AF6D-3CE31D92DC24}</author>
    <author>Jessica Mundy</author>
    <author>tc={0B953148-72AE-47E7-A119-5B0890A4B9EF}</author>
  </authors>
  <commentList>
    <comment ref="A10" authorId="0" shapeId="0" xr:uid="{00000000-0006-0000-0000-000001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From CUS</t>
      </text>
    </comment>
    <comment ref="A14" authorId="1" shapeId="0" xr:uid="{00000000-0006-0000-0000-000002000000}">
      <text>
        <r>
          <rPr>
            <b/>
            <sz val="8"/>
            <color indexed="81"/>
            <rFont val="Tahoma"/>
            <family val="2"/>
          </rPr>
          <t>Jessica Mundy:</t>
        </r>
        <r>
          <rPr>
            <sz val="8"/>
            <color indexed="81"/>
            <rFont val="Tahoma"/>
            <family val="2"/>
          </rPr>
          <t xml:space="preserve">
incl. SC 8 Conv's share of SC 14</t>
        </r>
      </text>
    </comment>
    <comment ref="A17" authorId="1" shapeId="0" xr:uid="{00000000-0006-0000-0000-000003000000}">
      <text>
        <r>
          <rPr>
            <b/>
            <sz val="8"/>
            <color indexed="81"/>
            <rFont val="Tahoma"/>
            <family val="2"/>
          </rPr>
          <t>Jessica Mundy:</t>
        </r>
        <r>
          <rPr>
            <sz val="8"/>
            <color indexed="81"/>
            <rFont val="Tahoma"/>
            <family val="2"/>
          </rPr>
          <t xml:space="preserve">
incl. SC 9 Conv's share of SC 14</t>
        </r>
      </text>
    </comment>
    <comment ref="A19" authorId="1" shapeId="0" xr:uid="{00000000-0006-0000-0000-000004000000}">
      <text>
        <r>
          <rPr>
            <b/>
            <sz val="8"/>
            <color indexed="81"/>
            <rFont val="Tahoma"/>
            <family val="2"/>
          </rPr>
          <t>Jessica Mundy:</t>
        </r>
        <r>
          <rPr>
            <sz val="8"/>
            <color indexed="81"/>
            <rFont val="Tahoma"/>
            <family val="2"/>
          </rPr>
          <t xml:space="preserve">
incl. SC 9 TOD's share of SC 14</t>
        </r>
      </text>
    </comment>
    <comment ref="A24" authorId="2" shapeId="0" xr:uid="{00000000-0006-0000-0000-000005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From CUS</t>
      </text>
    </comment>
    <comment ref="A35" authorId="1" shapeId="0" xr:uid="{00000000-0006-0000-0000-000006000000}">
      <text>
        <r>
          <rPr>
            <b/>
            <sz val="8"/>
            <color indexed="81"/>
            <rFont val="Tahoma"/>
            <family val="2"/>
          </rPr>
          <t>Jessica Mundy:</t>
        </r>
        <r>
          <rPr>
            <sz val="8"/>
            <color indexed="81"/>
            <rFont val="Tahoma"/>
            <family val="2"/>
          </rPr>
          <t xml:space="preserve">
SC 14 kWh distributed between otherwise applicable classes above.</t>
        </r>
      </text>
    </comment>
    <comment ref="A45" authorId="1" shapeId="0" xr:uid="{00000000-0006-0000-0000-000007000000}">
      <text>
        <r>
          <rPr>
            <b/>
            <sz val="8"/>
            <color indexed="81"/>
            <rFont val="Tahoma"/>
            <family val="2"/>
          </rPr>
          <t>Jessica Mundy:</t>
        </r>
        <r>
          <rPr>
            <sz val="8"/>
            <color indexed="81"/>
            <rFont val="Tahoma"/>
            <family val="2"/>
          </rPr>
          <t xml:space="preserve">
forecasting's SC 14 breakout into home classes does not tie in all months to their own sales forecast for all classes.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Jessica Mundy</author>
  </authors>
  <commentList>
    <comment ref="A84" authorId="0" shapeId="0" xr:uid="{00000000-0006-0000-0100-000001000000}">
      <text>
        <r>
          <rPr>
            <b/>
            <sz val="8"/>
            <color indexed="81"/>
            <rFont val="Tahoma"/>
            <family val="2"/>
          </rPr>
          <t>Jessica Mundy:</t>
        </r>
        <r>
          <rPr>
            <sz val="8"/>
            <color indexed="81"/>
            <rFont val="Tahoma"/>
            <family val="2"/>
          </rPr>
          <t xml:space="preserve">
referred to above to combine these determinants with those of SC 1 TODS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tc={9ACB3FA7-827A-413F-BFE5-B485D6E80AD5}</author>
    <author>Padalino, Angelica</author>
    <author>tc={917C9905-6614-4C39-A1B5-00D68DF0AFAC}</author>
    <author>Jessica Mundy</author>
  </authors>
  <commentList>
    <comment ref="A6" authorId="0" shapeId="0" xr:uid="{00000000-0006-0000-0200-000001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Based on actuals from CUS</t>
      </text>
    </comment>
    <comment ref="A9" authorId="1" shapeId="0" xr:uid="{00000000-0006-0000-0200-000002000000}">
      <text>
        <r>
          <rPr>
            <b/>
            <sz val="9"/>
            <color indexed="81"/>
            <rFont val="Tahoma"/>
            <family val="2"/>
          </rPr>
          <t>Padalino, Angelica:</t>
        </r>
        <r>
          <rPr>
            <sz val="9"/>
            <color indexed="81"/>
            <rFont val="Tahoma"/>
            <family val="2"/>
          </rPr>
          <t xml:space="preserve">
for tod and vtod classes use the dmd allocation tab in the forecasting file</t>
        </r>
      </text>
    </comment>
    <comment ref="A18" authorId="2" shapeId="0" xr:uid="{00000000-0006-0000-0200-000003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From CUS</t>
      </text>
    </comment>
    <comment ref="A28" authorId="3" shapeId="0" xr:uid="{00000000-0006-0000-0200-000004000000}">
      <text>
        <r>
          <rPr>
            <b/>
            <sz val="8"/>
            <color indexed="81"/>
            <rFont val="Tahoma"/>
            <family val="2"/>
          </rPr>
          <t>Jessica Mundy:</t>
        </r>
        <r>
          <rPr>
            <sz val="8"/>
            <color indexed="81"/>
            <rFont val="Tahoma"/>
            <family val="2"/>
          </rPr>
          <t xml:space="preserve">
forecasting's SC 14 breakout into home classes does not tie in all months to their own sales forecast for all classes.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tc={45BCB32D-E0B6-4850-987B-69630BD9BB14}</author>
    <author>tc={D2857F8B-1407-4CCE-8750-AD9247EDC2A8}</author>
  </authors>
  <commentList>
    <comment ref="B6" authorId="0" shapeId="0" xr:uid="{00000000-0006-0000-0800-000001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TOD Class Price out KWh</t>
      </text>
    </comment>
    <comment ref="B10" authorId="1" shapeId="0" xr:uid="{00000000-0006-0000-0800-000002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Taking the Conv Class Price Out * the On/Off Peak ratios to get the seasonal peak amounts.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Pak, Christina</author>
    <author>Jessica Mundy</author>
    <author>Padalino, Angelica</author>
  </authors>
  <commentList>
    <comment ref="A7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Pak, Christina:</t>
        </r>
        <r>
          <rPr>
            <sz val="9"/>
            <color indexed="81"/>
            <rFont val="Tahoma"/>
            <family val="2"/>
          </rPr>
          <t xml:space="preserve">
June - Sept</t>
        </r>
      </text>
    </comment>
    <comment ref="A36" authorId="1" shapeId="0" xr:uid="{00000000-0006-0000-0900-000002000000}">
      <text>
        <r>
          <rPr>
            <b/>
            <sz val="8"/>
            <color indexed="81"/>
            <rFont val="Tahoma"/>
            <family val="2"/>
          </rPr>
          <t>Jessica Mundy:</t>
        </r>
        <r>
          <rPr>
            <sz val="8"/>
            <color indexed="81"/>
            <rFont val="Tahoma"/>
            <family val="2"/>
          </rPr>
          <t xml:space="preserve">
referred to above to combine these determinants with those of SC 1 TODS</t>
        </r>
      </text>
    </comment>
    <comment ref="C37" authorId="2" shapeId="0" xr:uid="{00000000-0006-0000-0900-000003000000}">
      <text>
        <r>
          <rPr>
            <b/>
            <sz val="9"/>
            <color indexed="81"/>
            <rFont val="Tahoma"/>
            <family val="2"/>
          </rPr>
          <t>Padalino, Angelica:</t>
        </r>
        <r>
          <rPr>
            <sz val="9"/>
            <color indexed="81"/>
            <rFont val="Tahoma"/>
            <family val="2"/>
          </rPr>
          <t xml:space="preserve">
SC 7 is now incorporated into sc 1 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Jessica Mundy</author>
    <author>Padalino, Angelica</author>
    <author>kennedyel</author>
    <author>Mundy, Jessica</author>
    <author>cuomoj</author>
    <author>Pak, Christina</author>
    <author>Go, Peter Y.</author>
  </authors>
  <commentList>
    <comment ref="D15" authorId="0" shapeId="0" xr:uid="{00000000-0006-0000-0B00-000001000000}">
      <text>
        <r>
          <rPr>
            <b/>
            <sz val="8"/>
            <color indexed="81"/>
            <rFont val="Tahoma"/>
            <family val="2"/>
          </rPr>
          <t>Jessica Mundy:</t>
        </r>
        <r>
          <rPr>
            <sz val="8"/>
            <color indexed="81"/>
            <rFont val="Tahoma"/>
            <family val="2"/>
          </rPr>
          <t xml:space="preserve">
We have been informed by Energy Management that their prices already take the reserve margin into account.</t>
        </r>
      </text>
    </comment>
    <comment ref="M15" authorId="1" shapeId="0" xr:uid="{00000000-0006-0000-0B00-000002000000}">
      <text>
        <r>
          <rPr>
            <b/>
            <sz val="9"/>
            <color indexed="81"/>
            <rFont val="Tahoma"/>
            <family val="2"/>
          </rPr>
          <t>Padalino, Angelica:</t>
        </r>
        <r>
          <rPr>
            <sz val="9"/>
            <color indexed="81"/>
            <rFont val="Tahoma"/>
            <family val="2"/>
          </rPr>
          <t xml:space="preserve">
these numbers rarely change but each filing check nyiso site
</t>
        </r>
      </text>
    </comment>
    <comment ref="F16" authorId="2" shapeId="0" xr:uid="{00000000-0006-0000-0B00-000003000000}">
      <text>
        <r>
          <rPr>
            <b/>
            <sz val="8"/>
            <color indexed="81"/>
            <rFont val="Tahoma"/>
            <family val="2"/>
          </rPr>
          <t>kennedyel:</t>
        </r>
        <r>
          <rPr>
            <sz val="8"/>
            <color indexed="81"/>
            <rFont val="Tahoma"/>
            <family val="2"/>
          </rPr>
          <t xml:space="preserve">
as posted by the  NYISO for NYC requirements. </t>
        </r>
      </text>
    </comment>
    <comment ref="G16" authorId="2" shapeId="0" xr:uid="{00000000-0006-0000-0B00-000004000000}">
      <text>
        <r>
          <rPr>
            <b/>
            <sz val="8"/>
            <color indexed="81"/>
            <rFont val="Tahoma"/>
            <family val="2"/>
          </rPr>
          <t>kennedyel:</t>
        </r>
        <r>
          <rPr>
            <sz val="8"/>
            <color indexed="81"/>
            <rFont val="Tahoma"/>
            <family val="2"/>
          </rPr>
          <t xml:space="preserve">
as posted by the  NYISO for NYC requirements. </t>
        </r>
      </text>
    </comment>
    <comment ref="H16" authorId="2" shapeId="0" xr:uid="{00000000-0006-0000-0B00-000005000000}">
      <text>
        <r>
          <rPr>
            <b/>
            <sz val="8"/>
            <color indexed="81"/>
            <rFont val="Tahoma"/>
            <family val="2"/>
          </rPr>
          <t>kennedyel:</t>
        </r>
        <r>
          <rPr>
            <sz val="8"/>
            <color indexed="81"/>
            <rFont val="Tahoma"/>
            <family val="2"/>
          </rPr>
          <t xml:space="preserve">
as posted by the  NYISO for NYC requirements. </t>
        </r>
      </text>
    </comment>
    <comment ref="K16" authorId="3" shapeId="0" xr:uid="{00000000-0006-0000-0B00-000006000000}">
      <text>
        <r>
          <rPr>
            <b/>
            <sz val="9"/>
            <color indexed="81"/>
            <rFont val="Tahoma"/>
            <family val="2"/>
          </rPr>
          <t>Mundy, Jessica:</t>
        </r>
        <r>
          <rPr>
            <sz val="9"/>
            <color indexed="81"/>
            <rFont val="Tahoma"/>
            <family val="2"/>
          </rPr>
          <t xml:space="preserve">
New locational requirements reported by NYISO for summer 2015 season</t>
        </r>
      </text>
    </comment>
    <comment ref="A24" authorId="4" shapeId="0" xr:uid="{00000000-0006-0000-0B00-000007000000}">
      <text>
        <r>
          <rPr>
            <b/>
            <sz val="8"/>
            <color indexed="81"/>
            <rFont val="Tahoma"/>
            <family val="2"/>
          </rPr>
          <t>cuomoj:</t>
        </r>
        <r>
          <rPr>
            <sz val="8"/>
            <color indexed="81"/>
            <rFont val="Tahoma"/>
            <family val="2"/>
          </rPr>
          <t xml:space="preserve">
Inputs taken from cash flow forecast, Benito Quan, Energy Management</t>
        </r>
      </text>
    </comment>
    <comment ref="S25" authorId="5" shapeId="0" xr:uid="{00000000-0006-0000-0B00-000008000000}">
      <text>
        <r>
          <rPr>
            <b/>
            <sz val="9"/>
            <color indexed="81"/>
            <rFont val="Tahoma"/>
            <family val="2"/>
          </rPr>
          <t>Pak, Christina:</t>
        </r>
        <r>
          <rPr>
            <sz val="9"/>
            <color indexed="81"/>
            <rFont val="Tahoma"/>
            <family val="2"/>
          </rPr>
          <t xml:space="preserve">
From NYISO website since the forecast includes excess and derating
The 4.09% is the derating</t>
        </r>
      </text>
    </comment>
    <comment ref="T25" authorId="5" shapeId="0" xr:uid="{00000000-0006-0000-0B00-000009000000}">
      <text>
        <r>
          <rPr>
            <b/>
            <sz val="9"/>
            <color indexed="81"/>
            <rFont val="Tahoma"/>
            <family val="2"/>
          </rPr>
          <t>Pak, Christina:</t>
        </r>
        <r>
          <rPr>
            <sz val="9"/>
            <color indexed="81"/>
            <rFont val="Tahoma"/>
            <family val="2"/>
          </rPr>
          <t xml:space="preserve">
From NYISO Website (6 month auction summary)
Includes derating
</t>
        </r>
      </text>
    </comment>
    <comment ref="U25" authorId="6" shapeId="0" xr:uid="{00000000-0006-0000-0B00-00000A000000}">
      <text>
        <r>
          <rPr>
            <b/>
            <sz val="9"/>
            <color indexed="81"/>
            <rFont val="Tahoma"/>
            <family val="2"/>
          </rPr>
          <t>Go, Peter Y.:</t>
        </r>
        <r>
          <rPr>
            <sz val="9"/>
            <color indexed="81"/>
            <rFont val="Tahoma"/>
            <family val="2"/>
          </rPr>
          <t xml:space="preserve">
From NYISO Website (6 month auction summary)
Includes derating
</t>
        </r>
      </text>
    </comment>
    <comment ref="X25" authorId="6" shapeId="0" xr:uid="{8F7C59C8-2444-421B-A318-1745B624F264}">
      <text>
        <r>
          <rPr>
            <b/>
            <sz val="9"/>
            <color indexed="81"/>
            <rFont val="Tahoma"/>
            <family val="2"/>
          </rPr>
          <t>Go, Peter Y.:</t>
        </r>
        <r>
          <rPr>
            <sz val="9"/>
            <color indexed="81"/>
            <rFont val="Tahoma"/>
            <family val="2"/>
          </rPr>
          <t xml:space="preserve">
From NYISO Website (6 month auction summary)
Includes derating
</t>
        </r>
      </text>
    </comment>
    <comment ref="Y25" authorId="6" shapeId="0" xr:uid="{057F17F9-E118-431B-B5DF-7A059B42012C}">
      <text>
        <r>
          <rPr>
            <b/>
            <sz val="9"/>
            <color indexed="81"/>
            <rFont val="Tahoma"/>
            <family val="2"/>
          </rPr>
          <t>Koropey, Boris:</t>
        </r>
        <r>
          <rPr>
            <sz val="9"/>
            <color indexed="81"/>
            <rFont val="Tahoma"/>
            <family val="2"/>
          </rPr>
          <t xml:space="preserve">
Based on the "Effective UCAP Price Forecast 9.8.2021" file authored by Thejus Philips and forwarded by Benito (CECONY and ORU CF Capacity Price Forecast 9.8.21.xlsx)
</t>
        </r>
      </text>
    </comment>
    <comment ref="A29" authorId="4" shapeId="0" xr:uid="{00000000-0006-0000-0B00-00000C000000}">
      <text>
        <r>
          <rPr>
            <b/>
            <sz val="8"/>
            <color indexed="81"/>
            <rFont val="Tahoma"/>
            <family val="2"/>
          </rPr>
          <t>cuomoj:</t>
        </r>
        <r>
          <rPr>
            <sz val="8"/>
            <color indexed="81"/>
            <rFont val="Tahoma"/>
            <family val="2"/>
          </rPr>
          <t xml:space="preserve">
Inputs taken from cash flow forecast, Benito Quan, Energy Management</t>
        </r>
      </text>
    </comment>
    <comment ref="S41" authorId="5" shapeId="0" xr:uid="{00000000-0006-0000-0B00-00000D000000}">
      <text>
        <r>
          <rPr>
            <b/>
            <sz val="9"/>
            <color indexed="81"/>
            <rFont val="Tahoma"/>
            <family val="2"/>
          </rPr>
          <t>Pak, Christina:</t>
        </r>
        <r>
          <rPr>
            <sz val="9"/>
            <color indexed="81"/>
            <rFont val="Tahoma"/>
            <family val="2"/>
          </rPr>
          <t xml:space="preserve">
Excess
</t>
        </r>
      </text>
    </comment>
    <comment ref="T41" authorId="5" shapeId="0" xr:uid="{00000000-0006-0000-0B00-00000E000000}">
      <text>
        <r>
          <rPr>
            <b/>
            <sz val="9"/>
            <color indexed="81"/>
            <rFont val="Tahoma"/>
            <family val="2"/>
          </rPr>
          <t>Pak, Christina:</t>
        </r>
        <r>
          <rPr>
            <sz val="9"/>
            <color indexed="81"/>
            <rFont val="Tahoma"/>
            <family val="2"/>
          </rPr>
          <t xml:space="preserve">
Excess from NYISO
Use from last month of last capability period 
i.e in Nov use April and
in May use Oct
</t>
        </r>
      </text>
    </comment>
    <comment ref="U41" authorId="6" shapeId="0" xr:uid="{00000000-0006-0000-0B00-00000F000000}">
      <text>
        <r>
          <rPr>
            <b/>
            <sz val="9"/>
            <color indexed="81"/>
            <rFont val="Tahoma"/>
            <family val="2"/>
          </rPr>
          <t>Go, Peter Y.:</t>
        </r>
        <r>
          <rPr>
            <sz val="9"/>
            <color indexed="81"/>
            <rFont val="Tahoma"/>
            <family val="2"/>
          </rPr>
          <t xml:space="preserve">
Excess from NYISO
Use from last month of last capability period 
i.e in Nov use April and
in May use Oct</t>
        </r>
      </text>
    </comment>
    <comment ref="W41" authorId="5" shapeId="0" xr:uid="{00000000-0006-0000-0B00-000010000000}">
      <text>
        <r>
          <rPr>
            <b/>
            <sz val="9"/>
            <color indexed="81"/>
            <rFont val="Tahoma"/>
            <family val="2"/>
          </rPr>
          <t xml:space="preserve">Go, Peter Y.:
</t>
        </r>
        <r>
          <rPr>
            <sz val="9"/>
            <color indexed="81"/>
            <rFont val="Tahoma"/>
            <family val="2"/>
          </rPr>
          <t>Excess from NYISO
Use from last month of last capability period 
i.e in Nov use April and
in May use Oct</t>
        </r>
      </text>
    </comment>
    <comment ref="X41" authorId="5" shapeId="0" xr:uid="{00000000-0006-0000-0B00-000011000000}">
      <text>
        <r>
          <rPr>
            <b/>
            <sz val="9"/>
            <color indexed="81"/>
            <rFont val="Tahoma"/>
            <family val="2"/>
          </rPr>
          <t xml:space="preserve">Go, Peter Y.:
</t>
        </r>
        <r>
          <rPr>
            <sz val="9"/>
            <color indexed="81"/>
            <rFont val="Tahoma"/>
            <family val="2"/>
          </rPr>
          <t>Excess from NYISO
Use from last month of last capability period 
i.e in Nov use April and
in May use Oct</t>
        </r>
      </text>
    </comment>
    <comment ref="Y41" authorId="5" shapeId="0" xr:uid="{EA63259C-FB98-4E8F-9941-9B9BFA09D41E}">
      <text>
        <r>
          <rPr>
            <b/>
            <sz val="9"/>
            <color indexed="81"/>
            <rFont val="Tahoma"/>
            <family val="2"/>
          </rPr>
          <t xml:space="preserve">Go, Peter Y.:
</t>
        </r>
        <r>
          <rPr>
            <sz val="9"/>
            <color indexed="81"/>
            <rFont val="Tahoma"/>
            <family val="2"/>
          </rPr>
          <t>Excess from NYISO
Use from last month of last capability period 
i.e in Nov use April and
in May use Oct</t>
        </r>
      </text>
    </comment>
    <comment ref="X42" authorId="5" shapeId="0" xr:uid="{0CE66411-65AD-4364-B4AB-167077320739}">
      <text>
        <r>
          <rPr>
            <b/>
            <sz val="9"/>
            <color indexed="81"/>
            <rFont val="Tahoma"/>
            <family val="2"/>
          </rPr>
          <t xml:space="preserve">Go, Peter Y.:
</t>
        </r>
        <r>
          <rPr>
            <sz val="9"/>
            <color indexed="81"/>
            <rFont val="Tahoma"/>
            <family val="2"/>
          </rPr>
          <t>Excess from NYISO
Use from last month of last capability period 
i.e in Nov use April and
in May use Oct</t>
        </r>
      </text>
    </comment>
    <comment ref="X43" authorId="5" shapeId="0" xr:uid="{B62B1558-9A7B-4C5F-BCF5-22C24758E291}">
      <text>
        <r>
          <rPr>
            <b/>
            <sz val="9"/>
            <color indexed="81"/>
            <rFont val="Tahoma"/>
            <family val="2"/>
          </rPr>
          <t xml:space="preserve">Go, Peter Y.:
</t>
        </r>
        <r>
          <rPr>
            <sz val="9"/>
            <color indexed="81"/>
            <rFont val="Tahoma"/>
            <family val="2"/>
          </rPr>
          <t>Excess from NYISO
Use from last month of last capability period 
i.e in Nov use April and
in May use Oct</t>
        </r>
      </text>
    </comment>
    <comment ref="S45" authorId="5" shapeId="0" xr:uid="{00000000-0006-0000-0B00-000012000000}">
      <text>
        <r>
          <rPr>
            <b/>
            <sz val="9"/>
            <color indexed="81"/>
            <rFont val="Tahoma"/>
            <family val="2"/>
          </rPr>
          <t>Pak, Christina:</t>
        </r>
        <r>
          <rPr>
            <sz val="9"/>
            <color indexed="81"/>
            <rFont val="Tahoma"/>
            <family val="2"/>
          </rPr>
          <t xml:space="preserve">
Including Excess
</t>
        </r>
      </text>
    </comment>
    <comment ref="T45" authorId="5" shapeId="0" xr:uid="{00000000-0006-0000-0B00-000013000000}">
      <text>
        <r>
          <rPr>
            <b/>
            <sz val="9"/>
            <color indexed="81"/>
            <rFont val="Tahoma"/>
            <family val="2"/>
          </rPr>
          <t>Pak, Christina:</t>
        </r>
        <r>
          <rPr>
            <sz val="9"/>
            <color indexed="81"/>
            <rFont val="Tahoma"/>
            <family val="2"/>
          </rPr>
          <t xml:space="preserve">
incorporating excess here
</t>
        </r>
      </text>
    </comment>
    <comment ref="U45" authorId="6" shapeId="0" xr:uid="{00000000-0006-0000-0B00-000014000000}">
      <text>
        <r>
          <rPr>
            <b/>
            <sz val="9"/>
            <color indexed="81"/>
            <rFont val="Tahoma"/>
            <family val="2"/>
          </rPr>
          <t>Go, Peter Y.:</t>
        </r>
        <r>
          <rPr>
            <sz val="9"/>
            <color indexed="81"/>
            <rFont val="Tahoma"/>
            <family val="2"/>
          </rPr>
          <t xml:space="preserve">
Including Excess</t>
        </r>
      </text>
    </comment>
    <comment ref="W45" authorId="6" shapeId="0" xr:uid="{789E3A3D-6D29-4DC4-86FD-3D7EE9896B33}">
      <text>
        <r>
          <rPr>
            <b/>
            <sz val="9"/>
            <color indexed="81"/>
            <rFont val="Tahoma"/>
            <family val="2"/>
          </rPr>
          <t>Go, Peter Y.:</t>
        </r>
        <r>
          <rPr>
            <sz val="9"/>
            <color indexed="81"/>
            <rFont val="Tahoma"/>
            <family val="2"/>
          </rPr>
          <t xml:space="preserve">
Including Excess</t>
        </r>
      </text>
    </comment>
    <comment ref="X45" authorId="6" shapeId="0" xr:uid="{EBDC1586-59C4-4497-BFBA-FA2C72E712AD}">
      <text>
        <r>
          <rPr>
            <b/>
            <sz val="9"/>
            <color indexed="81"/>
            <rFont val="Tahoma"/>
            <family val="2"/>
          </rPr>
          <t>Go, Peter Y.:</t>
        </r>
        <r>
          <rPr>
            <sz val="9"/>
            <color indexed="81"/>
            <rFont val="Tahoma"/>
            <family val="2"/>
          </rPr>
          <t xml:space="preserve">
Including Excess</t>
        </r>
      </text>
    </comment>
    <comment ref="Y45" authorId="6" shapeId="0" xr:uid="{47D1DDC7-277A-4333-A461-643B51CFAEDC}">
      <text>
        <r>
          <rPr>
            <b/>
            <sz val="9"/>
            <color indexed="81"/>
            <rFont val="Tahoma"/>
            <family val="2"/>
          </rPr>
          <t>Go, Peter Y.:</t>
        </r>
        <r>
          <rPr>
            <sz val="9"/>
            <color indexed="81"/>
            <rFont val="Tahoma"/>
            <family val="2"/>
          </rPr>
          <t xml:space="preserve">
Including Excess</t>
        </r>
      </text>
    </comment>
    <comment ref="W46" authorId="6" shapeId="0" xr:uid="{8451B61D-85DC-4FFE-87A1-A508902CE4B4}">
      <text>
        <r>
          <rPr>
            <b/>
            <sz val="9"/>
            <color indexed="81"/>
            <rFont val="Tahoma"/>
            <family val="2"/>
          </rPr>
          <t>Go, Peter Y.:</t>
        </r>
        <r>
          <rPr>
            <sz val="9"/>
            <color indexed="81"/>
            <rFont val="Tahoma"/>
            <family val="2"/>
          </rPr>
          <t xml:space="preserve">
Including Excess</t>
        </r>
      </text>
    </comment>
    <comment ref="X46" authorId="6" shapeId="0" xr:uid="{F1071EB4-5D1F-46E1-AE25-E7F2F779E716}">
      <text>
        <r>
          <rPr>
            <b/>
            <sz val="9"/>
            <color indexed="81"/>
            <rFont val="Tahoma"/>
            <family val="2"/>
          </rPr>
          <t>Go, Peter Y.:</t>
        </r>
        <r>
          <rPr>
            <sz val="9"/>
            <color indexed="81"/>
            <rFont val="Tahoma"/>
            <family val="2"/>
          </rPr>
          <t xml:space="preserve">
Including Excess</t>
        </r>
      </text>
    </comment>
    <comment ref="Y46" authorId="6" shapeId="0" xr:uid="{58CCC92E-B3FF-427D-8CE1-15A6C5E1A86E}">
      <text>
        <r>
          <rPr>
            <b/>
            <sz val="9"/>
            <color indexed="81"/>
            <rFont val="Tahoma"/>
            <family val="2"/>
          </rPr>
          <t>Go, Peter Y.:</t>
        </r>
        <r>
          <rPr>
            <sz val="9"/>
            <color indexed="81"/>
            <rFont val="Tahoma"/>
            <family val="2"/>
          </rPr>
          <t xml:space="preserve">
Including Excess</t>
        </r>
      </text>
    </comment>
    <comment ref="W47" authorId="6" shapeId="0" xr:uid="{FE34F176-2222-4256-B1C2-8C6B2C3DF5B3}">
      <text>
        <r>
          <rPr>
            <b/>
            <sz val="9"/>
            <color indexed="81"/>
            <rFont val="Tahoma"/>
            <family val="2"/>
          </rPr>
          <t>Go, Peter Y.:</t>
        </r>
        <r>
          <rPr>
            <sz val="9"/>
            <color indexed="81"/>
            <rFont val="Tahoma"/>
            <family val="2"/>
          </rPr>
          <t xml:space="preserve">
Including Excess</t>
        </r>
      </text>
    </comment>
    <comment ref="X47" authorId="6" shapeId="0" xr:uid="{EF853B57-3BFC-416C-90CD-F34F8D585058}">
      <text>
        <r>
          <rPr>
            <b/>
            <sz val="9"/>
            <color indexed="81"/>
            <rFont val="Tahoma"/>
            <family val="2"/>
          </rPr>
          <t>Go, Peter Y.:</t>
        </r>
        <r>
          <rPr>
            <sz val="9"/>
            <color indexed="81"/>
            <rFont val="Tahoma"/>
            <family val="2"/>
          </rPr>
          <t xml:space="preserve">
Including Excess</t>
        </r>
      </text>
    </comment>
    <comment ref="Y47" authorId="6" shapeId="0" xr:uid="{C94A6029-8FE8-4F12-8273-EA046058F3A3}">
      <text>
        <r>
          <rPr>
            <b/>
            <sz val="9"/>
            <color indexed="81"/>
            <rFont val="Tahoma"/>
            <family val="2"/>
          </rPr>
          <t>Go, Peter Y.:</t>
        </r>
        <r>
          <rPr>
            <sz val="9"/>
            <color indexed="81"/>
            <rFont val="Tahoma"/>
            <family val="2"/>
          </rPr>
          <t xml:space="preserve">
Including Excess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E33" authorId="0" shapeId="0" xr:uid="{00000000-0006-0000-0C00-000001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when we began removing IRM from our calculations since EM confirmed they were building it into their prices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cuomoj</author>
    <author>tc={A31ECE57-ADC6-42D4-A996-2D7D7807E2CD}</author>
  </authors>
  <commentList>
    <comment ref="B11" authorId="0" shapeId="0" xr:uid="{00000000-0006-0000-0D00-000001000000}">
      <text>
        <r>
          <rPr>
            <b/>
            <sz val="8"/>
            <color indexed="81"/>
            <rFont val="Tahoma"/>
            <family val="2"/>
          </rPr>
          <t>cuomoj:</t>
        </r>
        <r>
          <rPr>
            <sz val="8"/>
            <color indexed="81"/>
            <rFont val="Tahoma"/>
            <family val="2"/>
          </rPr>
          <t xml:space="preserve">
Capacity tags brought in from external sheet developed from mainframe file - updated with new tags each year.</t>
        </r>
      </text>
    </comment>
    <comment ref="C11" authorId="0" shapeId="0" xr:uid="{00000000-0006-0000-0D00-000002000000}">
      <text>
        <r>
          <rPr>
            <b/>
            <sz val="8"/>
            <color indexed="81"/>
            <rFont val="Tahoma"/>
            <family val="2"/>
          </rPr>
          <t>cuomoj:</t>
        </r>
        <r>
          <rPr>
            <sz val="8"/>
            <color indexed="81"/>
            <rFont val="Tahoma"/>
            <family val="2"/>
          </rPr>
          <t xml:space="preserve">
Assume Westchester is the same, proportionally</t>
        </r>
      </text>
    </comment>
    <comment ref="D11" authorId="0" shapeId="0" xr:uid="{00000000-0006-0000-0D00-000003000000}">
      <text>
        <r>
          <rPr>
            <b/>
            <sz val="8"/>
            <color indexed="81"/>
            <rFont val="Tahoma"/>
            <family val="2"/>
          </rPr>
          <t>cuomoj:</t>
        </r>
        <r>
          <rPr>
            <sz val="8"/>
            <color indexed="81"/>
            <rFont val="Tahoma"/>
            <family val="2"/>
          </rPr>
          <t xml:space="preserve">
Cap tag from first column multiplied by NYC price</t>
        </r>
      </text>
    </comment>
    <comment ref="E11" authorId="0" shapeId="0" xr:uid="{00000000-0006-0000-0D00-000004000000}">
      <text>
        <r>
          <rPr>
            <b/>
            <sz val="8"/>
            <color indexed="81"/>
            <rFont val="Tahoma"/>
            <family val="2"/>
          </rPr>
          <t>cuomoj:</t>
        </r>
        <r>
          <rPr>
            <sz val="8"/>
            <color indexed="81"/>
            <rFont val="Tahoma"/>
            <family val="2"/>
          </rPr>
          <t xml:space="preserve">
Westchester cap tag multiplied by West. price</t>
        </r>
      </text>
    </comment>
    <comment ref="F11" authorId="0" shapeId="0" xr:uid="{00000000-0006-0000-0D00-000005000000}">
      <text>
        <r>
          <rPr>
            <b/>
            <sz val="8"/>
            <color indexed="81"/>
            <rFont val="Tahoma"/>
            <family val="2"/>
          </rPr>
          <t>cuomoj:</t>
        </r>
        <r>
          <rPr>
            <sz val="8"/>
            <color indexed="81"/>
            <rFont val="Tahoma"/>
            <family val="2"/>
          </rPr>
          <t xml:space="preserve">
kW or kWh (depending on class) for the 6 month period brought in from input sheets in this file</t>
        </r>
      </text>
    </comment>
    <comment ref="A16" authorId="0" shapeId="0" xr:uid="{00000000-0006-0000-0D00-000006000000}">
      <text>
        <r>
          <rPr>
            <b/>
            <sz val="8"/>
            <color indexed="81"/>
            <rFont val="Tahoma"/>
            <family val="2"/>
          </rPr>
          <t>cuomoj:</t>
        </r>
        <r>
          <rPr>
            <sz val="8"/>
            <color indexed="81"/>
            <rFont val="Tahoma"/>
            <family val="2"/>
          </rPr>
          <t xml:space="preserve">
Bottom line totals for NYC and West. Brought in from "Capacity Estimates" sheet</t>
        </r>
      </text>
    </comment>
    <comment ref="O20" authorId="1" shapeId="0" xr:uid="{A31ECE57-ADC6-42D4-A996-2D7D7807E2CD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the deferred amount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cuomoj</author>
  </authors>
  <commentList>
    <comment ref="A16" authorId="0" shapeId="0" xr:uid="{00000000-0006-0000-0E00-000001000000}">
      <text>
        <r>
          <rPr>
            <b/>
            <sz val="8"/>
            <color indexed="81"/>
            <rFont val="Tahoma"/>
            <family val="2"/>
          </rPr>
          <t>cuomoj:</t>
        </r>
        <r>
          <rPr>
            <sz val="8"/>
            <color indexed="81"/>
            <rFont val="Tahoma"/>
            <family val="2"/>
          </rPr>
          <t xml:space="preserve">
Bottom line totals for NYC and West. Brought in from "Capacity Estimates" sheet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Padalino, Angelica</author>
  </authors>
  <commentList>
    <comment ref="D7" authorId="0" shapeId="0" xr:uid="{00000000-0006-0000-1000-000001000000}">
      <text>
        <r>
          <rPr>
            <sz val="9"/>
            <color indexed="81"/>
            <rFont val="Tahoma"/>
            <family val="2"/>
          </rPr>
          <t>added as of Nov 2016 level billing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cuomoj</author>
  </authors>
  <commentList>
    <comment ref="B8" authorId="0" shapeId="0" xr:uid="{00000000-0006-0000-1400-000001000000}">
      <text>
        <r>
          <rPr>
            <b/>
            <sz val="8"/>
            <color indexed="81"/>
            <rFont val="Tahoma"/>
            <family val="2"/>
          </rPr>
          <t>cuomoj:</t>
        </r>
        <r>
          <rPr>
            <sz val="8"/>
            <color indexed="81"/>
            <rFont val="Tahoma"/>
            <family val="2"/>
          </rPr>
          <t xml:space="preserve">
Numbers come from sheet entitled "MAC monthly adjustment for electric allocation M-DD-YY.xls"  From Angela Yukhananov in Regulatory Filings</t>
        </r>
      </text>
    </comment>
    <comment ref="C8" authorId="0" shapeId="0" xr:uid="{00000000-0006-0000-1400-000002000000}">
      <text>
        <r>
          <rPr>
            <b/>
            <sz val="8"/>
            <color indexed="81"/>
            <rFont val="Tahoma"/>
            <family val="2"/>
          </rPr>
          <t>cuomoj:</t>
        </r>
        <r>
          <rPr>
            <sz val="8"/>
            <color indexed="81"/>
            <rFont val="Tahoma"/>
            <family val="2"/>
          </rPr>
          <t xml:space="preserve">
See column 1</t>
        </r>
      </text>
    </comment>
    <comment ref="D8" authorId="0" shapeId="0" xr:uid="{00000000-0006-0000-1400-000003000000}">
      <text>
        <r>
          <rPr>
            <b/>
            <sz val="8"/>
            <color indexed="81"/>
            <rFont val="Tahoma"/>
            <family val="2"/>
          </rPr>
          <t>cuomoj:</t>
        </r>
        <r>
          <rPr>
            <sz val="8"/>
            <color indexed="81"/>
            <rFont val="Tahoma"/>
            <family val="2"/>
          </rPr>
          <t xml:space="preserve">
See sheet "Forecast MAC - NUG Capacity"</t>
        </r>
      </text>
    </comment>
    <comment ref="E8" authorId="0" shapeId="0" xr:uid="{00000000-0006-0000-1400-000004000000}">
      <text>
        <r>
          <rPr>
            <b/>
            <sz val="8"/>
            <color indexed="81"/>
            <rFont val="Tahoma"/>
            <family val="2"/>
          </rPr>
          <t>cuomoj:</t>
        </r>
        <r>
          <rPr>
            <sz val="8"/>
            <color indexed="81"/>
            <rFont val="Tahoma"/>
            <family val="2"/>
          </rPr>
          <t xml:space="preserve">
East River Repowering Project; See column 1</t>
        </r>
      </text>
    </comment>
    <comment ref="F8" authorId="0" shapeId="0" xr:uid="{00000000-0006-0000-1400-000005000000}">
      <text>
        <r>
          <rPr>
            <b/>
            <sz val="8"/>
            <color indexed="81"/>
            <rFont val="Tahoma"/>
            <family val="2"/>
          </rPr>
          <t xml:space="preserve">cuomoj:
</t>
        </r>
        <r>
          <rPr>
            <sz val="8"/>
            <color indexed="81"/>
            <rFont val="Tahoma"/>
            <family val="2"/>
          </rPr>
          <t>Demand Side Management costs;
Numbers come from Energy Efficiency.
Note that Targeted phases 2-4, and DR must  be added together to get this total.
To the extent the corporate budget differs from expected monthly actuals by +/- 500k, we will be in contact with EE/DM regarding a replacement value.</t>
        </r>
      </text>
    </comment>
    <comment ref="M8" authorId="0" shapeId="0" xr:uid="{00000000-0006-0000-1400-000006000000}">
      <text>
        <r>
          <rPr>
            <b/>
            <sz val="8"/>
            <color indexed="81"/>
            <rFont val="Tahoma"/>
            <family val="2"/>
          </rPr>
          <t>cuomoj:</t>
        </r>
        <r>
          <rPr>
            <sz val="8"/>
            <color indexed="81"/>
            <rFont val="Tahoma"/>
            <family val="2"/>
          </rPr>
          <t xml:space="preserve">
Numbers come from Revenue Forecast "REVFOR-MYY" from Benito, EM</t>
        </r>
      </text>
    </comment>
    <comment ref="O8" authorId="0" shapeId="0" xr:uid="{00000000-0006-0000-1400-000007000000}">
      <text>
        <r>
          <rPr>
            <b/>
            <sz val="8"/>
            <color indexed="81"/>
            <rFont val="Tahoma"/>
            <family val="2"/>
          </rPr>
          <t>cuomoj:</t>
        </r>
        <r>
          <rPr>
            <sz val="8"/>
            <color indexed="81"/>
            <rFont val="Tahoma"/>
            <family val="2"/>
          </rPr>
          <t xml:space="preserve">
Taken from the rate case forecast kWh on the input sheets in this file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cuomoj</author>
  </authors>
  <commentList>
    <comment ref="B8" authorId="0" shapeId="0" xr:uid="{00000000-0006-0000-1500-000001000000}">
      <text>
        <r>
          <rPr>
            <b/>
            <sz val="8"/>
            <color indexed="81"/>
            <rFont val="Tahoma"/>
            <family val="2"/>
          </rPr>
          <t>cuomoj:</t>
        </r>
        <r>
          <rPr>
            <sz val="8"/>
            <color indexed="81"/>
            <rFont val="Tahoma"/>
            <family val="2"/>
          </rPr>
          <t xml:space="preserve">
Numbers come from sheet entitled "MAC monthly adjustment for electric allocation M-DD-YY.xls"  From Angela Yukhananov in Regulatory Filings</t>
        </r>
      </text>
    </comment>
    <comment ref="C8" authorId="0" shapeId="0" xr:uid="{00000000-0006-0000-1500-000002000000}">
      <text>
        <r>
          <rPr>
            <b/>
            <sz val="8"/>
            <color indexed="81"/>
            <rFont val="Tahoma"/>
            <family val="2"/>
          </rPr>
          <t>cuomoj:</t>
        </r>
        <r>
          <rPr>
            <sz val="8"/>
            <color indexed="81"/>
            <rFont val="Tahoma"/>
            <family val="2"/>
          </rPr>
          <t xml:space="preserve">
See column 1</t>
        </r>
      </text>
    </comment>
    <comment ref="D8" authorId="0" shapeId="0" xr:uid="{00000000-0006-0000-1500-000003000000}">
      <text>
        <r>
          <rPr>
            <b/>
            <sz val="8"/>
            <color indexed="81"/>
            <rFont val="Tahoma"/>
            <family val="2"/>
          </rPr>
          <t>cuomoj:</t>
        </r>
        <r>
          <rPr>
            <sz val="8"/>
            <color indexed="81"/>
            <rFont val="Tahoma"/>
            <family val="2"/>
          </rPr>
          <t xml:space="preserve">
See sheet "Forecast MAC - NUG Capacity"</t>
        </r>
      </text>
    </comment>
    <comment ref="E8" authorId="0" shapeId="0" xr:uid="{00000000-0006-0000-1500-000004000000}">
      <text>
        <r>
          <rPr>
            <b/>
            <sz val="8"/>
            <color indexed="81"/>
            <rFont val="Tahoma"/>
            <family val="2"/>
          </rPr>
          <t>cuomoj:</t>
        </r>
        <r>
          <rPr>
            <sz val="8"/>
            <color indexed="81"/>
            <rFont val="Tahoma"/>
            <family val="2"/>
          </rPr>
          <t xml:space="preserve">
East River Repowering Project; See column 1</t>
        </r>
      </text>
    </comment>
    <comment ref="F8" authorId="0" shapeId="0" xr:uid="{00000000-0006-0000-1500-000005000000}">
      <text>
        <r>
          <rPr>
            <b/>
            <sz val="8"/>
            <color indexed="81"/>
            <rFont val="Tahoma"/>
            <family val="2"/>
          </rPr>
          <t xml:space="preserve">cuomoj:
</t>
        </r>
        <r>
          <rPr>
            <sz val="8"/>
            <color indexed="81"/>
            <rFont val="Tahoma"/>
            <family val="2"/>
          </rPr>
          <t>Demand Side Management costs;
Numbers come from Energy Efficiency.
Note that Targeted phases 2-4, and DR must  be added together to get this total.
To the extent the corporate budget differs from expected monthly actuals by +/- 500k, we will be in contact with EE/DM regarding a replacement value.</t>
        </r>
      </text>
    </comment>
    <comment ref="O8" authorId="0" shapeId="0" xr:uid="{00000000-0006-0000-1500-000006000000}">
      <text>
        <r>
          <rPr>
            <b/>
            <sz val="8"/>
            <color indexed="81"/>
            <rFont val="Tahoma"/>
            <family val="2"/>
          </rPr>
          <t>cuomoj:</t>
        </r>
        <r>
          <rPr>
            <sz val="8"/>
            <color indexed="81"/>
            <rFont val="Tahoma"/>
            <family val="2"/>
          </rPr>
          <t xml:space="preserve">
Numbers come from Revenue Forecast "REVFOR-MYY" from Benito, EM</t>
        </r>
      </text>
    </comment>
    <comment ref="Q8" authorId="0" shapeId="0" xr:uid="{00000000-0006-0000-1500-000007000000}">
      <text>
        <r>
          <rPr>
            <b/>
            <sz val="8"/>
            <color indexed="81"/>
            <rFont val="Tahoma"/>
            <family val="2"/>
          </rPr>
          <t>cuomoj:</t>
        </r>
        <r>
          <rPr>
            <sz val="8"/>
            <color indexed="81"/>
            <rFont val="Tahoma"/>
            <family val="2"/>
          </rPr>
          <t xml:space="preserve">
Taken from the rate case forecast kWh on the input sheets in this file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cuomoj</author>
    <author>Diesslin, Anna</author>
  </authors>
  <commentList>
    <comment ref="A3" authorId="0" shapeId="0" xr:uid="{00000000-0006-0000-1200-000001000000}">
      <text>
        <r>
          <rPr>
            <b/>
            <sz val="8"/>
            <color indexed="81"/>
            <rFont val="Tahoma"/>
            <family val="2"/>
          </rPr>
          <t>cuomoj:</t>
        </r>
        <r>
          <rPr>
            <sz val="8"/>
            <color indexed="81"/>
            <rFont val="Tahoma"/>
            <family val="2"/>
          </rPr>
          <t xml:space="preserve">
all inputs in the below box are from the cash flow forecast, Benito Quan - Energy Management</t>
        </r>
      </text>
    </comment>
    <comment ref="A9" authorId="0" shapeId="0" xr:uid="{00000000-0006-0000-1200-000002000000}">
      <text>
        <r>
          <rPr>
            <b/>
            <sz val="8"/>
            <color indexed="81"/>
            <rFont val="Tahoma"/>
            <family val="2"/>
          </rPr>
          <t>cuomoj:</t>
        </r>
        <r>
          <rPr>
            <sz val="8"/>
            <color indexed="81"/>
            <rFont val="Tahoma"/>
            <family val="2"/>
          </rPr>
          <t xml:space="preserve">
This table is entirely calculated.  Do not alter cell contents.</t>
        </r>
      </text>
    </comment>
    <comment ref="F9" authorId="1" shapeId="0" xr:uid="{88C4A7BE-6628-476A-B25B-B5FB3D68098E}">
      <text>
        <r>
          <rPr>
            <b/>
            <sz val="9"/>
            <color indexed="81"/>
            <rFont val="Tahoma"/>
            <family val="2"/>
          </rPr>
          <t>Diesslin, Anna:</t>
        </r>
        <r>
          <rPr>
            <sz val="9"/>
            <color indexed="81"/>
            <rFont val="Tahoma"/>
            <family val="2"/>
          </rPr>
          <t xml:space="preserve">
for SC 1 NYC, SC 1 West, and SC 2, half of formula is capacity which changes 2x/year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cuomoj</author>
    <author>Diesslin, Anna</author>
  </authors>
  <commentList>
    <comment ref="A3" authorId="0" shapeId="0" xr:uid="{B2FBBDA0-3F22-49EC-AF53-4FB940F9DF88}">
      <text>
        <r>
          <rPr>
            <b/>
            <sz val="8"/>
            <color indexed="81"/>
            <rFont val="Tahoma"/>
            <family val="2"/>
          </rPr>
          <t>cuomoj:</t>
        </r>
        <r>
          <rPr>
            <sz val="8"/>
            <color indexed="81"/>
            <rFont val="Tahoma"/>
            <family val="2"/>
          </rPr>
          <t xml:space="preserve">
all inputs in the below box are from the cash flow forecast, Benito Quan - Energy Management</t>
        </r>
      </text>
    </comment>
    <comment ref="A9" authorId="0" shapeId="0" xr:uid="{3B8EE039-9FDF-46A3-8045-99A7C6048995}">
      <text>
        <r>
          <rPr>
            <b/>
            <sz val="8"/>
            <color indexed="81"/>
            <rFont val="Tahoma"/>
            <family val="2"/>
          </rPr>
          <t>cuomoj:</t>
        </r>
        <r>
          <rPr>
            <sz val="8"/>
            <color indexed="81"/>
            <rFont val="Tahoma"/>
            <family val="2"/>
          </rPr>
          <t xml:space="preserve">
This table is entirely calculated.  Do not alter cell contents.</t>
        </r>
      </text>
    </comment>
    <comment ref="F9" authorId="1" shapeId="0" xr:uid="{D535DC14-949D-4E04-952D-7ABC1B65A5C7}">
      <text>
        <r>
          <rPr>
            <b/>
            <sz val="9"/>
            <color indexed="81"/>
            <rFont val="Tahoma"/>
            <family val="2"/>
          </rPr>
          <t>Diesslin, Anna:</t>
        </r>
        <r>
          <rPr>
            <sz val="9"/>
            <color indexed="81"/>
            <rFont val="Tahoma"/>
            <family val="2"/>
          </rPr>
          <t xml:space="preserve">
for SC 1 NYC, SC 1 West, and SC 2, half of formula is capacity which changes 2x/year</t>
        </r>
      </text>
    </comment>
    <comment ref="A27" authorId="0" shapeId="0" xr:uid="{4EC2F6D2-BBD1-42B1-AB78-D9586BD95FC4}">
      <text>
        <r>
          <rPr>
            <b/>
            <sz val="8"/>
            <color indexed="81"/>
            <rFont val="Tahoma"/>
            <family val="2"/>
          </rPr>
          <t>cuomoj:</t>
        </r>
        <r>
          <rPr>
            <sz val="8"/>
            <color indexed="81"/>
            <rFont val="Tahoma"/>
            <family val="2"/>
          </rPr>
          <t xml:space="preserve">
all inputs in the below box are from the cash flow forecast, Benito Quan - Energy Management</t>
        </r>
      </text>
    </comment>
    <comment ref="A33" authorId="0" shapeId="0" xr:uid="{E3782792-3D17-4D24-BC9C-EDC14F75BD56}">
      <text>
        <r>
          <rPr>
            <b/>
            <sz val="8"/>
            <color indexed="81"/>
            <rFont val="Tahoma"/>
            <family val="2"/>
          </rPr>
          <t>cuomoj:</t>
        </r>
        <r>
          <rPr>
            <sz val="8"/>
            <color indexed="81"/>
            <rFont val="Tahoma"/>
            <family val="2"/>
          </rPr>
          <t xml:space="preserve">
This table is entirely calculated.  Do not alter cell contents.</t>
        </r>
      </text>
    </comment>
    <comment ref="F33" authorId="1" shapeId="0" xr:uid="{896CD5FA-CE40-4ED6-A4A8-6A224CC27C1D}">
      <text>
        <r>
          <rPr>
            <b/>
            <sz val="9"/>
            <color indexed="81"/>
            <rFont val="Tahoma"/>
            <family val="2"/>
          </rPr>
          <t>Diesslin, Anna:</t>
        </r>
        <r>
          <rPr>
            <sz val="9"/>
            <color indexed="81"/>
            <rFont val="Tahoma"/>
            <family val="2"/>
          </rPr>
          <t xml:space="preserve">
for SC 1 NYC, SC 1 West, and SC 2, half of formula is capacity which changes 2x/year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cuomoj</author>
    <author>Diesslin, Anna</author>
  </authors>
  <commentList>
    <comment ref="A3" authorId="0" shapeId="0" xr:uid="{DF779C8C-C3E9-4E2B-9736-C7F40EE3DFC3}">
      <text>
        <r>
          <rPr>
            <b/>
            <sz val="8"/>
            <color indexed="81"/>
            <rFont val="Tahoma"/>
            <family val="2"/>
          </rPr>
          <t>cuomoj:</t>
        </r>
        <r>
          <rPr>
            <sz val="8"/>
            <color indexed="81"/>
            <rFont val="Tahoma"/>
            <family val="2"/>
          </rPr>
          <t xml:space="preserve">
all inputs in the below box are from the cash flow forecast, Benito Quan - Energy Management</t>
        </r>
      </text>
    </comment>
    <comment ref="A9" authorId="0" shapeId="0" xr:uid="{55B17495-9800-4109-89FA-18D0BE329B9C}">
      <text>
        <r>
          <rPr>
            <b/>
            <sz val="8"/>
            <color indexed="81"/>
            <rFont val="Tahoma"/>
            <family val="2"/>
          </rPr>
          <t>cuomoj:</t>
        </r>
        <r>
          <rPr>
            <sz val="8"/>
            <color indexed="81"/>
            <rFont val="Tahoma"/>
            <family val="2"/>
          </rPr>
          <t xml:space="preserve">
This table is entirely calculated.  Do not alter cell contents.</t>
        </r>
      </text>
    </comment>
    <comment ref="F9" authorId="1" shapeId="0" xr:uid="{8FCF84A9-FE59-49F9-89AA-5127FF3F4EB9}">
      <text>
        <r>
          <rPr>
            <b/>
            <sz val="9"/>
            <color indexed="81"/>
            <rFont val="Tahoma"/>
            <family val="2"/>
          </rPr>
          <t>Diesslin, Anna:</t>
        </r>
        <r>
          <rPr>
            <sz val="9"/>
            <color indexed="81"/>
            <rFont val="Tahoma"/>
            <family val="2"/>
          </rPr>
          <t xml:space="preserve">
for SC 1 NYC, SC 1 West, and SC 2, half of formula is capacity which changes 2x/year</t>
        </r>
      </text>
    </comment>
    <comment ref="A27" authorId="0" shapeId="0" xr:uid="{8CC7D291-20FE-4C50-BFDF-9699A3D65B43}">
      <text>
        <r>
          <rPr>
            <b/>
            <sz val="8"/>
            <color indexed="81"/>
            <rFont val="Tahoma"/>
            <family val="2"/>
          </rPr>
          <t>cuomoj:</t>
        </r>
        <r>
          <rPr>
            <sz val="8"/>
            <color indexed="81"/>
            <rFont val="Tahoma"/>
            <family val="2"/>
          </rPr>
          <t xml:space="preserve">
all inputs in the below box are from the cash flow forecast, Benito Quan - Energy Management</t>
        </r>
      </text>
    </comment>
    <comment ref="A33" authorId="0" shapeId="0" xr:uid="{08E572B7-C620-4663-A57B-082FDADC2010}">
      <text>
        <r>
          <rPr>
            <b/>
            <sz val="8"/>
            <color indexed="81"/>
            <rFont val="Tahoma"/>
            <family val="2"/>
          </rPr>
          <t>cuomoj:</t>
        </r>
        <r>
          <rPr>
            <sz val="8"/>
            <color indexed="81"/>
            <rFont val="Tahoma"/>
            <family val="2"/>
          </rPr>
          <t xml:space="preserve">
This table is entirely calculated.  Do not alter cell contents.</t>
        </r>
      </text>
    </comment>
    <comment ref="F33" authorId="1" shapeId="0" xr:uid="{05115ED0-2240-4514-924E-55BA64D7B834}">
      <text>
        <r>
          <rPr>
            <b/>
            <sz val="9"/>
            <color indexed="81"/>
            <rFont val="Tahoma"/>
            <family val="2"/>
          </rPr>
          <t>Diesslin, Anna:</t>
        </r>
        <r>
          <rPr>
            <sz val="9"/>
            <color indexed="81"/>
            <rFont val="Tahoma"/>
            <family val="2"/>
          </rPr>
          <t xml:space="preserve">
for SC 1 NYC, SC 1 West, and SC 2, half of formula is capacity which changes 2x/year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cuomoj</author>
    <author>Diesslin, Anna</author>
  </authors>
  <commentList>
    <comment ref="A3" authorId="0" shapeId="0" xr:uid="{B56779CB-F3E7-4602-9B61-4B077312529B}">
      <text>
        <r>
          <rPr>
            <b/>
            <sz val="8"/>
            <color indexed="81"/>
            <rFont val="Tahoma"/>
            <family val="2"/>
          </rPr>
          <t>cuomoj:</t>
        </r>
        <r>
          <rPr>
            <sz val="8"/>
            <color indexed="81"/>
            <rFont val="Tahoma"/>
            <family val="2"/>
          </rPr>
          <t xml:space="preserve">
all inputs in the below box are from the cash flow forecast, Benito Quan - Energy Management</t>
        </r>
      </text>
    </comment>
    <comment ref="A9" authorId="0" shapeId="0" xr:uid="{7BB5F852-BFC7-4EF9-A0A2-96A6C14F9460}">
      <text>
        <r>
          <rPr>
            <b/>
            <sz val="8"/>
            <color indexed="81"/>
            <rFont val="Tahoma"/>
            <family val="2"/>
          </rPr>
          <t>cuomoj:</t>
        </r>
        <r>
          <rPr>
            <sz val="8"/>
            <color indexed="81"/>
            <rFont val="Tahoma"/>
            <family val="2"/>
          </rPr>
          <t xml:space="preserve">
This table is entirely calculated.  Do not alter cell contents.</t>
        </r>
      </text>
    </comment>
    <comment ref="F9" authorId="1" shapeId="0" xr:uid="{FA986708-7DFE-4168-A8F9-A8D403F7E7C2}">
      <text>
        <r>
          <rPr>
            <b/>
            <sz val="9"/>
            <color indexed="81"/>
            <rFont val="Tahoma"/>
            <family val="2"/>
          </rPr>
          <t>Diesslin, Anna:</t>
        </r>
        <r>
          <rPr>
            <sz val="9"/>
            <color indexed="81"/>
            <rFont val="Tahoma"/>
            <family val="2"/>
          </rPr>
          <t xml:space="preserve">
for SC 1 NYC, SC 1 West, and SC 2, half of formula is capacity which changes 2x/year</t>
        </r>
      </text>
    </comment>
    <comment ref="A27" authorId="0" shapeId="0" xr:uid="{C116AAF9-954F-4607-B929-54DAAF813951}">
      <text>
        <r>
          <rPr>
            <b/>
            <sz val="8"/>
            <color indexed="81"/>
            <rFont val="Tahoma"/>
            <family val="2"/>
          </rPr>
          <t>cuomoj:</t>
        </r>
        <r>
          <rPr>
            <sz val="8"/>
            <color indexed="81"/>
            <rFont val="Tahoma"/>
            <family val="2"/>
          </rPr>
          <t xml:space="preserve">
all inputs in the below box are from the cash flow forecast, Benito Quan - Energy Management</t>
        </r>
      </text>
    </comment>
    <comment ref="A33" authorId="0" shapeId="0" xr:uid="{8B2461FE-4E41-43DE-A8B8-57BBE9BE2E03}">
      <text>
        <r>
          <rPr>
            <b/>
            <sz val="8"/>
            <color indexed="81"/>
            <rFont val="Tahoma"/>
            <family val="2"/>
          </rPr>
          <t>cuomoj:</t>
        </r>
        <r>
          <rPr>
            <sz val="8"/>
            <color indexed="81"/>
            <rFont val="Tahoma"/>
            <family val="2"/>
          </rPr>
          <t xml:space="preserve">
This table is entirely calculated.  Do not alter cell contents.</t>
        </r>
      </text>
    </comment>
    <comment ref="F33" authorId="1" shapeId="0" xr:uid="{570184A0-206D-4853-9485-CCAACF300DFD}">
      <text>
        <r>
          <rPr>
            <b/>
            <sz val="9"/>
            <color indexed="81"/>
            <rFont val="Tahoma"/>
            <family val="2"/>
          </rPr>
          <t>Diesslin, Anna:</t>
        </r>
        <r>
          <rPr>
            <sz val="9"/>
            <color indexed="81"/>
            <rFont val="Tahoma"/>
            <family val="2"/>
          </rPr>
          <t xml:space="preserve">
for SC 1 NYC, SC 1 West, and SC 2, half of formula is capacity which changes 2x/year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cuomoj</author>
    <author>Diesslin, Anna</author>
  </authors>
  <commentList>
    <comment ref="A3" authorId="0" shapeId="0" xr:uid="{D6496BA6-684B-4426-8EC1-3BCD2DCF485F}">
      <text>
        <r>
          <rPr>
            <b/>
            <sz val="8"/>
            <color indexed="81"/>
            <rFont val="Tahoma"/>
            <family val="2"/>
          </rPr>
          <t>cuomoj:</t>
        </r>
        <r>
          <rPr>
            <sz val="8"/>
            <color indexed="81"/>
            <rFont val="Tahoma"/>
            <family val="2"/>
          </rPr>
          <t xml:space="preserve">
all inputs in the below box are from the cash flow forecast, Benito Quan - Energy Management</t>
        </r>
      </text>
    </comment>
    <comment ref="A9" authorId="0" shapeId="0" xr:uid="{A25746A2-05ED-4A72-AD34-891F5CB1A78A}">
      <text>
        <r>
          <rPr>
            <b/>
            <sz val="8"/>
            <color indexed="81"/>
            <rFont val="Tahoma"/>
            <family val="2"/>
          </rPr>
          <t>cuomoj:</t>
        </r>
        <r>
          <rPr>
            <sz val="8"/>
            <color indexed="81"/>
            <rFont val="Tahoma"/>
            <family val="2"/>
          </rPr>
          <t xml:space="preserve">
This table is entirely calculated.  Do not alter cell contents.</t>
        </r>
      </text>
    </comment>
    <comment ref="F9" authorId="1" shapeId="0" xr:uid="{3848EF64-F38B-4B60-927E-4BBF53A2211A}">
      <text>
        <r>
          <rPr>
            <b/>
            <sz val="9"/>
            <color indexed="81"/>
            <rFont val="Tahoma"/>
            <family val="2"/>
          </rPr>
          <t>Diesslin, Anna:</t>
        </r>
        <r>
          <rPr>
            <sz val="9"/>
            <color indexed="81"/>
            <rFont val="Tahoma"/>
            <family val="2"/>
          </rPr>
          <t xml:space="preserve">
for SC 1 NYC, SC 1 West, and SC 2, half of formula is capacity which changes 2x/year</t>
        </r>
      </text>
    </comment>
    <comment ref="A27" authorId="0" shapeId="0" xr:uid="{4B265A09-AD19-4043-BA77-4193250CB292}">
      <text>
        <r>
          <rPr>
            <b/>
            <sz val="8"/>
            <color indexed="81"/>
            <rFont val="Tahoma"/>
            <family val="2"/>
          </rPr>
          <t>cuomoj:</t>
        </r>
        <r>
          <rPr>
            <sz val="8"/>
            <color indexed="81"/>
            <rFont val="Tahoma"/>
            <family val="2"/>
          </rPr>
          <t xml:space="preserve">
all inputs in the below box are from the cash flow forecast, Benito Quan - Energy Management</t>
        </r>
      </text>
    </comment>
    <comment ref="A33" authorId="0" shapeId="0" xr:uid="{D2D45204-6C2E-49B1-AD4D-69277DF5E382}">
      <text>
        <r>
          <rPr>
            <b/>
            <sz val="8"/>
            <color indexed="81"/>
            <rFont val="Tahoma"/>
            <family val="2"/>
          </rPr>
          <t>cuomoj:</t>
        </r>
        <r>
          <rPr>
            <sz val="8"/>
            <color indexed="81"/>
            <rFont val="Tahoma"/>
            <family val="2"/>
          </rPr>
          <t xml:space="preserve">
This table is entirely calculated.  Do not alter cell contents.</t>
        </r>
      </text>
    </comment>
    <comment ref="F33" authorId="1" shapeId="0" xr:uid="{02C9B075-7218-451E-A464-9252056BCFD6}">
      <text>
        <r>
          <rPr>
            <b/>
            <sz val="9"/>
            <color indexed="81"/>
            <rFont val="Tahoma"/>
            <family val="2"/>
          </rPr>
          <t>Diesslin, Anna:</t>
        </r>
        <r>
          <rPr>
            <sz val="9"/>
            <color indexed="81"/>
            <rFont val="Tahoma"/>
            <family val="2"/>
          </rPr>
          <t xml:space="preserve">
for SC 1 NYC, SC 1 West, and SC 2, half of formula is capacity which changes 2x/year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cuomoj</author>
    <author>Diesslin, Anna</author>
  </authors>
  <commentList>
    <comment ref="A3" authorId="0" shapeId="0" xr:uid="{5A156181-3F1A-4DD9-9C18-EEDD1BEBD59C}">
      <text>
        <r>
          <rPr>
            <b/>
            <sz val="8"/>
            <color indexed="81"/>
            <rFont val="Tahoma"/>
            <family val="2"/>
          </rPr>
          <t>cuomoj:</t>
        </r>
        <r>
          <rPr>
            <sz val="8"/>
            <color indexed="81"/>
            <rFont val="Tahoma"/>
            <family val="2"/>
          </rPr>
          <t xml:space="preserve">
all inputs in the below box are from the cash flow forecast, Benito Quan - Energy Management</t>
        </r>
      </text>
    </comment>
    <comment ref="A9" authorId="0" shapeId="0" xr:uid="{A82F2FDD-A38B-40FA-AA0F-D7E100B8CF7E}">
      <text>
        <r>
          <rPr>
            <b/>
            <sz val="8"/>
            <color indexed="81"/>
            <rFont val="Tahoma"/>
            <family val="2"/>
          </rPr>
          <t>cuomoj:</t>
        </r>
        <r>
          <rPr>
            <sz val="8"/>
            <color indexed="81"/>
            <rFont val="Tahoma"/>
            <family val="2"/>
          </rPr>
          <t xml:space="preserve">
This table is entirely calculated.  Do not alter cell contents.</t>
        </r>
      </text>
    </comment>
    <comment ref="F9" authorId="1" shapeId="0" xr:uid="{14653D9F-FD2B-432E-9ECA-C0E054FDF963}">
      <text>
        <r>
          <rPr>
            <b/>
            <sz val="9"/>
            <color indexed="81"/>
            <rFont val="Tahoma"/>
            <family val="2"/>
          </rPr>
          <t>Diesslin, Anna:</t>
        </r>
        <r>
          <rPr>
            <sz val="9"/>
            <color indexed="81"/>
            <rFont val="Tahoma"/>
            <family val="2"/>
          </rPr>
          <t xml:space="preserve">
for SC 1 NYC, SC 1 West, and SC 2, half of formula is capacity which changes 2x/year</t>
        </r>
      </text>
    </comment>
    <comment ref="A27" authorId="0" shapeId="0" xr:uid="{CDE5031D-D743-4F54-B0C1-2AC43F747180}">
      <text>
        <r>
          <rPr>
            <b/>
            <sz val="8"/>
            <color indexed="81"/>
            <rFont val="Tahoma"/>
            <family val="2"/>
          </rPr>
          <t>cuomoj:</t>
        </r>
        <r>
          <rPr>
            <sz val="8"/>
            <color indexed="81"/>
            <rFont val="Tahoma"/>
            <family val="2"/>
          </rPr>
          <t xml:space="preserve">
all inputs in the below box are from the cash flow forecast, Benito Quan - Energy Management</t>
        </r>
      </text>
    </comment>
    <comment ref="A33" authorId="0" shapeId="0" xr:uid="{159C466F-2641-4388-9AF2-A26ED1724D38}">
      <text>
        <r>
          <rPr>
            <b/>
            <sz val="8"/>
            <color indexed="81"/>
            <rFont val="Tahoma"/>
            <family val="2"/>
          </rPr>
          <t>cuomoj:</t>
        </r>
        <r>
          <rPr>
            <sz val="8"/>
            <color indexed="81"/>
            <rFont val="Tahoma"/>
            <family val="2"/>
          </rPr>
          <t xml:space="preserve">
This table is entirely calculated.  Do not alter cell contents.</t>
        </r>
      </text>
    </comment>
    <comment ref="F33" authorId="1" shapeId="0" xr:uid="{5A1334C0-0745-41D0-9C72-16DDE14D6183}">
      <text>
        <r>
          <rPr>
            <b/>
            <sz val="9"/>
            <color indexed="81"/>
            <rFont val="Tahoma"/>
            <family val="2"/>
          </rPr>
          <t>Diesslin, Anna:</t>
        </r>
        <r>
          <rPr>
            <sz val="9"/>
            <color indexed="81"/>
            <rFont val="Tahoma"/>
            <family val="2"/>
          </rPr>
          <t xml:space="preserve">
for SC 1 NYC, SC 1 West, and SC 2, half of formula is capacity which changes 2x/year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cuomoj</author>
    <author>Diesslin, Anna</author>
  </authors>
  <commentList>
    <comment ref="A3" authorId="0" shapeId="0" xr:uid="{1ED1DBCD-6D8B-4D38-92AC-31E317F3931D}">
      <text>
        <r>
          <rPr>
            <b/>
            <sz val="8"/>
            <color indexed="81"/>
            <rFont val="Tahoma"/>
            <family val="2"/>
          </rPr>
          <t>cuomoj:</t>
        </r>
        <r>
          <rPr>
            <sz val="8"/>
            <color indexed="81"/>
            <rFont val="Tahoma"/>
            <family val="2"/>
          </rPr>
          <t xml:space="preserve">
all inputs in the below box are from the cash flow forecast, Benito Quan - Energy Management</t>
        </r>
      </text>
    </comment>
    <comment ref="A9" authorId="0" shapeId="0" xr:uid="{9ACE3D6B-32C1-4B63-88F6-64FF2D86D11E}">
      <text>
        <r>
          <rPr>
            <b/>
            <sz val="8"/>
            <color indexed="81"/>
            <rFont val="Tahoma"/>
            <family val="2"/>
          </rPr>
          <t>cuomoj:</t>
        </r>
        <r>
          <rPr>
            <sz val="8"/>
            <color indexed="81"/>
            <rFont val="Tahoma"/>
            <family val="2"/>
          </rPr>
          <t xml:space="preserve">
This table is entirely calculated.  Do not alter cell contents.</t>
        </r>
      </text>
    </comment>
    <comment ref="F9" authorId="1" shapeId="0" xr:uid="{B84CCCE7-2DB3-4162-8A3C-6C3FFCB275E9}">
      <text>
        <r>
          <rPr>
            <b/>
            <sz val="9"/>
            <color indexed="81"/>
            <rFont val="Tahoma"/>
            <family val="2"/>
          </rPr>
          <t>Diesslin, Anna:</t>
        </r>
        <r>
          <rPr>
            <sz val="9"/>
            <color indexed="81"/>
            <rFont val="Tahoma"/>
            <family val="2"/>
          </rPr>
          <t xml:space="preserve">
for SC 1 NYC, SC 1 West, and SC 2, half of formula is capacity which changes 2x/year</t>
        </r>
      </text>
    </comment>
    <comment ref="A27" authorId="0" shapeId="0" xr:uid="{EE280EED-61EF-45EC-875A-65269FE45303}">
      <text>
        <r>
          <rPr>
            <b/>
            <sz val="8"/>
            <color indexed="81"/>
            <rFont val="Tahoma"/>
            <family val="2"/>
          </rPr>
          <t>cuomoj:</t>
        </r>
        <r>
          <rPr>
            <sz val="8"/>
            <color indexed="81"/>
            <rFont val="Tahoma"/>
            <family val="2"/>
          </rPr>
          <t xml:space="preserve">
all inputs in the below box are from the cash flow forecast, Benito Quan - Energy Management</t>
        </r>
      </text>
    </comment>
    <comment ref="A33" authorId="0" shapeId="0" xr:uid="{9E9C1A4A-8AA7-4C49-B2D5-0B5A10BB1024}">
      <text>
        <r>
          <rPr>
            <b/>
            <sz val="8"/>
            <color indexed="81"/>
            <rFont val="Tahoma"/>
            <family val="2"/>
          </rPr>
          <t>cuomoj:</t>
        </r>
        <r>
          <rPr>
            <sz val="8"/>
            <color indexed="81"/>
            <rFont val="Tahoma"/>
            <family val="2"/>
          </rPr>
          <t xml:space="preserve">
This table is entirely calculated.  Do not alter cell contents.</t>
        </r>
      </text>
    </comment>
    <comment ref="F33" authorId="1" shapeId="0" xr:uid="{BA791C50-0DF4-4FC0-8BB8-75EF2F929A90}">
      <text>
        <r>
          <rPr>
            <b/>
            <sz val="9"/>
            <color indexed="81"/>
            <rFont val="Tahoma"/>
            <family val="2"/>
          </rPr>
          <t>Diesslin, Anna:</t>
        </r>
        <r>
          <rPr>
            <sz val="9"/>
            <color indexed="81"/>
            <rFont val="Tahoma"/>
            <family val="2"/>
          </rPr>
          <t xml:space="preserve">
for SC 1 NYC, SC 1 West, and SC 2, half of formula is capacity which changes 2x/year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cuomoj</author>
    <author>Diesslin, Anna</author>
  </authors>
  <commentList>
    <comment ref="A3" authorId="0" shapeId="0" xr:uid="{4E761DB2-08C2-4A4F-A069-CE8652ACCCA3}">
      <text>
        <r>
          <rPr>
            <b/>
            <sz val="8"/>
            <color indexed="81"/>
            <rFont val="Tahoma"/>
            <family val="2"/>
          </rPr>
          <t>cuomoj:</t>
        </r>
        <r>
          <rPr>
            <sz val="8"/>
            <color indexed="81"/>
            <rFont val="Tahoma"/>
            <family val="2"/>
          </rPr>
          <t xml:space="preserve">
all inputs in the below box are from the cash flow forecast, Benito Quan - Energy Management</t>
        </r>
      </text>
    </comment>
    <comment ref="A9" authorId="0" shapeId="0" xr:uid="{262261A0-E849-4B8B-B7D3-81667BB76572}">
      <text>
        <r>
          <rPr>
            <b/>
            <sz val="8"/>
            <color indexed="81"/>
            <rFont val="Tahoma"/>
            <family val="2"/>
          </rPr>
          <t>cuomoj:</t>
        </r>
        <r>
          <rPr>
            <sz val="8"/>
            <color indexed="81"/>
            <rFont val="Tahoma"/>
            <family val="2"/>
          </rPr>
          <t xml:space="preserve">
This table is entirely calculated.  Do not alter cell contents.</t>
        </r>
      </text>
    </comment>
    <comment ref="F9" authorId="1" shapeId="0" xr:uid="{B815AEF3-B91A-427D-91DC-AD785D3F4AF7}">
      <text>
        <r>
          <rPr>
            <b/>
            <sz val="9"/>
            <color indexed="81"/>
            <rFont val="Tahoma"/>
            <family val="2"/>
          </rPr>
          <t>Diesslin, Anna:</t>
        </r>
        <r>
          <rPr>
            <sz val="9"/>
            <color indexed="81"/>
            <rFont val="Tahoma"/>
            <family val="2"/>
          </rPr>
          <t xml:space="preserve">
for SC 1 NYC, SC 1 West, and SC 2, half of formula is capacity which changes 2x/year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cuomoj</author>
    <author>Diesslin, Anna</author>
  </authors>
  <commentList>
    <comment ref="A3" authorId="0" shapeId="0" xr:uid="{82346A9F-4C2E-4F9B-9886-5A020285E850}">
      <text>
        <r>
          <rPr>
            <b/>
            <sz val="8"/>
            <color indexed="81"/>
            <rFont val="Tahoma"/>
            <family val="2"/>
          </rPr>
          <t>cuomoj:</t>
        </r>
        <r>
          <rPr>
            <sz val="8"/>
            <color indexed="81"/>
            <rFont val="Tahoma"/>
            <family val="2"/>
          </rPr>
          <t xml:space="preserve">
all inputs in the below box are from the cash flow forecast, Benito Quan - Energy Management</t>
        </r>
      </text>
    </comment>
    <comment ref="A9" authorId="0" shapeId="0" xr:uid="{FAB2F689-503D-4400-B008-0499EAD72BEF}">
      <text>
        <r>
          <rPr>
            <b/>
            <sz val="8"/>
            <color indexed="81"/>
            <rFont val="Tahoma"/>
            <family val="2"/>
          </rPr>
          <t>cuomoj:</t>
        </r>
        <r>
          <rPr>
            <sz val="8"/>
            <color indexed="81"/>
            <rFont val="Tahoma"/>
            <family val="2"/>
          </rPr>
          <t xml:space="preserve">
This table is entirely calculated.  Do not alter cell contents.</t>
        </r>
      </text>
    </comment>
    <comment ref="F9" authorId="1" shapeId="0" xr:uid="{E8B8A042-5D40-4AF4-8B69-35D9AF43A5A2}">
      <text>
        <r>
          <rPr>
            <b/>
            <sz val="9"/>
            <color indexed="81"/>
            <rFont val="Tahoma"/>
            <family val="2"/>
          </rPr>
          <t>Diesslin, Anna:</t>
        </r>
        <r>
          <rPr>
            <sz val="9"/>
            <color indexed="81"/>
            <rFont val="Tahoma"/>
            <family val="2"/>
          </rPr>
          <t xml:space="preserve">
for SC 1 NYC, SC 1 West, and SC 2, half of formula is capacity which changes 2x/year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cuomoj</author>
    <author>Diesslin, Anna</author>
  </authors>
  <commentList>
    <comment ref="A3" authorId="0" shapeId="0" xr:uid="{ABDE5507-CDD5-4CA8-9627-C525DC0BCFF6}">
      <text>
        <r>
          <rPr>
            <b/>
            <sz val="8"/>
            <color indexed="81"/>
            <rFont val="Tahoma"/>
            <family val="2"/>
          </rPr>
          <t>cuomoj:</t>
        </r>
        <r>
          <rPr>
            <sz val="8"/>
            <color indexed="81"/>
            <rFont val="Tahoma"/>
            <family val="2"/>
          </rPr>
          <t xml:space="preserve">
all inputs in the below box are from the cash flow forecast, Benito Quan - Energy Management</t>
        </r>
      </text>
    </comment>
    <comment ref="A9" authorId="0" shapeId="0" xr:uid="{A39EE52D-B40D-44C1-A1CD-6FFE0696C0D4}">
      <text>
        <r>
          <rPr>
            <b/>
            <sz val="8"/>
            <color indexed="81"/>
            <rFont val="Tahoma"/>
            <family val="2"/>
          </rPr>
          <t>cuomoj:</t>
        </r>
        <r>
          <rPr>
            <sz val="8"/>
            <color indexed="81"/>
            <rFont val="Tahoma"/>
            <family val="2"/>
          </rPr>
          <t xml:space="preserve">
This table is entirely calculated.  Do not alter cell contents.</t>
        </r>
      </text>
    </comment>
    <comment ref="F9" authorId="1" shapeId="0" xr:uid="{6FE68B87-9C19-4DA5-B179-1EA9567A737C}">
      <text>
        <r>
          <rPr>
            <b/>
            <sz val="9"/>
            <color indexed="81"/>
            <rFont val="Tahoma"/>
            <family val="2"/>
          </rPr>
          <t>Diesslin, Anna:</t>
        </r>
        <r>
          <rPr>
            <sz val="9"/>
            <color indexed="81"/>
            <rFont val="Tahoma"/>
            <family val="2"/>
          </rPr>
          <t xml:space="preserve">
for SC 1 NYC, SC 1 West, and SC 2, half of formula is capacity which changes 2x/year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cuomoj</author>
    <author>Diesslin, Anna</author>
  </authors>
  <commentList>
    <comment ref="A3" authorId="0" shapeId="0" xr:uid="{8FCB8181-2CC1-49D8-9137-ABE29CFFE9D3}">
      <text>
        <r>
          <rPr>
            <b/>
            <sz val="8"/>
            <color indexed="81"/>
            <rFont val="Tahoma"/>
            <family val="2"/>
          </rPr>
          <t>cuomoj:</t>
        </r>
        <r>
          <rPr>
            <sz val="8"/>
            <color indexed="81"/>
            <rFont val="Tahoma"/>
            <family val="2"/>
          </rPr>
          <t xml:space="preserve">
all inputs in the below box are from the cash flow forecast, Benito Quan - Energy Management</t>
        </r>
      </text>
    </comment>
    <comment ref="A9" authorId="0" shapeId="0" xr:uid="{349B5753-B187-49EC-A5AE-B225A111DF63}">
      <text>
        <r>
          <rPr>
            <b/>
            <sz val="8"/>
            <color indexed="81"/>
            <rFont val="Tahoma"/>
            <family val="2"/>
          </rPr>
          <t>cuomoj:</t>
        </r>
        <r>
          <rPr>
            <sz val="8"/>
            <color indexed="81"/>
            <rFont val="Tahoma"/>
            <family val="2"/>
          </rPr>
          <t xml:space="preserve">
This table is entirely calculated.  Do not alter cell contents.</t>
        </r>
      </text>
    </comment>
    <comment ref="F9" authorId="1" shapeId="0" xr:uid="{85E8F50B-3A21-4291-BD55-07984B5EFF7E}">
      <text>
        <r>
          <rPr>
            <b/>
            <sz val="9"/>
            <color indexed="81"/>
            <rFont val="Tahoma"/>
            <family val="2"/>
          </rPr>
          <t>Diesslin, Anna:</t>
        </r>
        <r>
          <rPr>
            <sz val="9"/>
            <color indexed="81"/>
            <rFont val="Tahoma"/>
            <family val="2"/>
          </rPr>
          <t xml:space="preserve">
for SC 1 NYC, SC 1 West, and SC 2, half of formula is capacity which changes 2x/year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cuomoj</author>
    <author>Diesslin, Anna</author>
  </authors>
  <commentList>
    <comment ref="A3" authorId="0" shapeId="0" xr:uid="{3766F28C-24DA-43B3-9D5C-11AF374996DE}">
      <text>
        <r>
          <rPr>
            <b/>
            <sz val="8"/>
            <color indexed="81"/>
            <rFont val="Tahoma"/>
            <family val="2"/>
          </rPr>
          <t>cuomoj:</t>
        </r>
        <r>
          <rPr>
            <sz val="8"/>
            <color indexed="81"/>
            <rFont val="Tahoma"/>
            <family val="2"/>
          </rPr>
          <t xml:space="preserve">
all inputs in the below box are from the cash flow forecast, Benito Quan - Energy Management</t>
        </r>
      </text>
    </comment>
    <comment ref="A9" authorId="0" shapeId="0" xr:uid="{211E60D0-DE02-4FF8-BF4F-5F2166CA22F3}">
      <text>
        <r>
          <rPr>
            <b/>
            <sz val="8"/>
            <color indexed="81"/>
            <rFont val="Tahoma"/>
            <family val="2"/>
          </rPr>
          <t>cuomoj:</t>
        </r>
        <r>
          <rPr>
            <sz val="8"/>
            <color indexed="81"/>
            <rFont val="Tahoma"/>
            <family val="2"/>
          </rPr>
          <t xml:space="preserve">
This table is entirely calculated.  Do not alter cell contents.</t>
        </r>
      </text>
    </comment>
    <comment ref="F9" authorId="1" shapeId="0" xr:uid="{E22A7AFC-021D-4071-82B8-DAD747D2469E}">
      <text>
        <r>
          <rPr>
            <b/>
            <sz val="9"/>
            <color indexed="81"/>
            <rFont val="Tahoma"/>
            <family val="2"/>
          </rPr>
          <t>Diesslin, Anna:</t>
        </r>
        <r>
          <rPr>
            <sz val="9"/>
            <color indexed="81"/>
            <rFont val="Tahoma"/>
            <family val="2"/>
          </rPr>
          <t xml:space="preserve">
for SC 1 NYC, SC 1 West, and SC 2, half of formula is capacity which changes 2x/year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cuomoj</author>
    <author>Diesslin, Anna</author>
  </authors>
  <commentList>
    <comment ref="A3" authorId="0" shapeId="0" xr:uid="{2E17830A-2C1A-4E34-924E-68D59085A07D}">
      <text>
        <r>
          <rPr>
            <b/>
            <sz val="8"/>
            <color indexed="81"/>
            <rFont val="Tahoma"/>
            <family val="2"/>
          </rPr>
          <t>cuomoj:</t>
        </r>
        <r>
          <rPr>
            <sz val="8"/>
            <color indexed="81"/>
            <rFont val="Tahoma"/>
            <family val="2"/>
          </rPr>
          <t xml:space="preserve">
all inputs in the below box are from the cash flow forecast, Benito Quan - Energy Management</t>
        </r>
      </text>
    </comment>
    <comment ref="A9" authorId="0" shapeId="0" xr:uid="{B918CF59-11BF-4185-83D8-B72D43442466}">
      <text>
        <r>
          <rPr>
            <b/>
            <sz val="8"/>
            <color indexed="81"/>
            <rFont val="Tahoma"/>
            <family val="2"/>
          </rPr>
          <t>cuomoj:</t>
        </r>
        <r>
          <rPr>
            <sz val="8"/>
            <color indexed="81"/>
            <rFont val="Tahoma"/>
            <family val="2"/>
          </rPr>
          <t xml:space="preserve">
This table is entirely calculated.  Do not alter cell contents.</t>
        </r>
      </text>
    </comment>
    <comment ref="F9" authorId="1" shapeId="0" xr:uid="{B7A4BDC6-C3E9-4B78-B5DB-A5F492AF7AE9}">
      <text>
        <r>
          <rPr>
            <b/>
            <sz val="9"/>
            <color indexed="81"/>
            <rFont val="Tahoma"/>
            <family val="2"/>
          </rPr>
          <t>Diesslin, Anna:</t>
        </r>
        <r>
          <rPr>
            <sz val="9"/>
            <color indexed="81"/>
            <rFont val="Tahoma"/>
            <family val="2"/>
          </rPr>
          <t xml:space="preserve">
for SC 1 NYC, SC 1 West, and SC 2, half of formula is capacity which changes 2x/year</t>
        </r>
      </text>
    </comment>
  </commentList>
</comments>
</file>

<file path=xl/sharedStrings.xml><?xml version="1.0" encoding="utf-8"?>
<sst xmlns="http://schemas.openxmlformats.org/spreadsheetml/2006/main" count="2710" uniqueCount="638">
  <si>
    <t>(GWh)</t>
  </si>
  <si>
    <t>2</t>
  </si>
  <si>
    <t>5</t>
  </si>
  <si>
    <t>historic monthly actuals 2018 from CUS. use same month, but in 2018</t>
  </si>
  <si>
    <t>5 TOD</t>
  </si>
  <si>
    <t>6</t>
  </si>
  <si>
    <t>7</t>
  </si>
  <si>
    <t>8 CONV.</t>
  </si>
  <si>
    <t>8 VTOD</t>
  </si>
  <si>
    <t>8 TOD</t>
  </si>
  <si>
    <t>9 CONV.</t>
  </si>
  <si>
    <t>9 VTOD</t>
  </si>
  <si>
    <t>9 TOD</t>
  </si>
  <si>
    <t>12 Non Dmd.</t>
  </si>
  <si>
    <t>12 Dmd.</t>
  </si>
  <si>
    <t>12 VTOD</t>
  </si>
  <si>
    <t>12 TOD</t>
  </si>
  <si>
    <t>13 TOD</t>
  </si>
  <si>
    <t>average of 2018 historic year from CUS</t>
  </si>
  <si>
    <t>9 MAX</t>
  </si>
  <si>
    <t>1 TODS On</t>
  </si>
  <si>
    <t>1 TODS Off</t>
  </si>
  <si>
    <t>1 TODS Total</t>
  </si>
  <si>
    <t>2 TODS On</t>
  </si>
  <si>
    <t>2 TODS Off</t>
  </si>
  <si>
    <t>2 TODS Total</t>
  </si>
  <si>
    <t>7 TODS On</t>
  </si>
  <si>
    <t>7 TODS Off</t>
  </si>
  <si>
    <t>7 TODS Total</t>
  </si>
  <si>
    <t>SC 14 RA</t>
  </si>
  <si>
    <t>Total Company</t>
  </si>
  <si>
    <t>Forecast Total</t>
  </si>
  <si>
    <t>Difference</t>
  </si>
  <si>
    <t>Noted Adjustments (Check)</t>
  </si>
  <si>
    <t>SC 5</t>
  </si>
  <si>
    <t>SC 6</t>
  </si>
  <si>
    <t>SC 13</t>
  </si>
  <si>
    <t>SC 14 Breakout</t>
  </si>
  <si>
    <t>Adjusted Operating Budget Forecast With Splits to Subclasses Not Specified in the Forecast - Energy</t>
  </si>
  <si>
    <t>1 Incl WH &amp;TODS</t>
  </si>
  <si>
    <t>1 TODS</t>
  </si>
  <si>
    <t>1 TODS Rider Z</t>
  </si>
  <si>
    <t>1 Rate IV</t>
  </si>
  <si>
    <t>1 Incl WH Excl TODS</t>
  </si>
  <si>
    <t>1WH</t>
  </si>
  <si>
    <t>1 Excl WH &amp; TODS</t>
  </si>
  <si>
    <t>2 Incl TODS</t>
  </si>
  <si>
    <t>2 TODS</t>
  </si>
  <si>
    <t>2 Excl TODS</t>
  </si>
  <si>
    <t>7 Incl TODS</t>
  </si>
  <si>
    <t>7 TODS</t>
  </si>
  <si>
    <t>7 Excl TODS</t>
  </si>
  <si>
    <t>8 CONV</t>
  </si>
  <si>
    <t>8 TODL</t>
  </si>
  <si>
    <t xml:space="preserve">8 VTOD </t>
  </si>
  <si>
    <t>9 CONV INCL Max</t>
  </si>
  <si>
    <t>9 Max</t>
  </si>
  <si>
    <t>12 Dmd. &amp; Non Dmd</t>
  </si>
  <si>
    <t>Total Forecasted</t>
  </si>
  <si>
    <t>Source for historical data below: Rate Case 2019 Conventional Priceout</t>
  </si>
  <si>
    <t>2017 Historical Year Data</t>
  </si>
  <si>
    <t>SC 1 Rider Z and Rate IV</t>
  </si>
  <si>
    <t>12 Nondemand</t>
  </si>
  <si>
    <t>SC 12 Nondemand Annual kWh</t>
  </si>
  <si>
    <t>SC 1 Noon - 8PM Annual OnPk kWh</t>
  </si>
  <si>
    <t>SC 12 Conventional Annual kWh</t>
  </si>
  <si>
    <t>SC 1 Noon - 8PM  Annual OffPk kWh</t>
  </si>
  <si>
    <t>SC 12 Total Conv &amp; Nondemand Annual kWh</t>
  </si>
  <si>
    <t>SC 1 Noon - 8PM Total Annual kWh</t>
  </si>
  <si>
    <t>SC 12 Nondemand Annual kWh %</t>
  </si>
  <si>
    <t>SC 1 Total Annual kWh Excl TODS</t>
  </si>
  <si>
    <t>SC 1 &amp; 1 TODS Total Annual kWh</t>
  </si>
  <si>
    <t>12 Voluntary</t>
  </si>
  <si>
    <t>SC 12 Voluntary Annual kWh</t>
  </si>
  <si>
    <t>SC 1 TODS Annual kWh  %</t>
  </si>
  <si>
    <t>SC 1 TODS OnPk % of Total TODS Annual kWh</t>
  </si>
  <si>
    <t>SC 9 Max Annual kWhr</t>
  </si>
  <si>
    <t>SC 9 Conv Annual kWh</t>
  </si>
  <si>
    <t>SC 9 Total Conv &amp; Max Annual kWh</t>
  </si>
  <si>
    <t>SC 9 Max Annual kWh %</t>
  </si>
  <si>
    <t>SC 1 &amp; 7 TODS</t>
  </si>
  <si>
    <t>SC 1 TODS Annual OnPk kWh</t>
  </si>
  <si>
    <t>SC 1 TODS Annual OffPk kWh</t>
  </si>
  <si>
    <t>SC 1 TODS Total Annual kWh</t>
  </si>
  <si>
    <t>SC 2 TODS</t>
  </si>
  <si>
    <t>SC 2 TODS Annual OnPk kWh</t>
  </si>
  <si>
    <t>SC 2 TODS Annual OffPk kWh</t>
  </si>
  <si>
    <t>SC 2 TODS Total Annual kWh</t>
  </si>
  <si>
    <t>SC 2 Total Annual kWh Excl TODS</t>
  </si>
  <si>
    <t>SC 2 &amp; 2 TODS Total Annual kWh</t>
  </si>
  <si>
    <t>SC 2 TODS Annual kWh  %</t>
  </si>
  <si>
    <t>SC 2 TODS OnPk % of Total TODS Annual kWh</t>
  </si>
  <si>
    <t>SC 7 TODS</t>
  </si>
  <si>
    <t>SC 7 TODS Annual OnPk kWh</t>
  </si>
  <si>
    <t>NOT USED</t>
  </si>
  <si>
    <t>SC 7 TODS Annual OffPk kWh</t>
  </si>
  <si>
    <t>SC 7 TODS Total Annual kWh</t>
  </si>
  <si>
    <t>SC 7 Total Annual kWh Excl TODS</t>
  </si>
  <si>
    <t>SC 7 &amp; 7 TODS Total Annual kWh</t>
  </si>
  <si>
    <t>SC 7 TODS Annual kWh  %</t>
  </si>
  <si>
    <t>SC 7 TODS OnPk % of Total TODS Annual kWh</t>
  </si>
  <si>
    <t>SC 14 I</t>
  </si>
  <si>
    <t>No kwhrs were forecast for this class nor were any historical data available. We will continue to design a rate by using the same billing determinants as was used last year</t>
  </si>
  <si>
    <t>MW</t>
  </si>
  <si>
    <t>Variance</t>
  </si>
  <si>
    <t>Note:  SC 14 breakdown received fromRev-Vol Forecasting, 9/19/18 - so SC 14 kW is now split between SC 8, 9 and 13</t>
  </si>
  <si>
    <t>Adjusted Operating Budget Forecast With Splits to Subclasses Not Specified in the Forecast - Demand</t>
  </si>
  <si>
    <t>8 TODL &amp; VOL</t>
  </si>
  <si>
    <t>8 VTOD ACTUAL</t>
  </si>
  <si>
    <t>9 TOD &amp; VTOD</t>
  </si>
  <si>
    <t>12 Conv</t>
  </si>
  <si>
    <t>Source for historical data below: Rate Case 2017 Conventional Priceout</t>
  </si>
  <si>
    <t>SC 9 Max Annual kW</t>
  </si>
  <si>
    <t>SC 9 Conv Annual kW</t>
  </si>
  <si>
    <t>SC 9 Total Conv &amp; Max Annual kW</t>
  </si>
  <si>
    <t>SC 9 Max Annual kW %</t>
  </si>
  <si>
    <t>Forecasted kW by Rating Period - Forecast Adjusted kW Split on 2017 Percentages</t>
  </si>
  <si>
    <t>SC</t>
  </si>
  <si>
    <t>Period</t>
  </si>
  <si>
    <t>Transmission</t>
  </si>
  <si>
    <t>Primary</t>
  </si>
  <si>
    <t>Secondary</t>
  </si>
  <si>
    <t>Forecasted Conventional kW by Rating Period for Voluntary TOD Rate Design</t>
  </si>
  <si>
    <t>Percentages Based Upon 2017 Load Research Relationships</t>
  </si>
  <si>
    <t>(These are the same percentages used in Voluntary TOD Delivery Rate Design)</t>
  </si>
  <si>
    <t>8 AM - 6 PM</t>
  </si>
  <si>
    <t>8 AM - 10 PM</t>
  </si>
  <si>
    <t>Source: kW ratios for Conv Classes sheet</t>
  </si>
  <si>
    <t>Forecasted Demands by Rating Period</t>
  </si>
  <si>
    <t>(a) Monthly customer maximium demands for Mon. - Fri. 8 AM to 6 PM summed for the 4 summer months (or 8 winter months) as a percent</t>
  </si>
  <si>
    <t xml:space="preserve">     of the corresponding maximum demands across all days, all hours.</t>
  </si>
  <si>
    <t>(b) Monthly customer maximium demands for Mon. - Fri. 8 AM to 10 PM summed for the 4 summer months (or 8 winter months) as a percent</t>
  </si>
  <si>
    <t>Percent of Registered kW by Rating Period - 2017 Data</t>
  </si>
  <si>
    <t>Summer</t>
  </si>
  <si>
    <t>Winter</t>
  </si>
  <si>
    <t>kW</t>
  </si>
  <si>
    <t>Ratio</t>
  </si>
  <si>
    <t>Registered</t>
  </si>
  <si>
    <t>9 VTOD (Incl SC 4 VTOD)</t>
  </si>
  <si>
    <t>Sources:</t>
  </si>
  <si>
    <t>Forecast TOD kwhrs by Rating Period</t>
  </si>
  <si>
    <t>Time of Day - Large</t>
  </si>
  <si>
    <t>5 TOD Total</t>
  </si>
  <si>
    <t xml:space="preserve">   On Peak</t>
  </si>
  <si>
    <t xml:space="preserve">   Off Peak</t>
  </si>
  <si>
    <t>8 TOD Total</t>
  </si>
  <si>
    <t>9 TOD Total</t>
  </si>
  <si>
    <t>12 TOD Total</t>
  </si>
  <si>
    <t>13 TOD Total</t>
  </si>
  <si>
    <t>Total TODL</t>
  </si>
  <si>
    <t>Voluntary With Conventional</t>
  </si>
  <si>
    <t>For Rate Design</t>
  </si>
  <si>
    <t>8 VTOD &amp; Conv Total</t>
  </si>
  <si>
    <t>9 VTOD &amp; Conv Total</t>
  </si>
  <si>
    <t>12 VTOD &amp; Conv Total</t>
  </si>
  <si>
    <t>Total VTOD + Conv</t>
  </si>
  <si>
    <t>Actual Voluntary kWhrs</t>
  </si>
  <si>
    <t xml:space="preserve">12 VTOD </t>
  </si>
  <si>
    <t>Total Actual Voluntary</t>
  </si>
  <si>
    <t xml:space="preserve">  On Peak</t>
  </si>
  <si>
    <t xml:space="preserve">  Off Peak</t>
  </si>
  <si>
    <t>TOD On and Off Peak kWh Ratios - 2017 Data</t>
  </si>
  <si>
    <t>Total</t>
  </si>
  <si>
    <t>On Peak</t>
  </si>
  <si>
    <t>Off peak</t>
  </si>
  <si>
    <t>Off</t>
  </si>
  <si>
    <t>5 TOD kWh</t>
  </si>
  <si>
    <t>8 TOD kWh</t>
  </si>
  <si>
    <t>8 Vol kWh</t>
  </si>
  <si>
    <t>8 Conv kWh</t>
  </si>
  <si>
    <t>8 Vol &amp; Conv</t>
  </si>
  <si>
    <t>9 TOD kWh</t>
  </si>
  <si>
    <t>9 Vol kWh</t>
  </si>
  <si>
    <t>9 Conv kWh</t>
  </si>
  <si>
    <t>9 Vol &amp; Conv</t>
  </si>
  <si>
    <t>12 TOD kWh</t>
  </si>
  <si>
    <t>12 Vol kWh</t>
  </si>
  <si>
    <t>12 Conv kWh</t>
  </si>
  <si>
    <t>12 Vol &amp; Conv</t>
  </si>
  <si>
    <t>13 TOD kWh</t>
  </si>
  <si>
    <t>Rate Case 2019 TOD Priceouts</t>
  </si>
  <si>
    <t>Rate Case 2019 Conventional Priceout</t>
  </si>
  <si>
    <t>ECOS On and Off Peak % 2017</t>
  </si>
  <si>
    <t>TOTAL TODL</t>
  </si>
  <si>
    <t>TOTAL VOLUNTARY</t>
  </si>
  <si>
    <t>TOTAL VOL &amp; CONV</t>
  </si>
  <si>
    <t>TOTAL ACTUAL VOL</t>
  </si>
  <si>
    <t>TOTAL VOL + CONV</t>
  </si>
  <si>
    <t xml:space="preserve">Calculation of seasonal on &amp; off peak % for SC 1, SC 2, and SC 7 TODS  </t>
  </si>
  <si>
    <t>Based on kwhs shown in rate case tods rate designs</t>
  </si>
  <si>
    <t>data</t>
  </si>
  <si>
    <t>SC 1 TODS Rate II</t>
  </si>
  <si>
    <t xml:space="preserve">1 1wh &amp; 1tods </t>
  </si>
  <si>
    <t xml:space="preserve">summer </t>
  </si>
  <si>
    <t>on</t>
  </si>
  <si>
    <t>kwhs</t>
  </si>
  <si>
    <t>off</t>
  </si>
  <si>
    <t>Add (SC 1 non-LI + SC 1 LI) * On/off peak ratio, then add SC 1 TODS on peak kwh</t>
  </si>
  <si>
    <t xml:space="preserve">winter </t>
  </si>
  <si>
    <t>annual</t>
  </si>
  <si>
    <t>SC 2 TODS Rate II</t>
  </si>
  <si>
    <t xml:space="preserve">2 &amp; 2tods </t>
  </si>
  <si>
    <t xml:space="preserve">7 &amp; 7tods </t>
  </si>
  <si>
    <t>** Assumption: SCs 1 and 7 are using the "residential voluntary tariff" line from On Off Peak sheet rather than the "residential" line.</t>
  </si>
  <si>
    <t>Rate Case 2015 Conventional Priceout</t>
  </si>
  <si>
    <t>ECOS On and Off Peak % 2013</t>
  </si>
  <si>
    <t>MSC Rate Design Tables</t>
  </si>
  <si>
    <t>Table</t>
  </si>
  <si>
    <t xml:space="preserve">MSC Rate Design Tables </t>
  </si>
  <si>
    <t>Number</t>
  </si>
  <si>
    <t>Page(s)</t>
  </si>
  <si>
    <t>Development of Capacity Price Estimates for Capability Period</t>
  </si>
  <si>
    <t>Table 1</t>
  </si>
  <si>
    <t xml:space="preserve">Development of System Capacity Market Supply Charge per kWhr or kW by SC </t>
  </si>
  <si>
    <t>Table 2</t>
  </si>
  <si>
    <t xml:space="preserve">Development of Monthly Capacity Market Supply Charge for Rider M </t>
  </si>
  <si>
    <t>Table 3</t>
  </si>
  <si>
    <t>Input Data Tables</t>
  </si>
  <si>
    <t>NYISO Strip Auction Capacity Prices</t>
  </si>
  <si>
    <t>Table A-1</t>
  </si>
  <si>
    <t>NYISO Monthly Capacity Prices</t>
  </si>
  <si>
    <t>Table A-2</t>
  </si>
  <si>
    <t>NYISO ICAP and UCAP Calculations</t>
  </si>
  <si>
    <t>Table A-3</t>
  </si>
  <si>
    <t>NYISO ICAP Market Report</t>
  </si>
  <si>
    <t>Table A-4</t>
  </si>
  <si>
    <t>Forecasted Capacity</t>
  </si>
  <si>
    <t>May 2011 - October 2011</t>
  </si>
  <si>
    <t>November 2011 - April 2012</t>
  </si>
  <si>
    <t>May 2012 - October 2012</t>
  </si>
  <si>
    <t>November 2012 - April 2013</t>
  </si>
  <si>
    <t>May 2013 - October 2013</t>
  </si>
  <si>
    <t>November 2013 - April 2014</t>
  </si>
  <si>
    <t>May 2014 - October 2014</t>
  </si>
  <si>
    <t>November 2014 - April 2015</t>
  </si>
  <si>
    <t>May 2015 - October 2015</t>
  </si>
  <si>
    <t>November 2015 - April 2016</t>
  </si>
  <si>
    <t>May 2016 - October 2016</t>
  </si>
  <si>
    <t>November 2016 - April 2017</t>
  </si>
  <si>
    <t>May 2017 - October 2017</t>
  </si>
  <si>
    <t>November 2017 - April 2018</t>
  </si>
  <si>
    <t>May 2018 - October 2018</t>
  </si>
  <si>
    <t>November 2018 - April 2019</t>
  </si>
  <si>
    <t>May 2019 - October 2019</t>
  </si>
  <si>
    <t>November 2019 - April 2020</t>
  </si>
  <si>
    <t>May 2020 - October 2020</t>
  </si>
  <si>
    <t>November 2020 - April 2021</t>
  </si>
  <si>
    <t>NOTES</t>
  </si>
  <si>
    <t>The forecasted capacity estimates use the forecast from energy mgmt</t>
  </si>
  <si>
    <t>Assumptions</t>
  </si>
  <si>
    <t>These do not get derating and excess applied since Energy Mgmt's numbers already include them</t>
  </si>
  <si>
    <t>When developing the estimate for the next effective capacity</t>
  </si>
  <si>
    <t>NYISO Reserve Margin</t>
  </si>
  <si>
    <t>Use NYISO Market Price and apply derating in rows 25-27</t>
  </si>
  <si>
    <t>In City Capacity Requirement</t>
  </si>
  <si>
    <t>Use NYISO to get excess % and apply those in rows 41-43</t>
  </si>
  <si>
    <t>LHV Capacity Requirement</t>
  </si>
  <si>
    <t>For future periods use the Energy Mgmt forecast and do not apply excess and derating</t>
  </si>
  <si>
    <t xml:space="preserve">Percentage Distribution </t>
  </si>
  <si>
    <t>In-City</t>
  </si>
  <si>
    <t>Westchester</t>
  </si>
  <si>
    <t>ICAP Market Prices ($/kw - Month)</t>
  </si>
  <si>
    <t>In City</t>
  </si>
  <si>
    <t>LHV</t>
  </si>
  <si>
    <t>ROS</t>
  </si>
  <si>
    <t>Effective ICAP Market Prices ($/kw - 6 Month Period)</t>
  </si>
  <si>
    <t>New York City Capacity Price Computation</t>
  </si>
  <si>
    <t>In City Percentage</t>
  </si>
  <si>
    <t>LHV Percentage</t>
  </si>
  <si>
    <t>ROS Percentage</t>
  </si>
  <si>
    <t>% Cleared Above Requirements (NYISO Website)</t>
  </si>
  <si>
    <t>In City Price Contribution ($/kW)</t>
  </si>
  <si>
    <t>LHV Price Contribution ($/kW)</t>
  </si>
  <si>
    <t>ROS Price Contribution ($/kW)</t>
  </si>
  <si>
    <t>New York City Price Excluding Losses</t>
  </si>
  <si>
    <t>Loss Factor</t>
  </si>
  <si>
    <t>New York City Rate at Customer</t>
  </si>
  <si>
    <t>Westchester Capacity Price Computation</t>
  </si>
  <si>
    <t>Westchester Price Excluding Losses</t>
  </si>
  <si>
    <t>Westchester Rate at Customer</t>
  </si>
  <si>
    <t>Weighted Average Service Area Price at Customer</t>
  </si>
  <si>
    <t>Development of System Capacity Market Supply Charge Per kWhr or kW by Service Classification and Capability Period</t>
  </si>
  <si>
    <t>Summer Capability Period</t>
  </si>
  <si>
    <t>NYC</t>
  </si>
  <si>
    <t>Capacity</t>
  </si>
  <si>
    <t>Capability Revenue Requirement</t>
  </si>
  <si>
    <t>Capability Period</t>
  </si>
  <si>
    <t>Price Per</t>
  </si>
  <si>
    <t>New York City</t>
  </si>
  <si>
    <t>Kwhr/kW</t>
  </si>
  <si>
    <t>(May - Oct)</t>
  </si>
  <si>
    <t>(May - Oct) *</t>
  </si>
  <si>
    <t>(May - Oct) **</t>
  </si>
  <si>
    <t>Estimated Cost of Peaking Capacity</t>
  </si>
  <si>
    <t>Per kw/Per Capability Period  (Incl Losses)</t>
  </si>
  <si>
    <t>Billing Data Incl in Calc</t>
  </si>
  <si>
    <t>1-Hour System Peak Responsibility</t>
  </si>
  <si>
    <t>1 Incl WH</t>
  </si>
  <si>
    <t>1+1 TODS</t>
  </si>
  <si>
    <t>2 + 2 TODS</t>
  </si>
  <si>
    <t>5 CONV</t>
  </si>
  <si>
    <t>5 Conv</t>
  </si>
  <si>
    <t>7 + 7 TODS</t>
  </si>
  <si>
    <t>8 Conventional</t>
  </si>
  <si>
    <t>8 + 8 Vol kW (Total Vol kW)</t>
  </si>
  <si>
    <t>9 Conventional</t>
  </si>
  <si>
    <t>9 + 9 Vol kW (Total Vol kW)</t>
  </si>
  <si>
    <t>9 Max *</t>
  </si>
  <si>
    <t>12 Energy Only Conventional</t>
  </si>
  <si>
    <t>12 Non demand</t>
  </si>
  <si>
    <t>12 Conventional</t>
  </si>
  <si>
    <t>12 Conv + 12 Vol kW (Total Vol kW)</t>
  </si>
  <si>
    <t>1 TODS (On Peak kWhrs Only)</t>
  </si>
  <si>
    <t>1 (On Peak) + 1TODS (On Peak)</t>
  </si>
  <si>
    <t>1 Rider Z</t>
  </si>
  <si>
    <t>1 (On Peak) + 1 RIDER Z (On Peak)</t>
  </si>
  <si>
    <t>2 TODS (On Peak kWhrs Only)</t>
  </si>
  <si>
    <t>2 (On Peak) + 2 TODS (On Peak)</t>
  </si>
  <si>
    <t>7 TODS (On Peak kWhrs Only)</t>
  </si>
  <si>
    <t>7 (On Peak) + 7 TODS (On Peak)</t>
  </si>
  <si>
    <t>8 Voluntary TOD</t>
  </si>
  <si>
    <t>8 Conv + 8 Vol (Both by Rating Period)</t>
  </si>
  <si>
    <t>9 Voluntary TOD</t>
  </si>
  <si>
    <t>9 Conv + 9 Vol (Both by Rating Period)</t>
  </si>
  <si>
    <t>12 Voluntary TOD</t>
  </si>
  <si>
    <t>12 Conv (By Rating Period)</t>
  </si>
  <si>
    <t>12 Energy Only TODS (On Peak kWhrs Only)</t>
  </si>
  <si>
    <t>1 VTOU</t>
  </si>
  <si>
    <t>1 (Super Peak)</t>
  </si>
  <si>
    <t>VDER Alternative 1 Capacity</t>
  </si>
  <si>
    <t>9 + 9 Vol kWh (Total Vol kWh)</t>
  </si>
  <si>
    <t>Winter Capability Period</t>
  </si>
  <si>
    <t>(Nov - Apr)</t>
  </si>
  <si>
    <t>1+1 WH+1 TODS</t>
  </si>
  <si>
    <t>Note: Worksheet updated with 2017 load research data</t>
  </si>
  <si>
    <t>Note: Data automaticaly updated from the Adj Sales Forecast, TOD OnOff kWh Ratios worksheets</t>
  </si>
  <si>
    <t>Effective February 1, 2020 Rider Z</t>
  </si>
  <si>
    <t>Note:  Schedule data based on 2017 load research data</t>
  </si>
  <si>
    <t>Note: Convert sales forecast  MWh to KWh</t>
  </si>
  <si>
    <t>Note: Convert sales forecast  GWh to KWh</t>
  </si>
  <si>
    <t>Prior Eff ICAP Prices</t>
  </si>
  <si>
    <t>Total+IRM</t>
  </si>
  <si>
    <t>NYC LCR</t>
  </si>
  <si>
    <t>LHV LCR</t>
  </si>
  <si>
    <t>Losses</t>
  </si>
  <si>
    <t>NYC w/ IRM &amp; Losses</t>
  </si>
  <si>
    <t>West w/Losses</t>
  </si>
  <si>
    <t>ICAP Tags</t>
  </si>
  <si>
    <t>Revenue Requirement</t>
  </si>
  <si>
    <t>Sales</t>
  </si>
  <si>
    <t>Super peak %</t>
  </si>
  <si>
    <t>Capability Period Sales</t>
  </si>
  <si>
    <t>Calendar Year Capacity</t>
  </si>
  <si>
    <t>SC 1</t>
  </si>
  <si>
    <t>SC 2</t>
  </si>
  <si>
    <t>SC 1 NYC</t>
  </si>
  <si>
    <t>SC 1 West</t>
  </si>
  <si>
    <t>SC 2 NYC</t>
  </si>
  <si>
    <t>SC 2 West</t>
  </si>
  <si>
    <t>SC 1 incl TODS</t>
  </si>
  <si>
    <t>SC 2 incl TODS</t>
  </si>
  <si>
    <t>Historical rates - NYC</t>
  </si>
  <si>
    <t>Historical rates - Westchester</t>
  </si>
  <si>
    <t>West</t>
  </si>
  <si>
    <t>Ascending</t>
  </si>
  <si>
    <t>Descending</t>
  </si>
  <si>
    <t>MSC</t>
  </si>
  <si>
    <t>Month</t>
  </si>
  <si>
    <t>MAC</t>
  </si>
  <si>
    <t>Development of System Energy Market Supply Charge Per kWhr by Month</t>
  </si>
  <si>
    <t>18 Months Starting November - SC 1 - For Level Billing</t>
  </si>
  <si>
    <t xml:space="preserve">Forecasted Market Energy Prices (1) </t>
  </si>
  <si>
    <t>Total Energy Price Including Losses (2)</t>
  </si>
  <si>
    <t>Selections for Level Billing</t>
  </si>
  <si>
    <t>Off Peak</t>
  </si>
  <si>
    <t>Transco</t>
  </si>
  <si>
    <t>Ancillary Services</t>
  </si>
  <si>
    <t>NTAC</t>
  </si>
  <si>
    <t>Total On Peak Price Including Losses</t>
  </si>
  <si>
    <t>Total Off Peak Price Including Losses</t>
  </si>
  <si>
    <t>Class On Peak Factor</t>
  </si>
  <si>
    <t>Class Off Peak Factor</t>
  </si>
  <si>
    <t>Energy Rate</t>
  </si>
  <si>
    <t>Total MSC</t>
  </si>
  <si>
    <t>Variation</t>
  </si>
  <si>
    <t>Source</t>
  </si>
  <si>
    <t>= requires manual replacement</t>
  </si>
  <si>
    <t>(1)</t>
  </si>
  <si>
    <t>(2)</t>
  </si>
  <si>
    <t>The Total Energy Price Including Losses is equal to the sum of the Forecasted Market Price, Transco, Ancillary Services and NTAC prices increased by a factor of 1.063 for losses.</t>
  </si>
  <si>
    <t>Capacity for SC 1 - 18 mos for level billing</t>
  </si>
  <si>
    <t>Cap Tags</t>
  </si>
  <si>
    <t>Capability Rev Reqt</t>
  </si>
  <si>
    <t>Capability Period kWh</t>
  </si>
  <si>
    <t>Capacity $/kWh</t>
  </si>
  <si>
    <t>May2014-Oct2014</t>
  </si>
  <si>
    <t>Nov2014-Apr2015</t>
  </si>
  <si>
    <t>May2015-Oct2015</t>
  </si>
  <si>
    <t>Nov2015-Apr2016</t>
  </si>
  <si>
    <t>May2016-Oct2016</t>
  </si>
  <si>
    <t>Nov2016-Apr2017</t>
  </si>
  <si>
    <t>May2020-Oct2020</t>
  </si>
  <si>
    <t>Nov2020-Apr2021</t>
  </si>
  <si>
    <t>MSC kwh rate estimates for rate adjustment group</t>
  </si>
  <si>
    <t>Forecast Inputs</t>
  </si>
  <si>
    <t>OnPk NYC</t>
  </si>
  <si>
    <t>OffPk NYC</t>
  </si>
  <si>
    <t>OnPk West</t>
  </si>
  <si>
    <t>OffPk West</t>
  </si>
  <si>
    <t>Ancillary</t>
  </si>
  <si>
    <t>OnPk factor</t>
  </si>
  <si>
    <t>OffPk factor</t>
  </si>
  <si>
    <t>Cap only</t>
  </si>
  <si>
    <t>Energy w/o Anc&amp;NTAC&amp;TfC</t>
  </si>
  <si>
    <t>SC 9 NYC</t>
  </si>
  <si>
    <t>Update only for capacity rate changes</t>
  </si>
  <si>
    <t>Directory of MAC Rate Design Tables</t>
  </si>
  <si>
    <t>Development of MAC Rate</t>
  </si>
  <si>
    <t xml:space="preserve">Development of System Capacity Market Supply Charge per kwhr by SC </t>
  </si>
  <si>
    <t>Development of Energy MSC by SC and Month - Energy Only Classes</t>
  </si>
  <si>
    <t>Table 4</t>
  </si>
  <si>
    <t>Development of Energy MSC by SC and Month - Time of Day Small Classes</t>
  </si>
  <si>
    <t>Table 5</t>
  </si>
  <si>
    <t>Development of Energy MSC by SC and Month - Conventional Demand Classes</t>
  </si>
  <si>
    <t>Table 6</t>
  </si>
  <si>
    <t>Development of Energy MSC by SC and Month - Energy - TOD Classes</t>
  </si>
  <si>
    <t>Table 8</t>
  </si>
  <si>
    <t xml:space="preserve">MAC Standby Rate Design Tables </t>
  </si>
  <si>
    <t>Priceout of MAC Rates by Class - July 2015</t>
  </si>
  <si>
    <t>Priceout of NYC and Westchester Conventional, TOD and VTOD</t>
  </si>
  <si>
    <t xml:space="preserve">  MAC Revenues - March 2010</t>
  </si>
  <si>
    <t xml:space="preserve">  MAC Revenues  - April 2010</t>
  </si>
  <si>
    <t>Development of SC 14-RA MAC Factors SC 4 Rates I &amp; III</t>
  </si>
  <si>
    <t>Development of SC 14-RA MAC Factors SC 4 Rate II</t>
  </si>
  <si>
    <t xml:space="preserve">Development of Monthly Standby MAC Factor - SC 5 Rate III </t>
  </si>
  <si>
    <t>Development of Monthly Standby MAC Factor - SC 5 Rate IV</t>
  </si>
  <si>
    <t>Development of Monthly Standby MAC Factor - SC 8 Rate IV</t>
  </si>
  <si>
    <t>Development of Monthly Standby MAC Factor - SC 8 Rate V</t>
  </si>
  <si>
    <t>Development of Monthly Standby MAC Factor - SC 9 Rate IV</t>
  </si>
  <si>
    <t>Table 7</t>
  </si>
  <si>
    <t>Development of Monthly Standby MAC Factor - SC 9 Rate V</t>
  </si>
  <si>
    <t>Development of Monthly Standby MAC Factor - SC 12 Rate IV</t>
  </si>
  <si>
    <t>Table 9</t>
  </si>
  <si>
    <t>Development of Monthly Standby MAC Factor - SC 12 Rate V</t>
  </si>
  <si>
    <t>Table 10</t>
  </si>
  <si>
    <t>Development of Monthly Standby MAC Factor - SC 13 Rate II</t>
  </si>
  <si>
    <t>Table 11</t>
  </si>
  <si>
    <t xml:space="preserve">New York City Energy, Ancillary Services, NTAC and Capacity Prices </t>
  </si>
  <si>
    <t>Westchester Energy, Ancillary Services, NTAC and Capacity Prices</t>
  </si>
  <si>
    <t>Embedded Costs for Recovery in the MAC</t>
  </si>
  <si>
    <t>NUG Total Capacity Cost Data by NUG</t>
  </si>
  <si>
    <t>Net Energy and Capacity Revenues</t>
  </si>
  <si>
    <t>Monthly Cost to the MAC by Demand Response Program</t>
  </si>
  <si>
    <t>Projection of Smart Grid Related Costs to be Recovered through the MAC</t>
  </si>
  <si>
    <t>Table A-5</t>
  </si>
  <si>
    <t>Projection of PJM OATT Costs to be Recovered through the MAC</t>
  </si>
  <si>
    <t>Projection of Indian Point Energy Center Incentive Costs to be Recovered through the MAC</t>
  </si>
  <si>
    <t>Table A-6</t>
  </si>
  <si>
    <t>Monthly Cost to the MAC by Earnings Adjustment Mechanism Incentive</t>
  </si>
  <si>
    <t>Table A-7</t>
  </si>
  <si>
    <t>Retained Generation</t>
  </si>
  <si>
    <t>Rents - 59th Street and 74th Street</t>
  </si>
  <si>
    <t>Total NUG Capacity Cost</t>
  </si>
  <si>
    <t>ERRP</t>
  </si>
  <si>
    <t>Demand Response</t>
  </si>
  <si>
    <t>Smart Grid</t>
  </si>
  <si>
    <t>PJM Firm Transmission Contract</t>
  </si>
  <si>
    <t>IPEC Incentive</t>
  </si>
  <si>
    <t>BQDM</t>
  </si>
  <si>
    <t>EAMs</t>
  </si>
  <si>
    <t>Total MAC Costs</t>
  </si>
  <si>
    <t>Less: Net Energy and Capacity Revenue</t>
  </si>
  <si>
    <t xml:space="preserve">Dollars to be Collected in MAC </t>
  </si>
  <si>
    <t>Total Forecasted kWhrs</t>
  </si>
  <si>
    <t>Estimated MAC Rate</t>
  </si>
  <si>
    <t>(Input)</t>
  </si>
  <si>
    <t>(6)</t>
  </si>
  <si>
    <t>(8)</t>
  </si>
  <si>
    <t>TDSM &amp; DR</t>
  </si>
  <si>
    <t>1 (On Peak) + 1 R IV (On Peak)</t>
  </si>
  <si>
    <t>Click below link for NYISO strip updates</t>
  </si>
  <si>
    <t>http://icap.nyiso.com/ucap/public/auc_view_strip_selection.do</t>
  </si>
  <si>
    <t>May 2010 - October 2010</t>
  </si>
  <si>
    <t>Variance ($)</t>
  </si>
  <si>
    <t>Variance (%)</t>
  </si>
  <si>
    <t>In city capacity requirement also increase</t>
  </si>
  <si>
    <t>ICAP Market Price was based on forecast prior to May 2019</t>
  </si>
  <si>
    <t>G-J Locality</t>
  </si>
  <si>
    <t>NYCA</t>
  </si>
  <si>
    <t>Increase in NYC primarily due to the Indian Point 2 (in zone H) retirement.  Cricket Valleys was put in place in zone G to help replace Indian Point 2, due to transmition constrain in 2 different zones, NYC has big increase in capacity and Westchester has decrease in capacity.</t>
  </si>
  <si>
    <t>Same as above</t>
  </si>
  <si>
    <t>Decrease due to the increase of capacity requirements and the retirement of Somerset (a 686MW coal plant in upstate).</t>
  </si>
  <si>
    <r>
      <t>Forecasted Market Prices based upon 04</t>
    </r>
    <r>
      <rPr>
        <b/>
        <sz val="8"/>
        <color rgb="FF0000FF"/>
        <rFont val="Arial"/>
        <family val="2"/>
      </rPr>
      <t>/07/20</t>
    </r>
    <r>
      <rPr>
        <b/>
        <sz val="8"/>
        <rFont val="Arial"/>
        <family val="2"/>
      </rPr>
      <t xml:space="preserve"> Forecast</t>
    </r>
  </si>
  <si>
    <t>May 2021 - October 2021</t>
  </si>
  <si>
    <t>ICAP Market Price Comparison:  May-Oct 2019 vs. May-Oct 2020</t>
  </si>
  <si>
    <t>May2021-Oct2021</t>
  </si>
  <si>
    <t>Capacity Price Forecasted for May 21 - Oct 22 is not accurate for WEST(from the forecasting group)</t>
  </si>
  <si>
    <t>Priceout of New York City MAC and MSC Rates by Class</t>
  </si>
  <si>
    <t>NEW YORK CITY</t>
  </si>
  <si>
    <t>WESTCHESTER</t>
  </si>
  <si>
    <t>TOTAL SYSTEM</t>
  </si>
  <si>
    <t>Energy Rates</t>
  </si>
  <si>
    <t>NYC MSC Revenues</t>
  </si>
  <si>
    <t>NYC MAC Revenues</t>
  </si>
  <si>
    <t>Westchester MSC Revenues</t>
  </si>
  <si>
    <t>Westchester MAC Revenues</t>
  </si>
  <si>
    <t>MSC Revenues</t>
  </si>
  <si>
    <t>MAC Revenues</t>
  </si>
  <si>
    <t>Class</t>
  </si>
  <si>
    <t>kWhrs</t>
  </si>
  <si>
    <t>Energy</t>
  </si>
  <si>
    <t>1 TODS On Peak</t>
  </si>
  <si>
    <t>1 TODS Off Peak</t>
  </si>
  <si>
    <t>2 TODS On Peak</t>
  </si>
  <si>
    <t>2 TODS Off Peak</t>
  </si>
  <si>
    <t>7 TODS On Peak</t>
  </si>
  <si>
    <t>7 TODS Off Peak</t>
  </si>
  <si>
    <t>12 Energy Only</t>
  </si>
  <si>
    <t>5 Conventional</t>
  </si>
  <si>
    <t>8 VTOD On Peak</t>
  </si>
  <si>
    <t>8 VTOD Off Peak</t>
  </si>
  <si>
    <t>9 VTOD On Peak</t>
  </si>
  <si>
    <t>9 VTOD Off Peak</t>
  </si>
  <si>
    <t>12 VTOD On Peak</t>
  </si>
  <si>
    <t>12 VTOD Off Peak</t>
  </si>
  <si>
    <t>5 TOD On Peak</t>
  </si>
  <si>
    <t>5 TOD Off Peak</t>
  </si>
  <si>
    <t>8 TOD On Peak</t>
  </si>
  <si>
    <t>8 TOD Off Peak</t>
  </si>
  <si>
    <t>9 TOD On Peak</t>
  </si>
  <si>
    <t>9 TOD Off Peak</t>
  </si>
  <si>
    <t>12 TOD On Peak</t>
  </si>
  <si>
    <t>12 TOD Off Peak</t>
  </si>
  <si>
    <t>13 TOD On Peak</t>
  </si>
  <si>
    <t>13 TOD Off Peak</t>
  </si>
  <si>
    <t>This file linked to file MSCMAC_MASTER_Apr20</t>
  </si>
  <si>
    <t>Note: there is a difference of $3M for the total of Nov 16-Ap 17 comparing to the level billing file 4/20/2020</t>
  </si>
  <si>
    <t>Note: Only the yellow highlighted cells were updated for May's level billing</t>
  </si>
  <si>
    <t>since the prior period data does not affect May 20 - July 20 level billing,</t>
  </si>
  <si>
    <t>no changes were made for data prior to May 20.</t>
  </si>
  <si>
    <t>NYPA</t>
  </si>
  <si>
    <t>Total (including NYPA)</t>
  </si>
  <si>
    <t>1 VTOU Rate III</t>
  </si>
  <si>
    <t>1 TODS (On Peak kWhrs Only) Rate II</t>
  </si>
  <si>
    <t xml:space="preserve">SC1 NYC </t>
  </si>
  <si>
    <t>Variance(%)</t>
  </si>
  <si>
    <t>Capacity Tag (kW)</t>
  </si>
  <si>
    <t>Unmitigated Rate</t>
  </si>
  <si>
    <t>NYISO Strip Price Auction (6 months)</t>
  </si>
  <si>
    <t>Note: worksheet updated with 2021 operating budget forecast</t>
  </si>
  <si>
    <t>This tab is automatically updated after the sales forecast tab is updated</t>
  </si>
  <si>
    <t>This tab is automatically updated after the adj demand forecast tab is updated</t>
  </si>
  <si>
    <t>This tab is updated on every new rate case</t>
  </si>
  <si>
    <t>With Old Method (wo excess)</t>
  </si>
  <si>
    <t>Forecast as of 9/8/20</t>
  </si>
  <si>
    <t>2019 historical data from CUS</t>
  </si>
  <si>
    <t>Demand Forecast Based On 2021 Operating Budget Forecast</t>
  </si>
  <si>
    <t>The sales forecast was used on the RDM, 5 year budget and in this file</t>
  </si>
  <si>
    <t>Extension May21-Oct21. Not usually part of Winter bill impacts</t>
  </si>
  <si>
    <t>Based on UCAP Price</t>
  </si>
  <si>
    <t>Capacity Rate- Market Price</t>
  </si>
  <si>
    <t>Capacity Rate- UCAP Price</t>
  </si>
  <si>
    <t>Derating Factor</t>
  </si>
  <si>
    <t>G-L Locality</t>
  </si>
  <si>
    <t>Reserved Margin</t>
  </si>
  <si>
    <t>SC9 Conventional w/o rounding</t>
  </si>
  <si>
    <t>SC9 Vol TOD w/o rounding</t>
  </si>
  <si>
    <t>with out rounding it would be $0.004329 difference</t>
  </si>
  <si>
    <t>Note: this month SC9 Conventional and SC 9 Vol TOD rates are the same due to rounding to 2 digits.</t>
  </si>
  <si>
    <t>Row 5 is updated with October's data 10/19</t>
  </si>
  <si>
    <t>November 2021 - April 2022</t>
  </si>
  <si>
    <t>Note: 1 VTOU or super peak is not applicable in the winter months.  Previously we had N/A in the rates, per Operation's request, we are changing N/A to zero value going forward (11/2/2020)</t>
  </si>
  <si>
    <t>∑ (1)-(5)</t>
  </si>
  <si>
    <t>(6) - (7)</t>
  </si>
  <si>
    <t>(9)/(8)</t>
  </si>
  <si>
    <t>MAC Rate Forecast for Summer Bill Impact</t>
  </si>
  <si>
    <t>Below data was used for winter bill impact in the summer bill impact analysis</t>
  </si>
  <si>
    <t>Check</t>
  </si>
  <si>
    <t>Mitigated Revenue from May 2020</t>
  </si>
  <si>
    <t>Summer Estimated</t>
  </si>
  <si>
    <t>Full Service &amp; Retail</t>
  </si>
  <si>
    <t>Consolidated Edison, Inc.</t>
  </si>
  <si>
    <t>Service Class 1 NYC Residential</t>
  </si>
  <si>
    <t>Capacity Deferral</t>
  </si>
  <si>
    <t>Full Service (69%)</t>
  </si>
  <si>
    <t>Winter Recovery (Nov 20 - Apr 21)</t>
  </si>
  <si>
    <t>Mitigated Revenue from Accounting - Principle</t>
  </si>
  <si>
    <t>Accumulated interested as of Feb 21</t>
  </si>
  <si>
    <t xml:space="preserve">Total </t>
  </si>
  <si>
    <t>Total recovery as of Feb 21</t>
  </si>
  <si>
    <t>Total deferral including interest as of Feb 21</t>
  </si>
  <si>
    <t>Winter Estimated</t>
  </si>
  <si>
    <t>Winter 2020 - 2021</t>
  </si>
  <si>
    <t>Summer 2021</t>
  </si>
  <si>
    <t>decrease of</t>
  </si>
  <si>
    <t>NYISO strips updarted 4/1</t>
  </si>
  <si>
    <t>plus March 21 trip 17</t>
  </si>
  <si>
    <t>Last summer rates</t>
  </si>
  <si>
    <t>Including Derating Factor</t>
  </si>
  <si>
    <t>Collection from Accounting</t>
  </si>
  <si>
    <t>Net deferral including  interest up to Feb 21</t>
  </si>
  <si>
    <t>Below screen shot of Deferral up to March Trip 17 from Don</t>
  </si>
  <si>
    <t>21-Mar</t>
  </si>
  <si>
    <t>Mitigate Revenue</t>
  </si>
  <si>
    <t>NYC rate * Tag except SC1</t>
  </si>
  <si>
    <t>West Tag * Rate</t>
  </si>
  <si>
    <t>Below screen shot of Deferral up to March Trip 21 from Don</t>
  </si>
  <si>
    <t>Trip 21</t>
  </si>
  <si>
    <r>
      <t xml:space="preserve">This is through March 2021 trip 21 </t>
    </r>
    <r>
      <rPr>
        <b/>
        <i/>
        <sz val="11"/>
        <rFont val="Arial"/>
        <family val="2"/>
      </rPr>
      <t xml:space="preserve">without </t>
    </r>
    <r>
      <rPr>
        <sz val="11"/>
        <rFont val="Arial"/>
        <family val="2"/>
      </rPr>
      <t>interest</t>
    </r>
  </si>
  <si>
    <t>Trip 17</t>
  </si>
  <si>
    <t>SC1 NYC Rate</t>
  </si>
  <si>
    <t>April Sales forecast</t>
  </si>
  <si>
    <t>Forecasted def.</t>
  </si>
  <si>
    <t>Total sales (kWh)</t>
  </si>
  <si>
    <t>(full service)</t>
  </si>
  <si>
    <t>Forecasted April sales</t>
  </si>
  <si>
    <t>Recovery rate</t>
  </si>
  <si>
    <t xml:space="preserve">April sales forecast is based </t>
  </si>
  <si>
    <t>on 2020 April actual</t>
  </si>
  <si>
    <t>SC 7</t>
  </si>
  <si>
    <t>2020 EAM is included in the forecast</t>
  </si>
  <si>
    <t>* May - Oct for all classes except SC 1 VTOU, which is Nov 2020 - Oct 2021</t>
  </si>
  <si>
    <t>Var (%)</t>
  </si>
  <si>
    <t>Var ($)</t>
  </si>
  <si>
    <t>Capacity Rates</t>
  </si>
  <si>
    <t>Summer Strip Auction Price</t>
  </si>
  <si>
    <t>1 SHR Rate I ***</t>
  </si>
  <si>
    <t>1 SHR Rate I</t>
  </si>
  <si>
    <t>Capacity Price Forecasted from Energy Efficiency Group for (Nov 21 - Apr 22)  LHV and ROS prices were too high and does not make sense</t>
  </si>
  <si>
    <t>*** Charges are applicable for Critical Peak Generation Capacity Events, Jun - Sept</t>
  </si>
  <si>
    <t>** May - Oct for all classes except SC 1 VTOU, which is Jun - Sept</t>
  </si>
  <si>
    <t xml:space="preserve">Confirmed with Candice, 1 SHR Rate II rates has zero customers as of April and the Company will not enroll customer in this rate in the </t>
  </si>
  <si>
    <t>Below data was used for late payment fee recovery</t>
  </si>
  <si>
    <t>foreseeable future.  1 SHR Rates II rate will not be on the statement.</t>
  </si>
  <si>
    <t>Data not available in the NYISO website for October 2021, use prior year October 2020 for periods for Nov 21 - Apr 22</t>
  </si>
  <si>
    <t>Adjusted Sales 2019</t>
  </si>
  <si>
    <t>Forecast as of 9/7/21</t>
  </si>
  <si>
    <t>Actuals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</si>
</sst>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6">
    <numFmt numFmtId="5" formatCode="&quot;$&quot;#,##0_);\(&quot;$&quot;#,##0\)"/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#,##0.0_);\(#,##0.0\)"/>
    <numFmt numFmtId="166" formatCode="#,##0.000_);\(#,##0.000\)"/>
    <numFmt numFmtId="167" formatCode="0.0000%"/>
    <numFmt numFmtId="168" formatCode="0.000%"/>
    <numFmt numFmtId="169" formatCode="#,##0.000000_);\(#,##0.000000\)"/>
    <numFmt numFmtId="170" formatCode="0.000"/>
    <numFmt numFmtId="171" formatCode="_(* #,##0.0_);_(* \(#,##0.0\);_(* &quot;-&quot;??_);_(@_)"/>
    <numFmt numFmtId="172" formatCode="0.0%"/>
    <numFmt numFmtId="173" formatCode="_(&quot;$&quot;* #,##0.000_);_(&quot;$&quot;* \(#,##0.000\);_(&quot;$&quot;* &quot;-&quot;??_);_(@_)"/>
    <numFmt numFmtId="174" formatCode="_(&quot;$&quot;* #,##0.0000_);_(&quot;$&quot;* \(#,##0.0000\);_(&quot;$&quot;* &quot;-&quot;??_);_(@_)"/>
    <numFmt numFmtId="175" formatCode="_(&quot;$&quot;* #,##0_);_(&quot;$&quot;* \(#,##0\);_(&quot;$&quot;* &quot;-&quot;??_);_(@_)"/>
    <numFmt numFmtId="176" formatCode="_(&quot;$&quot;* #,##0.00000_);_(&quot;$&quot;* \(#,##0.00000\);_(&quot;$&quot;* &quot;-&quot;??_);_(@_)"/>
    <numFmt numFmtId="177" formatCode="_(* #,##0.00000_);_(* \(#,##0.00000\);_(* &quot;-&quot;??_);_(@_)"/>
    <numFmt numFmtId="178" formatCode="_(* #,##0.0000_);_(* \(#,##0.0000\);_(* &quot;-&quot;??_);_(@_)"/>
    <numFmt numFmtId="179" formatCode="0.00000_);\(0.00000\)"/>
    <numFmt numFmtId="180" formatCode="0.00000"/>
    <numFmt numFmtId="181" formatCode="[$-409]mmm\-yy;@"/>
    <numFmt numFmtId="182" formatCode="0.0000"/>
    <numFmt numFmtId="183" formatCode="mmm\-yyyy"/>
    <numFmt numFmtId="184" formatCode="0.0"/>
    <numFmt numFmtId="185" formatCode="mmmm\-yy"/>
    <numFmt numFmtId="186" formatCode="_(&quot;$&quot;* #,##0.00000_);_(&quot;$&quot;* \(#,##0.00000\);_(&quot;$&quot;* &quot;-&quot;?????_);_(@_)"/>
    <numFmt numFmtId="187" formatCode="_(&quot;$&quot;* #,##0.00000000_);_(&quot;$&quot;* \(#,##0.00000000\);_(&quot;$&quot;* &quot;-&quot;??_);_(@_)"/>
    <numFmt numFmtId="188" formatCode="_(* #,##0.000000000_);_(* \(#,##0.000000000\);_(* &quot;-&quot;??_);_(@_)"/>
    <numFmt numFmtId="189" formatCode="&quot;$&quot;#,##0.0000_);[Red]\(&quot;$&quot;#,##0.0000\)"/>
    <numFmt numFmtId="190" formatCode="_(&quot;$&quot;* #,##0.0000000_);_(&quot;$&quot;* \(#,##0.0000000\);_(&quot;$&quot;* &quot;-&quot;??_);_(@_)"/>
    <numFmt numFmtId="191" formatCode="&quot;$&quot;#,##0.0_);\(&quot;$&quot;#,##0.0\)"/>
    <numFmt numFmtId="192" formatCode="_(&quot;$&quot;* #,##0.000000_);_(&quot;$&quot;* \(#,##0.000000\);_(&quot;$&quot;* &quot;-&quot;??_);_(@_)"/>
  </numFmts>
  <fonts count="61" x14ac:knownFonts="1"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u/>
      <sz val="10"/>
      <color theme="10"/>
      <name val="Arial"/>
      <family val="2"/>
    </font>
    <font>
      <b/>
      <u/>
      <sz val="8"/>
      <name val="Arial"/>
      <family val="2"/>
    </font>
    <font>
      <b/>
      <u/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8"/>
      <color rgb="FF0000FF"/>
      <name val="Arial"/>
      <family val="2"/>
    </font>
    <font>
      <sz val="8"/>
      <color theme="0"/>
      <name val="Arial"/>
      <family val="2"/>
    </font>
    <font>
      <sz val="10"/>
      <color rgb="FF0000FF"/>
      <name val="Arial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9"/>
      <color indexed="81"/>
      <name val="Tahoma"/>
      <family val="2"/>
    </font>
    <font>
      <sz val="9"/>
      <name val="Arial"/>
      <family val="2"/>
    </font>
    <font>
      <b/>
      <sz val="10"/>
      <name val="Arial"/>
      <family val="2"/>
    </font>
    <font>
      <b/>
      <sz val="9"/>
      <color indexed="81"/>
      <name val="Tahoma"/>
      <family val="2"/>
    </font>
    <font>
      <u/>
      <sz val="8"/>
      <name val="Arial"/>
      <family val="2"/>
    </font>
    <font>
      <b/>
      <i/>
      <sz val="10"/>
      <name val="Arial"/>
      <family val="2"/>
    </font>
    <font>
      <b/>
      <i/>
      <sz val="10"/>
      <color rgb="FF0000FF"/>
      <name val="Arial"/>
      <family val="2"/>
    </font>
    <font>
      <sz val="10"/>
      <color rgb="FFFF0000"/>
      <name val="Arial"/>
      <family val="2"/>
    </font>
    <font>
      <u/>
      <sz val="10"/>
      <color rgb="FFFF0000"/>
      <name val="Arial"/>
      <family val="2"/>
    </font>
    <font>
      <u/>
      <sz val="10"/>
      <name val="Arial"/>
      <family val="2"/>
    </font>
    <font>
      <sz val="8"/>
      <color rgb="FFFF0000"/>
      <name val="Arial"/>
      <family val="2"/>
    </font>
    <font>
      <u/>
      <sz val="10"/>
      <color rgb="FF0000FF"/>
      <name val="Arial"/>
      <family val="2"/>
    </font>
    <font>
      <b/>
      <i/>
      <u/>
      <sz val="10"/>
      <name val="Arial"/>
      <family val="2"/>
    </font>
    <font>
      <sz val="10"/>
      <color theme="6" tint="-0.499984740745262"/>
      <name val="Arial"/>
      <family val="2"/>
    </font>
    <font>
      <b/>
      <sz val="10"/>
      <color rgb="FF0000FF"/>
      <name val="Arial"/>
      <family val="2"/>
    </font>
    <font>
      <b/>
      <u/>
      <sz val="9"/>
      <name val="Arial"/>
      <family val="2"/>
    </font>
    <font>
      <b/>
      <sz val="9"/>
      <name val="Arial"/>
      <family val="2"/>
    </font>
    <font>
      <b/>
      <sz val="9"/>
      <color rgb="FF0000FF"/>
      <name val="Arial"/>
      <family val="2"/>
    </font>
    <font>
      <sz val="8"/>
      <color indexed="9"/>
      <name val="Arial"/>
      <family val="2"/>
    </font>
    <font>
      <sz val="8"/>
      <color indexed="10"/>
      <name val="Arial"/>
      <family val="2"/>
    </font>
    <font>
      <u val="singleAccounting"/>
      <sz val="8"/>
      <color rgb="FF0000FF"/>
      <name val="Arial"/>
      <family val="2"/>
    </font>
    <font>
      <u val="singleAccounting"/>
      <sz val="8"/>
      <name val="Arial"/>
      <family val="2"/>
    </font>
    <font>
      <i/>
      <sz val="8"/>
      <name val="Arial"/>
      <family val="2"/>
    </font>
    <font>
      <sz val="10"/>
      <name val="Arial"/>
      <family val="2"/>
    </font>
    <font>
      <b/>
      <u/>
      <sz val="8"/>
      <color indexed="10"/>
      <name val="Arial"/>
      <family val="2"/>
    </font>
    <font>
      <b/>
      <sz val="8"/>
      <color rgb="FF0000FF"/>
      <name val="Arial"/>
      <family val="2"/>
    </font>
    <font>
      <b/>
      <sz val="10"/>
      <color rgb="FFFF0000"/>
      <name val="Arial"/>
      <family val="2"/>
    </font>
    <font>
      <sz val="10"/>
      <color rgb="FF0033CC"/>
      <name val="Arial"/>
      <family val="2"/>
    </font>
    <font>
      <sz val="10"/>
      <color theme="1"/>
      <name val="Arial"/>
      <family val="2"/>
    </font>
    <font>
      <sz val="10"/>
      <name val="Arial"/>
      <family val="2"/>
    </font>
    <font>
      <b/>
      <u/>
      <sz val="8"/>
      <color rgb="FF0033CC"/>
      <name val="Arial"/>
      <family val="2"/>
    </font>
    <font>
      <b/>
      <sz val="8"/>
      <color rgb="FF0033CC"/>
      <name val="Arial"/>
      <family val="2"/>
    </font>
    <font>
      <b/>
      <sz val="10"/>
      <color rgb="FF0033CC"/>
      <name val="Arial"/>
      <family val="2"/>
    </font>
    <font>
      <b/>
      <sz val="17"/>
      <color rgb="FF0000FF"/>
      <name val="Arial"/>
      <family val="2"/>
    </font>
    <font>
      <b/>
      <sz val="8"/>
      <color rgb="FFFF0000"/>
      <name val="Arial"/>
      <family val="2"/>
    </font>
    <font>
      <b/>
      <i/>
      <sz val="11"/>
      <name val="Arial"/>
      <family val="2"/>
    </font>
    <font>
      <sz val="11"/>
      <name val="Arial"/>
      <family val="2"/>
    </font>
    <font>
      <b/>
      <sz val="11"/>
      <color theme="1"/>
      <name val="Calibri"/>
      <family val="2"/>
      <scheme val="minor"/>
    </font>
    <font>
      <sz val="9"/>
      <name val="Times New Roman"/>
      <family val="1"/>
    </font>
    <font>
      <b/>
      <u/>
      <sz val="8"/>
      <color rgb="FF0000FF"/>
      <name val="Arial"/>
      <family val="2"/>
    </font>
    <font>
      <sz val="10"/>
      <color theme="0"/>
      <name val="Arial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18">
    <xf numFmtId="0" fontId="0" fillId="0" borderId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10" fillId="0" borderId="0" applyNumberFormat="0" applyFill="0" applyBorder="0" applyAlignment="0" applyProtection="0">
      <alignment vertical="top"/>
      <protection locked="0"/>
    </xf>
    <xf numFmtId="0" fontId="13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43" fillId="0" borderId="0"/>
    <xf numFmtId="0" fontId="9" fillId="0" borderId="0"/>
    <xf numFmtId="0" fontId="9" fillId="0" borderId="0"/>
    <xf numFmtId="44" fontId="9" fillId="0" borderId="0" applyFont="0" applyFill="0" applyBorder="0" applyAlignment="0" applyProtection="0"/>
    <xf numFmtId="0" fontId="9" fillId="0" borderId="0"/>
    <xf numFmtId="0" fontId="49" fillId="0" borderId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833">
    <xf numFmtId="0" fontId="0" fillId="0" borderId="0" xfId="0"/>
    <xf numFmtId="17" fontId="11" fillId="0" borderId="0" xfId="0" quotePrefix="1" applyNumberFormat="1" applyFont="1" applyAlignment="1">
      <alignment horizontal="center"/>
    </xf>
    <xf numFmtId="0" fontId="12" fillId="0" borderId="0" xfId="0" applyFont="1" applyAlignment="1">
      <alignment horizontal="center"/>
    </xf>
    <xf numFmtId="17" fontId="11" fillId="0" borderId="0" xfId="0" applyNumberFormat="1" applyFont="1"/>
    <xf numFmtId="0" fontId="13" fillId="0" borderId="0" xfId="0" applyFont="1" applyAlignment="1">
      <alignment horizontal="center"/>
    </xf>
    <xf numFmtId="37" fontId="13" fillId="2" borderId="0" xfId="5" applyNumberFormat="1" applyFill="1"/>
    <xf numFmtId="37" fontId="13" fillId="0" borderId="0" xfId="5" applyNumberFormat="1"/>
    <xf numFmtId="37" fontId="13" fillId="0" borderId="0" xfId="0" applyNumberFormat="1" applyFont="1"/>
    <xf numFmtId="164" fontId="13" fillId="0" borderId="0" xfId="1" applyNumberFormat="1" applyFont="1"/>
    <xf numFmtId="165" fontId="0" fillId="0" borderId="0" xfId="0" applyNumberFormat="1"/>
    <xf numFmtId="0" fontId="14" fillId="0" borderId="0" xfId="0" applyFont="1" applyAlignment="1">
      <alignment horizontal="center"/>
    </xf>
    <xf numFmtId="37" fontId="15" fillId="3" borderId="0" xfId="5" applyNumberFormat="1" applyFont="1" applyFill="1"/>
    <xf numFmtId="37" fontId="15" fillId="0" borderId="0" xfId="5" applyNumberFormat="1" applyFont="1"/>
    <xf numFmtId="37" fontId="0" fillId="0" borderId="0" xfId="0" applyNumberFormat="1"/>
    <xf numFmtId="39" fontId="15" fillId="3" borderId="0" xfId="5" applyNumberFormat="1" applyFont="1" applyFill="1"/>
    <xf numFmtId="0" fontId="13" fillId="0" borderId="0" xfId="0" applyFont="1"/>
    <xf numFmtId="164" fontId="15" fillId="0" borderId="1" xfId="1" applyNumberFormat="1" applyFont="1" applyBorder="1"/>
    <xf numFmtId="164" fontId="15" fillId="0" borderId="0" xfId="1" applyNumberFormat="1" applyFont="1"/>
    <xf numFmtId="0" fontId="14" fillId="0" borderId="0" xfId="0" quotePrefix="1" applyFont="1" applyAlignment="1">
      <alignment horizontal="center"/>
    </xf>
    <xf numFmtId="164" fontId="16" fillId="0" borderId="0" xfId="1" applyNumberFormat="1" applyFont="1"/>
    <xf numFmtId="37" fontId="15" fillId="2" borderId="0" xfId="5" applyNumberFormat="1" applyFont="1" applyFill="1"/>
    <xf numFmtId="166" fontId="13" fillId="2" borderId="0" xfId="5" applyNumberFormat="1" applyFill="1"/>
    <xf numFmtId="166" fontId="17" fillId="0" borderId="0" xfId="0" applyNumberFormat="1" applyFont="1"/>
    <xf numFmtId="39" fontId="17" fillId="0" borderId="0" xfId="0" applyNumberFormat="1" applyFont="1"/>
    <xf numFmtId="39" fontId="0" fillId="0" borderId="0" xfId="0" applyNumberFormat="1"/>
    <xf numFmtId="166" fontId="0" fillId="0" borderId="0" xfId="0" applyNumberFormat="1"/>
    <xf numFmtId="17" fontId="11" fillId="0" borderId="0" xfId="0" applyNumberFormat="1" applyFont="1" applyAlignment="1">
      <alignment horizontal="center"/>
    </xf>
    <xf numFmtId="0" fontId="9" fillId="0" borderId="0" xfId="0" applyFont="1"/>
    <xf numFmtId="37" fontId="9" fillId="0" borderId="0" xfId="0" applyNumberFormat="1" applyFont="1"/>
    <xf numFmtId="0" fontId="10" fillId="0" borderId="0" xfId="4" applyAlignment="1" applyProtection="1"/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13" fillId="0" borderId="8" xfId="0" applyFont="1" applyBorder="1" applyAlignment="1">
      <alignment horizontal="left"/>
    </xf>
    <xf numFmtId="37" fontId="15" fillId="0" borderId="0" xfId="0" applyNumberFormat="1" applyFont="1"/>
    <xf numFmtId="0" fontId="13" fillId="0" borderId="6" xfId="0" applyFont="1" applyBorder="1"/>
    <xf numFmtId="164" fontId="13" fillId="0" borderId="7" xfId="1" applyNumberFormat="1" applyFont="1" applyBorder="1"/>
    <xf numFmtId="164" fontId="15" fillId="0" borderId="9" xfId="1" applyNumberFormat="1" applyFont="1" applyBorder="1"/>
    <xf numFmtId="0" fontId="13" fillId="0" borderId="8" xfId="0" applyFont="1" applyBorder="1" applyAlignment="1">
      <alignment horizontal="center"/>
    </xf>
    <xf numFmtId="0" fontId="13" fillId="0" borderId="8" xfId="0" applyFont="1" applyBorder="1"/>
    <xf numFmtId="164" fontId="15" fillId="0" borderId="10" xfId="1" applyNumberFormat="1" applyFont="1" applyBorder="1"/>
    <xf numFmtId="167" fontId="13" fillId="0" borderId="0" xfId="3" applyNumberFormat="1" applyFont="1"/>
    <xf numFmtId="0" fontId="0" fillId="0" borderId="8" xfId="0" applyBorder="1"/>
    <xf numFmtId="164" fontId="13" fillId="0" borderId="10" xfId="1" applyNumberFormat="1" applyFont="1" applyBorder="1"/>
    <xf numFmtId="167" fontId="13" fillId="0" borderId="10" xfId="3" applyNumberFormat="1" applyFont="1" applyBorder="1"/>
    <xf numFmtId="37" fontId="9" fillId="0" borderId="10" xfId="0" applyNumberFormat="1" applyFont="1" applyBorder="1"/>
    <xf numFmtId="0" fontId="0" fillId="0" borderId="11" xfId="0" applyBorder="1"/>
    <xf numFmtId="164" fontId="13" fillId="0" borderId="12" xfId="1" applyNumberFormat="1" applyFont="1" applyBorder="1"/>
    <xf numFmtId="0" fontId="0" fillId="0" borderId="12" xfId="0" applyBorder="1"/>
    <xf numFmtId="167" fontId="13" fillId="0" borderId="13" xfId="3" applyNumberFormat="1" applyFont="1" applyBorder="1"/>
    <xf numFmtId="0" fontId="0" fillId="0" borderId="10" xfId="0" applyBorder="1"/>
    <xf numFmtId="0" fontId="0" fillId="0" borderId="2" xfId="0" applyBorder="1"/>
    <xf numFmtId="164" fontId="15" fillId="0" borderId="2" xfId="1" applyNumberFormat="1" applyFont="1" applyBorder="1"/>
    <xf numFmtId="164" fontId="13" fillId="0" borderId="2" xfId="1" applyNumberFormat="1" applyFont="1" applyBorder="1"/>
    <xf numFmtId="167" fontId="13" fillId="0" borderId="2" xfId="3" applyNumberFormat="1" applyFont="1" applyBorder="1"/>
    <xf numFmtId="0" fontId="0" fillId="0" borderId="14" xfId="0" applyBorder="1"/>
    <xf numFmtId="164" fontId="13" fillId="0" borderId="14" xfId="1" applyNumberFormat="1" applyFont="1" applyBorder="1"/>
    <xf numFmtId="167" fontId="13" fillId="0" borderId="15" xfId="3" applyNumberFormat="1" applyFont="1" applyBorder="1"/>
    <xf numFmtId="164" fontId="21" fillId="0" borderId="0" xfId="1" applyNumberFormat="1" applyFont="1"/>
    <xf numFmtId="168" fontId="13" fillId="0" borderId="0" xfId="3" applyNumberFormat="1" applyFont="1"/>
    <xf numFmtId="9" fontId="13" fillId="0" borderId="0" xfId="3" applyFont="1"/>
    <xf numFmtId="166" fontId="15" fillId="0" borderId="1" xfId="5" applyNumberFormat="1" applyFont="1" applyBorder="1"/>
    <xf numFmtId="166" fontId="15" fillId="0" borderId="0" xfId="5" applyNumberFormat="1" applyFont="1"/>
    <xf numFmtId="43" fontId="15" fillId="0" borderId="0" xfId="1" applyFont="1"/>
    <xf numFmtId="43" fontId="15" fillId="0" borderId="1" xfId="1" applyFont="1" applyBorder="1"/>
    <xf numFmtId="43" fontId="13" fillId="0" borderId="1" xfId="1" applyFont="1" applyBorder="1"/>
    <xf numFmtId="43" fontId="13" fillId="0" borderId="0" xfId="1" applyFont="1"/>
    <xf numFmtId="43" fontId="13" fillId="0" borderId="0" xfId="1" applyFont="1" applyAlignment="1">
      <alignment horizontal="center"/>
    </xf>
    <xf numFmtId="164" fontId="13" fillId="0" borderId="1" xfId="1" applyNumberFormat="1" applyFont="1" applyBorder="1"/>
    <xf numFmtId="0" fontId="13" fillId="0" borderId="0" xfId="0" applyFont="1" applyAlignment="1">
      <alignment horizontal="left"/>
    </xf>
    <xf numFmtId="43" fontId="13" fillId="0" borderId="1" xfId="1" applyFont="1" applyBorder="1" applyAlignment="1">
      <alignment horizontal="center"/>
    </xf>
    <xf numFmtId="39" fontId="13" fillId="0" borderId="1" xfId="0" applyNumberFormat="1" applyFont="1" applyBorder="1"/>
    <xf numFmtId="39" fontId="13" fillId="0" borderId="0" xfId="0" applyNumberFormat="1" applyFont="1"/>
    <xf numFmtId="43" fontId="15" fillId="0" borderId="1" xfId="1" applyFont="1" applyBorder="1" applyAlignment="1">
      <alignment horizontal="center"/>
    </xf>
    <xf numFmtId="43" fontId="15" fillId="0" borderId="0" xfId="1" applyFont="1" applyAlignment="1">
      <alignment horizontal="center"/>
    </xf>
    <xf numFmtId="39" fontId="0" fillId="0" borderId="1" xfId="0" applyNumberFormat="1" applyBorder="1"/>
    <xf numFmtId="37" fontId="24" fillId="0" borderId="0" xfId="0" applyNumberFormat="1" applyFont="1" applyAlignment="1">
      <alignment horizontal="center"/>
    </xf>
    <xf numFmtId="0" fontId="9" fillId="0" borderId="0" xfId="0" applyFont="1" applyAlignment="1">
      <alignment horizontal="center"/>
    </xf>
    <xf numFmtId="39" fontId="15" fillId="0" borderId="0" xfId="0" applyNumberFormat="1" applyFont="1"/>
    <xf numFmtId="39" fontId="13" fillId="0" borderId="0" xfId="1" applyNumberFormat="1" applyFont="1"/>
    <xf numFmtId="169" fontId="0" fillId="0" borderId="0" xfId="0" applyNumberFormat="1"/>
    <xf numFmtId="17" fontId="12" fillId="0" borderId="0" xfId="0" applyNumberFormat="1" applyFont="1" applyAlignment="1">
      <alignment horizontal="center"/>
    </xf>
    <xf numFmtId="164" fontId="9" fillId="0" borderId="0" xfId="1" applyNumberFormat="1"/>
    <xf numFmtId="10" fontId="9" fillId="0" borderId="0" xfId="3" applyNumberFormat="1"/>
    <xf numFmtId="17" fontId="12" fillId="4" borderId="0" xfId="0" applyNumberFormat="1" applyFont="1" applyFill="1" applyAlignment="1">
      <alignment horizontal="center"/>
    </xf>
    <xf numFmtId="0" fontId="0" fillId="0" borderId="0" xfId="0" applyAlignment="1">
      <alignment horizontal="center"/>
    </xf>
    <xf numFmtId="168" fontId="25" fillId="0" borderId="0" xfId="3" applyNumberFormat="1" applyFont="1"/>
    <xf numFmtId="168" fontId="0" fillId="0" borderId="0" xfId="3" applyNumberFormat="1" applyFont="1"/>
    <xf numFmtId="168" fontId="26" fillId="0" borderId="0" xfId="3" applyNumberFormat="1" applyFont="1"/>
    <xf numFmtId="168" fontId="17" fillId="0" borderId="0" xfId="3" applyNumberFormat="1" applyFont="1"/>
    <xf numFmtId="0" fontId="12" fillId="0" borderId="0" xfId="0" applyFont="1"/>
    <xf numFmtId="168" fontId="9" fillId="0" borderId="0" xfId="3" applyNumberFormat="1"/>
    <xf numFmtId="3" fontId="0" fillId="0" borderId="0" xfId="0" applyNumberFormat="1"/>
    <xf numFmtId="170" fontId="0" fillId="0" borderId="0" xfId="0" applyNumberFormat="1"/>
    <xf numFmtId="43" fontId="0" fillId="0" borderId="0" xfId="0" applyNumberFormat="1"/>
    <xf numFmtId="3" fontId="17" fillId="0" borderId="0" xfId="0" applyNumberFormat="1" applyFont="1"/>
    <xf numFmtId="10" fontId="0" fillId="0" borderId="0" xfId="3" applyNumberFormat="1" applyFont="1"/>
    <xf numFmtId="10" fontId="17" fillId="0" borderId="0" xfId="3" applyNumberFormat="1" applyFont="1"/>
    <xf numFmtId="0" fontId="17" fillId="0" borderId="0" xfId="0" applyFont="1"/>
    <xf numFmtId="0" fontId="27" fillId="0" borderId="0" xfId="0" applyFont="1"/>
    <xf numFmtId="164" fontId="13" fillId="0" borderId="0" xfId="0" applyNumberFormat="1" applyFont="1"/>
    <xf numFmtId="0" fontId="14" fillId="0" borderId="0" xfId="0" applyFont="1"/>
    <xf numFmtId="171" fontId="13" fillId="0" borderId="0" xfId="1" applyNumberFormat="1" applyFont="1"/>
    <xf numFmtId="3" fontId="9" fillId="0" borderId="0" xfId="0" applyNumberFormat="1" applyFont="1"/>
    <xf numFmtId="3" fontId="27" fillId="0" borderId="0" xfId="0" applyNumberFormat="1" applyFont="1"/>
    <xf numFmtId="3" fontId="28" fillId="0" borderId="0" xfId="4" applyNumberFormat="1" applyFont="1" applyAlignment="1" applyProtection="1"/>
    <xf numFmtId="3" fontId="10" fillId="0" borderId="0" xfId="4" applyNumberFormat="1" applyAlignment="1" applyProtection="1"/>
    <xf numFmtId="0" fontId="27" fillId="0" borderId="0" xfId="0" applyFont="1" applyAlignment="1">
      <alignment horizontal="center"/>
    </xf>
    <xf numFmtId="164" fontId="27" fillId="0" borderId="0" xfId="1" applyNumberFormat="1" applyFont="1"/>
    <xf numFmtId="164" fontId="0" fillId="0" borderId="0" xfId="0" applyNumberFormat="1"/>
    <xf numFmtId="10" fontId="27" fillId="0" borderId="0" xfId="0" applyNumberFormat="1" applyFont="1"/>
    <xf numFmtId="164" fontId="27" fillId="0" borderId="0" xfId="0" applyNumberFormat="1" applyFont="1"/>
    <xf numFmtId="0" fontId="0" fillId="0" borderId="6" xfId="0" applyBorder="1"/>
    <xf numFmtId="0" fontId="0" fillId="0" borderId="7" xfId="0" applyBorder="1"/>
    <xf numFmtId="0" fontId="22" fillId="0" borderId="7" xfId="0" applyFont="1" applyBorder="1"/>
    <xf numFmtId="0" fontId="0" fillId="0" borderId="9" xfId="0" applyBorder="1"/>
    <xf numFmtId="0" fontId="12" fillId="0" borderId="8" xfId="0" applyFont="1" applyBorder="1"/>
    <xf numFmtId="10" fontId="0" fillId="0" borderId="10" xfId="0" applyNumberFormat="1" applyBorder="1"/>
    <xf numFmtId="0" fontId="29" fillId="0" borderId="0" xfId="0" applyFont="1" applyAlignment="1">
      <alignment horizontal="center"/>
    </xf>
    <xf numFmtId="0" fontId="27" fillId="0" borderId="10" xfId="0" applyFont="1" applyBorder="1"/>
    <xf numFmtId="10" fontId="29" fillId="0" borderId="10" xfId="0" applyNumberFormat="1" applyFont="1" applyBorder="1"/>
    <xf numFmtId="10" fontId="0" fillId="0" borderId="0" xfId="0" applyNumberFormat="1"/>
    <xf numFmtId="164" fontId="30" fillId="0" borderId="10" xfId="1" applyNumberFormat="1" applyFont="1" applyBorder="1" applyAlignment="1">
      <alignment wrapText="1"/>
    </xf>
    <xf numFmtId="10" fontId="29" fillId="0" borderId="0" xfId="0" applyNumberFormat="1" applyFont="1"/>
    <xf numFmtId="164" fontId="27" fillId="0" borderId="10" xfId="0" applyNumberFormat="1" applyFont="1" applyBorder="1"/>
    <xf numFmtId="164" fontId="27" fillId="0" borderId="10" xfId="1" applyNumberFormat="1" applyFont="1" applyBorder="1"/>
    <xf numFmtId="3" fontId="29" fillId="0" borderId="0" xfId="0" applyNumberFormat="1" applyFont="1"/>
    <xf numFmtId="10" fontId="28" fillId="0" borderId="11" xfId="0" applyNumberFormat="1" applyFont="1" applyBorder="1"/>
    <xf numFmtId="0" fontId="0" fillId="0" borderId="13" xfId="0" applyBorder="1"/>
    <xf numFmtId="10" fontId="28" fillId="0" borderId="0" xfId="0" applyNumberFormat="1" applyFont="1"/>
    <xf numFmtId="3" fontId="31" fillId="0" borderId="0" xfId="0" applyNumberFormat="1" applyFont="1"/>
    <xf numFmtId="0" fontId="22" fillId="0" borderId="0" xfId="0" applyFont="1" applyAlignment="1">
      <alignment horizontal="center"/>
    </xf>
    <xf numFmtId="0" fontId="22" fillId="0" borderId="0" xfId="0" applyFont="1"/>
    <xf numFmtId="0" fontId="32" fillId="0" borderId="0" xfId="0" applyFont="1"/>
    <xf numFmtId="0" fontId="32" fillId="0" borderId="0" xfId="0" applyFont="1" applyAlignment="1">
      <alignment horizontal="left"/>
    </xf>
    <xf numFmtId="0" fontId="33" fillId="0" borderId="0" xfId="0" applyFont="1" applyAlignment="1">
      <alignment horizontal="center"/>
    </xf>
    <xf numFmtId="0" fontId="34" fillId="0" borderId="0" xfId="0" applyFont="1"/>
    <xf numFmtId="0" fontId="0" fillId="0" borderId="0" xfId="0" applyAlignment="1">
      <alignment horizontal="right"/>
    </xf>
    <xf numFmtId="0" fontId="22" fillId="0" borderId="0" xfId="0" applyFont="1" applyAlignment="1">
      <alignment horizontal="left"/>
    </xf>
    <xf numFmtId="0" fontId="12" fillId="0" borderId="0" xfId="0" applyFont="1" applyAlignment="1">
      <alignment horizontal="center" wrapText="1"/>
    </xf>
    <xf numFmtId="10" fontId="17" fillId="3" borderId="0" xfId="0" applyNumberFormat="1" applyFont="1" applyFill="1"/>
    <xf numFmtId="9" fontId="9" fillId="0" borderId="0" xfId="3"/>
    <xf numFmtId="9" fontId="0" fillId="0" borderId="0" xfId="0" applyNumberFormat="1"/>
    <xf numFmtId="9" fontId="22" fillId="0" borderId="0" xfId="0" applyNumberFormat="1" applyFont="1"/>
    <xf numFmtId="172" fontId="34" fillId="0" borderId="0" xfId="0" applyNumberFormat="1" applyFont="1"/>
    <xf numFmtId="172" fontId="22" fillId="0" borderId="0" xfId="0" applyNumberFormat="1" applyFont="1"/>
    <xf numFmtId="172" fontId="34" fillId="3" borderId="0" xfId="0" applyNumberFormat="1" applyFont="1" applyFill="1"/>
    <xf numFmtId="44" fontId="9" fillId="6" borderId="0" xfId="2" applyFill="1"/>
    <xf numFmtId="44" fontId="9" fillId="0" borderId="0" xfId="2"/>
    <xf numFmtId="44" fontId="17" fillId="0" borderId="0" xfId="2" applyFont="1"/>
    <xf numFmtId="44" fontId="17" fillId="3" borderId="0" xfId="2" applyFont="1" applyFill="1"/>
    <xf numFmtId="8" fontId="17" fillId="0" borderId="0" xfId="2" applyNumberFormat="1" applyFont="1"/>
    <xf numFmtId="173" fontId="9" fillId="0" borderId="0" xfId="2" applyNumberFormat="1"/>
    <xf numFmtId="174" fontId="0" fillId="0" borderId="0" xfId="0" applyNumberFormat="1"/>
    <xf numFmtId="0" fontId="29" fillId="0" borderId="0" xfId="0" applyFont="1"/>
    <xf numFmtId="44" fontId="0" fillId="0" borderId="0" xfId="2" applyFont="1"/>
    <xf numFmtId="10" fontId="17" fillId="0" borderId="0" xfId="2" applyNumberFormat="1" applyFont="1"/>
    <xf numFmtId="0" fontId="22" fillId="0" borderId="19" xfId="0" applyFont="1" applyBorder="1"/>
    <xf numFmtId="44" fontId="22" fillId="0" borderId="20" xfId="2" applyFont="1" applyBorder="1"/>
    <xf numFmtId="44" fontId="0" fillId="0" borderId="0" xfId="0" applyNumberFormat="1"/>
    <xf numFmtId="0" fontId="35" fillId="0" borderId="0" xfId="0" applyFont="1" applyAlignment="1">
      <alignment horizontal="center"/>
    </xf>
    <xf numFmtId="0" fontId="36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36" fillId="0" borderId="0" xfId="0" applyFont="1" applyAlignment="1">
      <alignment horizontal="left"/>
    </xf>
    <xf numFmtId="44" fontId="15" fillId="0" borderId="19" xfId="0" applyNumberFormat="1" applyFont="1" applyBorder="1"/>
    <xf numFmtId="44" fontId="15" fillId="0" borderId="21" xfId="0" applyNumberFormat="1" applyFont="1" applyBorder="1"/>
    <xf numFmtId="44" fontId="13" fillId="0" borderId="0" xfId="0" applyNumberFormat="1" applyFont="1"/>
    <xf numFmtId="0" fontId="38" fillId="0" borderId="0" xfId="0" applyFont="1" applyAlignment="1">
      <alignment horizontal="center"/>
    </xf>
    <xf numFmtId="0" fontId="35" fillId="0" borderId="0" xfId="0" applyFont="1"/>
    <xf numFmtId="0" fontId="14" fillId="0" borderId="0" xfId="0" applyFont="1" applyAlignment="1">
      <alignment horizontal="left"/>
    </xf>
    <xf numFmtId="175" fontId="13" fillId="0" borderId="0" xfId="2" applyNumberFormat="1" applyFont="1"/>
    <xf numFmtId="176" fontId="13" fillId="0" borderId="0" xfId="2" applyNumberFormat="1" applyFont="1"/>
    <xf numFmtId="164" fontId="15" fillId="0" borderId="0" xfId="0" applyNumberFormat="1" applyFont="1"/>
    <xf numFmtId="174" fontId="13" fillId="0" borderId="0" xfId="2" applyNumberFormat="1" applyFont="1"/>
    <xf numFmtId="44" fontId="13" fillId="0" borderId="0" xfId="2" applyFont="1"/>
    <xf numFmtId="164" fontId="13" fillId="0" borderId="0" xfId="0" quotePrefix="1" applyNumberFormat="1" applyFont="1"/>
    <xf numFmtId="44" fontId="39" fillId="0" borderId="0" xfId="2" applyFont="1"/>
    <xf numFmtId="164" fontId="39" fillId="0" borderId="0" xfId="1" applyNumberFormat="1" applyFont="1"/>
    <xf numFmtId="164" fontId="39" fillId="0" borderId="0" xfId="0" applyNumberFormat="1" applyFont="1"/>
    <xf numFmtId="164" fontId="40" fillId="0" borderId="0" xfId="1" applyNumberFormat="1" applyFont="1"/>
    <xf numFmtId="164" fontId="40" fillId="0" borderId="0" xfId="0" applyNumberFormat="1" applyFont="1"/>
    <xf numFmtId="175" fontId="41" fillId="0" borderId="0" xfId="2" applyNumberFormat="1" applyFont="1"/>
    <xf numFmtId="164" fontId="41" fillId="0" borderId="0" xfId="0" applyNumberFormat="1" applyFont="1"/>
    <xf numFmtId="175" fontId="13" fillId="0" borderId="0" xfId="2" applyNumberFormat="1" applyFont="1" applyAlignment="1">
      <alignment horizontal="center"/>
    </xf>
    <xf numFmtId="164" fontId="13" fillId="0" borderId="0" xfId="1" applyNumberFormat="1" applyFont="1" applyAlignment="1">
      <alignment horizontal="right"/>
    </xf>
    <xf numFmtId="175" fontId="13" fillId="0" borderId="0" xfId="0" applyNumberFormat="1" applyFont="1"/>
    <xf numFmtId="175" fontId="15" fillId="0" borderId="0" xfId="2" applyNumberFormat="1" applyFont="1"/>
    <xf numFmtId="0" fontId="42" fillId="0" borderId="0" xfId="0" applyFont="1" applyAlignment="1">
      <alignment horizontal="left"/>
    </xf>
    <xf numFmtId="0" fontId="14" fillId="0" borderId="0" xfId="0" quotePrefix="1" applyFont="1" applyAlignment="1">
      <alignment horizontal="left"/>
    </xf>
    <xf numFmtId="0" fontId="16" fillId="0" borderId="0" xfId="0" applyFont="1" applyAlignment="1">
      <alignment horizontal="center"/>
    </xf>
    <xf numFmtId="164" fontId="13" fillId="0" borderId="0" xfId="0" quotePrefix="1" applyNumberFormat="1" applyFont="1" applyAlignment="1">
      <alignment horizontal="left"/>
    </xf>
    <xf numFmtId="175" fontId="13" fillId="0" borderId="0" xfId="2" applyNumberFormat="1" applyFont="1" applyAlignment="1">
      <alignment horizontal="right"/>
    </xf>
    <xf numFmtId="0" fontId="0" fillId="5" borderId="0" xfId="0" applyFill="1"/>
    <xf numFmtId="17" fontId="11" fillId="5" borderId="0" xfId="0" quotePrefix="1" applyNumberFormat="1" applyFont="1" applyFill="1" applyAlignment="1">
      <alignment horizontal="center"/>
    </xf>
    <xf numFmtId="3" fontId="17" fillId="0" borderId="0" xfId="0" applyNumberFormat="1" applyFont="1" applyFill="1"/>
    <xf numFmtId="164" fontId="0" fillId="0" borderId="0" xfId="1" applyNumberFormat="1" applyFont="1" applyFill="1"/>
    <xf numFmtId="0" fontId="0" fillId="0" borderId="0" xfId="0" applyFill="1"/>
    <xf numFmtId="10" fontId="0" fillId="0" borderId="0" xfId="0" applyNumberFormat="1" applyFill="1"/>
    <xf numFmtId="3" fontId="0" fillId="0" borderId="0" xfId="0" applyNumberFormat="1" applyFill="1"/>
    <xf numFmtId="43" fontId="0" fillId="0" borderId="0" xfId="0" applyNumberFormat="1" applyFill="1"/>
    <xf numFmtId="3" fontId="29" fillId="0" borderId="0" xfId="0" applyNumberFormat="1" applyFont="1" applyFill="1"/>
    <xf numFmtId="0" fontId="0" fillId="0" borderId="0" xfId="0" applyFill="1" applyAlignment="1">
      <alignment horizontal="center"/>
    </xf>
    <xf numFmtId="0" fontId="29" fillId="0" borderId="0" xfId="0" applyFont="1" applyFill="1" applyAlignment="1">
      <alignment horizontal="center"/>
    </xf>
    <xf numFmtId="0" fontId="8" fillId="0" borderId="0" xfId="6"/>
    <xf numFmtId="9" fontId="8" fillId="0" borderId="0" xfId="6" applyNumberFormat="1"/>
    <xf numFmtId="17" fontId="8" fillId="7" borderId="0" xfId="6" applyNumberFormat="1" applyFill="1"/>
    <xf numFmtId="44" fontId="8" fillId="0" borderId="0" xfId="6" applyNumberFormat="1"/>
    <xf numFmtId="172" fontId="8" fillId="0" borderId="0" xfId="6" applyNumberFormat="1"/>
    <xf numFmtId="164" fontId="0" fillId="0" borderId="0" xfId="7" applyNumberFormat="1" applyFont="1"/>
    <xf numFmtId="164" fontId="8" fillId="0" borderId="0" xfId="6" applyNumberFormat="1"/>
    <xf numFmtId="37" fontId="8" fillId="0" borderId="0" xfId="6" applyNumberFormat="1"/>
    <xf numFmtId="10" fontId="8" fillId="0" borderId="22" xfId="6" applyNumberFormat="1" applyBorder="1"/>
    <xf numFmtId="17" fontId="8" fillId="0" borderId="0" xfId="6" applyNumberFormat="1"/>
    <xf numFmtId="177" fontId="8" fillId="0" borderId="0" xfId="6" applyNumberFormat="1"/>
    <xf numFmtId="178" fontId="8" fillId="0" borderId="0" xfId="6" applyNumberFormat="1"/>
    <xf numFmtId="43" fontId="8" fillId="0" borderId="0" xfId="6" applyNumberFormat="1"/>
    <xf numFmtId="17" fontId="8" fillId="0" borderId="23" xfId="6" applyNumberFormat="1" applyBorder="1"/>
    <xf numFmtId="44" fontId="8" fillId="0" borderId="23" xfId="6" applyNumberFormat="1" applyBorder="1"/>
    <xf numFmtId="9" fontId="8" fillId="0" borderId="23" xfId="6" applyNumberFormat="1" applyBorder="1"/>
    <xf numFmtId="0" fontId="8" fillId="0" borderId="23" xfId="6" applyBorder="1"/>
    <xf numFmtId="164" fontId="0" fillId="0" borderId="23" xfId="7" applyNumberFormat="1" applyFont="1" applyBorder="1"/>
    <xf numFmtId="164" fontId="8" fillId="0" borderId="23" xfId="6" applyNumberFormat="1" applyBorder="1"/>
    <xf numFmtId="37" fontId="8" fillId="0" borderId="23" xfId="6" applyNumberFormat="1" applyBorder="1"/>
    <xf numFmtId="9" fontId="8" fillId="0" borderId="0" xfId="3" applyFont="1"/>
    <xf numFmtId="10" fontId="8" fillId="0" borderId="0" xfId="6" applyNumberFormat="1"/>
    <xf numFmtId="164" fontId="8" fillId="0" borderId="0" xfId="1" applyNumberFormat="1" applyFont="1"/>
    <xf numFmtId="44" fontId="8" fillId="0" borderId="0" xfId="6" applyNumberFormat="1" applyFill="1"/>
    <xf numFmtId="37" fontId="8" fillId="0" borderId="0" xfId="6" applyNumberFormat="1" applyFill="1"/>
    <xf numFmtId="8" fontId="8" fillId="0" borderId="0" xfId="6" applyNumberFormat="1"/>
    <xf numFmtId="0" fontId="13" fillId="0" borderId="19" xfId="9" applyFont="1" applyBorder="1"/>
    <xf numFmtId="0" fontId="13" fillId="0" borderId="20" xfId="9" applyFont="1" applyBorder="1"/>
    <xf numFmtId="0" fontId="13" fillId="0" borderId="21" xfId="9" applyFont="1" applyBorder="1"/>
    <xf numFmtId="0" fontId="13" fillId="0" borderId="0" xfId="9" applyFont="1" applyBorder="1"/>
    <xf numFmtId="0" fontId="43" fillId="0" borderId="20" xfId="9" applyBorder="1"/>
    <xf numFmtId="0" fontId="43" fillId="0" borderId="21" xfId="9" applyBorder="1"/>
    <xf numFmtId="0" fontId="43" fillId="0" borderId="0" xfId="9"/>
    <xf numFmtId="0" fontId="13" fillId="0" borderId="0" xfId="9" applyFont="1"/>
    <xf numFmtId="0" fontId="43" fillId="0" borderId="19" xfId="9" applyBorder="1"/>
    <xf numFmtId="179" fontId="13" fillId="0" borderId="16" xfId="9" applyNumberFormat="1" applyFont="1" applyBorder="1"/>
    <xf numFmtId="17" fontId="13" fillId="0" borderId="18" xfId="9" applyNumberFormat="1" applyFont="1" applyBorder="1"/>
    <xf numFmtId="17" fontId="13" fillId="0" borderId="16" xfId="9" applyNumberFormat="1" applyFont="1" applyBorder="1"/>
    <xf numFmtId="179" fontId="13" fillId="0" borderId="18" xfId="9" applyNumberFormat="1" applyFont="1" applyBorder="1"/>
    <xf numFmtId="0" fontId="43" fillId="0" borderId="0" xfId="9" applyBorder="1"/>
    <xf numFmtId="17" fontId="13" fillId="0" borderId="0" xfId="9" applyNumberFormat="1" applyFont="1"/>
    <xf numFmtId="179" fontId="13" fillId="0" borderId="0" xfId="9" applyNumberFormat="1" applyFont="1"/>
    <xf numFmtId="179" fontId="13" fillId="0" borderId="1" xfId="9" applyNumberFormat="1" applyFont="1" applyBorder="1"/>
    <xf numFmtId="17" fontId="13" fillId="0" borderId="2" xfId="9" applyNumberFormat="1" applyFont="1" applyBorder="1"/>
    <xf numFmtId="17" fontId="13" fillId="0" borderId="1" xfId="9" applyNumberFormat="1" applyFont="1" applyBorder="1"/>
    <xf numFmtId="179" fontId="13" fillId="0" borderId="2" xfId="9" applyNumberFormat="1" applyFont="1" applyBorder="1"/>
    <xf numFmtId="179" fontId="13" fillId="0" borderId="24" xfId="9" applyNumberFormat="1" applyFont="1" applyBorder="1"/>
    <xf numFmtId="17" fontId="13" fillId="0" borderId="15" xfId="9" applyNumberFormat="1" applyFont="1" applyBorder="1"/>
    <xf numFmtId="17" fontId="13" fillId="0" borderId="24" xfId="9" applyNumberFormat="1" applyFont="1" applyBorder="1"/>
    <xf numFmtId="179" fontId="13" fillId="0" borderId="15" xfId="9" applyNumberFormat="1" applyFont="1" applyBorder="1"/>
    <xf numFmtId="0" fontId="44" fillId="0" borderId="0" xfId="9" applyFont="1" applyAlignment="1">
      <alignment horizontal="left"/>
    </xf>
    <xf numFmtId="0" fontId="11" fillId="0" borderId="0" xfId="9" applyFont="1" applyAlignment="1">
      <alignment horizontal="center"/>
    </xf>
    <xf numFmtId="0" fontId="30" fillId="0" borderId="0" xfId="9" applyFont="1" applyFill="1"/>
    <xf numFmtId="0" fontId="14" fillId="0" borderId="0" xfId="9" applyFont="1" applyAlignment="1">
      <alignment horizontal="center"/>
    </xf>
    <xf numFmtId="0" fontId="14" fillId="0" borderId="0" xfId="9" applyFont="1" applyBorder="1" applyAlignment="1">
      <alignment horizontal="left"/>
    </xf>
    <xf numFmtId="0" fontId="14" fillId="0" borderId="25" xfId="9" applyFont="1" applyBorder="1" applyAlignment="1">
      <alignment horizontal="center"/>
    </xf>
    <xf numFmtId="0" fontId="14" fillId="0" borderId="19" xfId="9" applyFont="1" applyBorder="1" applyAlignment="1">
      <alignment horizontal="center"/>
    </xf>
    <xf numFmtId="0" fontId="14" fillId="0" borderId="16" xfId="9" applyFont="1" applyBorder="1" applyAlignment="1">
      <alignment horizontal="center"/>
    </xf>
    <xf numFmtId="0" fontId="14" fillId="0" borderId="16" xfId="9" applyFont="1" applyBorder="1" applyAlignment="1">
      <alignment horizontal="center" wrapText="1"/>
    </xf>
    <xf numFmtId="0" fontId="14" fillId="0" borderId="25" xfId="9" applyFont="1" applyFill="1" applyBorder="1" applyAlignment="1">
      <alignment horizontal="center" wrapText="1"/>
    </xf>
    <xf numFmtId="0" fontId="14" fillId="0" borderId="25" xfId="9" applyFont="1" applyBorder="1" applyAlignment="1">
      <alignment horizontal="center" wrapText="1"/>
    </xf>
    <xf numFmtId="0" fontId="14" fillId="0" borderId="26" xfId="9" applyFont="1" applyFill="1" applyBorder="1" applyAlignment="1">
      <alignment horizontal="center" wrapText="1"/>
    </xf>
    <xf numFmtId="0" fontId="13" fillId="0" borderId="26" xfId="9" applyFont="1" applyBorder="1"/>
    <xf numFmtId="0" fontId="24" fillId="0" borderId="26" xfId="9" applyFont="1" applyBorder="1" applyAlignment="1">
      <alignment horizontal="center"/>
    </xf>
    <xf numFmtId="0" fontId="24" fillId="0" borderId="17" xfId="9" applyFont="1" applyBorder="1" applyAlignment="1">
      <alignment horizontal="center"/>
    </xf>
    <xf numFmtId="0" fontId="24" fillId="0" borderId="18" xfId="9" applyFont="1" applyBorder="1" applyAlignment="1">
      <alignment horizontal="center"/>
    </xf>
    <xf numFmtId="0" fontId="13" fillId="0" borderId="16" xfId="9" applyFont="1" applyBorder="1"/>
    <xf numFmtId="17" fontId="13" fillId="0" borderId="26" xfId="9" applyNumberFormat="1" applyFont="1" applyBorder="1"/>
    <xf numFmtId="0" fontId="13" fillId="0" borderId="17" xfId="9" applyFont="1" applyBorder="1"/>
    <xf numFmtId="0" fontId="13" fillId="0" borderId="18" xfId="9" applyFont="1" applyBorder="1"/>
    <xf numFmtId="0" fontId="24" fillId="0" borderId="27" xfId="9" applyFont="1" applyBorder="1" applyAlignment="1">
      <alignment horizontal="center"/>
    </xf>
    <xf numFmtId="0" fontId="24" fillId="0" borderId="0" xfId="9" applyFont="1" applyBorder="1" applyAlignment="1">
      <alignment horizontal="center"/>
    </xf>
    <xf numFmtId="0" fontId="24" fillId="0" borderId="2" xfId="9" applyFont="1" applyBorder="1" applyAlignment="1">
      <alignment horizontal="center"/>
    </xf>
    <xf numFmtId="0" fontId="24" fillId="0" borderId="1" xfId="9" applyFont="1" applyFill="1" applyBorder="1" applyAlignment="1">
      <alignment horizontal="center" wrapText="1"/>
    </xf>
    <xf numFmtId="0" fontId="24" fillId="0" borderId="27" xfId="9" applyFont="1" applyBorder="1" applyAlignment="1">
      <alignment wrapText="1"/>
    </xf>
    <xf numFmtId="0" fontId="13" fillId="0" borderId="27" xfId="9" applyFont="1" applyBorder="1"/>
    <xf numFmtId="0" fontId="13" fillId="0" borderId="1" xfId="9" applyFont="1" applyBorder="1"/>
    <xf numFmtId="0" fontId="13" fillId="0" borderId="2" xfId="9" applyFont="1" applyBorder="1"/>
    <xf numFmtId="17" fontId="14" fillId="0" borderId="27" xfId="9" applyNumberFormat="1" applyFont="1" applyBorder="1" applyAlignment="1">
      <alignment horizontal="left"/>
    </xf>
    <xf numFmtId="176" fontId="13" fillId="0" borderId="27" xfId="2" applyNumberFormat="1" applyFont="1" applyBorder="1"/>
    <xf numFmtId="176" fontId="13" fillId="0" borderId="2" xfId="2" applyNumberFormat="1" applyFont="1" applyBorder="1"/>
    <xf numFmtId="176" fontId="13" fillId="0" borderId="1" xfId="2" applyNumberFormat="1" applyFont="1" applyFill="1" applyBorder="1"/>
    <xf numFmtId="178" fontId="13" fillId="0" borderId="27" xfId="9" applyNumberFormat="1" applyFont="1" applyBorder="1"/>
    <xf numFmtId="180" fontId="13" fillId="0" borderId="27" xfId="9" applyNumberFormat="1" applyFont="1" applyBorder="1"/>
    <xf numFmtId="179" fontId="13" fillId="0" borderId="0" xfId="9" applyNumberFormat="1" applyFont="1" applyBorder="1"/>
    <xf numFmtId="17" fontId="45" fillId="0" borderId="0" xfId="9" applyNumberFormat="1" applyFont="1" applyBorder="1" applyAlignment="1">
      <alignment horizontal="left"/>
    </xf>
    <xf numFmtId="176" fontId="15" fillId="0" borderId="27" xfId="2" applyNumberFormat="1" applyFont="1" applyFill="1" applyBorder="1"/>
    <xf numFmtId="176" fontId="13" fillId="0" borderId="27" xfId="2" applyNumberFormat="1" applyFont="1" applyFill="1" applyBorder="1"/>
    <xf numFmtId="178" fontId="13" fillId="0" borderId="27" xfId="9" applyNumberFormat="1" applyFont="1" applyFill="1" applyBorder="1"/>
    <xf numFmtId="180" fontId="15" fillId="0" borderId="27" xfId="9" applyNumberFormat="1" applyFont="1" applyFill="1" applyBorder="1"/>
    <xf numFmtId="17" fontId="13" fillId="0" borderId="1" xfId="10" applyNumberFormat="1" applyFont="1" applyBorder="1"/>
    <xf numFmtId="179" fontId="13" fillId="0" borderId="0" xfId="9" applyNumberFormat="1" applyFont="1" applyFill="1" applyBorder="1"/>
    <xf numFmtId="10" fontId="13" fillId="0" borderId="0" xfId="3" applyNumberFormat="1" applyFont="1"/>
    <xf numFmtId="17" fontId="14" fillId="0" borderId="0" xfId="9" applyNumberFormat="1" applyFont="1" applyBorder="1" applyAlignment="1">
      <alignment horizontal="left"/>
    </xf>
    <xf numFmtId="181" fontId="13" fillId="0" borderId="0" xfId="3" applyNumberFormat="1" applyFont="1"/>
    <xf numFmtId="0" fontId="13" fillId="0" borderId="0" xfId="9" quotePrefix="1" applyFont="1"/>
    <xf numFmtId="179" fontId="13" fillId="0" borderId="2" xfId="9" applyNumberFormat="1" applyFont="1" applyFill="1" applyBorder="1"/>
    <xf numFmtId="180" fontId="13" fillId="0" borderId="0" xfId="9" applyNumberFormat="1" applyFont="1"/>
    <xf numFmtId="17" fontId="13" fillId="0" borderId="0" xfId="9" applyNumberFormat="1" applyFont="1" applyBorder="1"/>
    <xf numFmtId="17" fontId="13" fillId="0" borderId="0" xfId="3" applyNumberFormat="1" applyFont="1"/>
    <xf numFmtId="180" fontId="13" fillId="0" borderId="27" xfId="9" applyNumberFormat="1" applyFont="1" applyFill="1" applyBorder="1"/>
    <xf numFmtId="176" fontId="15" fillId="0" borderId="28" xfId="2" applyNumberFormat="1" applyFont="1" applyFill="1" applyBorder="1"/>
    <xf numFmtId="176" fontId="13" fillId="0" borderId="28" xfId="2" applyNumberFormat="1" applyFont="1" applyFill="1" applyBorder="1"/>
    <xf numFmtId="176" fontId="13" fillId="0" borderId="28" xfId="2" applyNumberFormat="1" applyFont="1" applyBorder="1"/>
    <xf numFmtId="178" fontId="13" fillId="0" borderId="28" xfId="9" applyNumberFormat="1" applyFont="1" applyFill="1" applyBorder="1"/>
    <xf numFmtId="180" fontId="13" fillId="0" borderId="28" xfId="9" applyNumberFormat="1" applyFont="1" applyBorder="1"/>
    <xf numFmtId="180" fontId="15" fillId="0" borderId="28" xfId="9" applyNumberFormat="1" applyFont="1" applyFill="1" applyBorder="1"/>
    <xf numFmtId="180" fontId="13" fillId="0" borderId="28" xfId="9" applyNumberFormat="1" applyFont="1" applyFill="1" applyBorder="1"/>
    <xf numFmtId="17" fontId="13" fillId="0" borderId="24" xfId="10" applyNumberFormat="1" applyFont="1" applyBorder="1"/>
    <xf numFmtId="179" fontId="13" fillId="0" borderId="14" xfId="9" applyNumberFormat="1" applyFont="1" applyFill="1" applyBorder="1"/>
    <xf numFmtId="176" fontId="13" fillId="0" borderId="17" xfId="2" applyNumberFormat="1" applyFont="1" applyFill="1" applyBorder="1"/>
    <xf numFmtId="176" fontId="13" fillId="0" borderId="0" xfId="2" applyNumberFormat="1" applyFont="1" applyFill="1" applyBorder="1"/>
    <xf numFmtId="176" fontId="13" fillId="0" borderId="0" xfId="2" applyNumberFormat="1" applyFont="1" applyBorder="1"/>
    <xf numFmtId="0" fontId="13" fillId="0" borderId="0" xfId="9" applyFont="1" applyFill="1"/>
    <xf numFmtId="0" fontId="13" fillId="0" borderId="0" xfId="9" applyFont="1" applyFill="1" applyBorder="1"/>
    <xf numFmtId="17" fontId="14" fillId="0" borderId="24" xfId="9" applyNumberFormat="1" applyFont="1" applyBorder="1" applyAlignment="1">
      <alignment horizontal="left"/>
    </xf>
    <xf numFmtId="176" fontId="13" fillId="0" borderId="14" xfId="2" applyNumberFormat="1" applyFont="1" applyFill="1" applyBorder="1"/>
    <xf numFmtId="176" fontId="13" fillId="0" borderId="14" xfId="2" applyNumberFormat="1" applyFont="1" applyBorder="1"/>
    <xf numFmtId="178" fontId="13" fillId="0" borderId="14" xfId="9" applyNumberFormat="1" applyFont="1" applyBorder="1"/>
    <xf numFmtId="180" fontId="13" fillId="0" borderId="14" xfId="9" applyNumberFormat="1" applyFont="1" applyBorder="1"/>
    <xf numFmtId="180" fontId="13" fillId="0" borderId="14" xfId="9" applyNumberFormat="1" applyFont="1" applyFill="1" applyBorder="1"/>
    <xf numFmtId="17" fontId="13" fillId="0" borderId="0" xfId="9" applyNumberFormat="1" applyFont="1" applyFill="1" applyBorder="1"/>
    <xf numFmtId="17" fontId="13" fillId="0" borderId="16" xfId="11" applyNumberFormat="1" applyFont="1" applyBorder="1"/>
    <xf numFmtId="179" fontId="13" fillId="0" borderId="17" xfId="9" applyNumberFormat="1" applyFont="1" applyFill="1" applyBorder="1"/>
    <xf numFmtId="176" fontId="15" fillId="0" borderId="1" xfId="2" applyNumberFormat="1" applyFont="1" applyFill="1" applyBorder="1"/>
    <xf numFmtId="17" fontId="13" fillId="0" borderId="1" xfId="11" applyNumberFormat="1" applyFont="1" applyBorder="1"/>
    <xf numFmtId="180" fontId="13" fillId="0" borderId="0" xfId="9" applyNumberFormat="1" applyFont="1" applyBorder="1"/>
    <xf numFmtId="17" fontId="13" fillId="0" borderId="0" xfId="11" applyNumberFormat="1" applyFont="1" applyBorder="1"/>
    <xf numFmtId="17" fontId="14" fillId="0" borderId="2" xfId="9" applyNumberFormat="1" applyFont="1" applyBorder="1" applyAlignment="1">
      <alignment horizontal="left"/>
    </xf>
    <xf numFmtId="17" fontId="14" fillId="0" borderId="14" xfId="9" applyNumberFormat="1" applyFont="1" applyBorder="1" applyAlignment="1">
      <alignment horizontal="left"/>
    </xf>
    <xf numFmtId="176" fontId="15" fillId="0" borderId="24" xfId="2" applyNumberFormat="1" applyFont="1" applyFill="1" applyBorder="1"/>
    <xf numFmtId="178" fontId="13" fillId="0" borderId="28" xfId="9" applyNumberFormat="1" applyFont="1" applyBorder="1"/>
    <xf numFmtId="0" fontId="13" fillId="0" borderId="15" xfId="9" applyFont="1" applyBorder="1"/>
    <xf numFmtId="17" fontId="13" fillId="0" borderId="24" xfId="11" applyNumberFormat="1" applyFont="1" applyBorder="1"/>
    <xf numFmtId="178" fontId="13" fillId="0" borderId="0" xfId="9" applyNumberFormat="1" applyFont="1" applyBorder="1"/>
    <xf numFmtId="180" fontId="13" fillId="0" borderId="0" xfId="9" applyNumberFormat="1" applyFont="1" applyFill="1" applyBorder="1"/>
    <xf numFmtId="0" fontId="14" fillId="0" borderId="0" xfId="9" quotePrefix="1" applyFont="1" applyAlignment="1">
      <alignment horizontal="right"/>
    </xf>
    <xf numFmtId="0" fontId="14" fillId="0" borderId="0" xfId="9" applyFont="1" applyFill="1" applyBorder="1"/>
    <xf numFmtId="0" fontId="14" fillId="0" borderId="0" xfId="9" applyFont="1" applyBorder="1"/>
    <xf numFmtId="176" fontId="13" fillId="0" borderId="0" xfId="9" applyNumberFormat="1" applyFont="1" applyBorder="1"/>
    <xf numFmtId="0" fontId="14" fillId="0" borderId="0" xfId="9" applyFont="1"/>
    <xf numFmtId="176" fontId="14" fillId="0" borderId="0" xfId="9" applyNumberFormat="1" applyFont="1" applyBorder="1"/>
    <xf numFmtId="0" fontId="14" fillId="0" borderId="0" xfId="9" applyFont="1" applyBorder="1" applyAlignment="1">
      <alignment horizontal="right"/>
    </xf>
    <xf numFmtId="0" fontId="14" fillId="0" borderId="0" xfId="9" applyFont="1" applyAlignment="1">
      <alignment horizontal="right"/>
    </xf>
    <xf numFmtId="164" fontId="15" fillId="0" borderId="0" xfId="1" applyNumberFormat="1" applyFont="1" applyBorder="1"/>
    <xf numFmtId="175" fontId="15" fillId="0" borderId="0" xfId="2" applyNumberFormat="1" applyFont="1" applyBorder="1"/>
    <xf numFmtId="37" fontId="15" fillId="0" borderId="0" xfId="9" applyNumberFormat="1" applyFont="1" applyBorder="1"/>
    <xf numFmtId="164" fontId="15" fillId="0" borderId="0" xfId="1" applyNumberFormat="1" applyFont="1" applyFill="1" applyBorder="1"/>
    <xf numFmtId="175" fontId="15" fillId="0" borderId="0" xfId="2" applyNumberFormat="1" applyFont="1" applyFill="1" applyBorder="1"/>
    <xf numFmtId="37" fontId="15" fillId="0" borderId="0" xfId="9" applyNumberFormat="1" applyFont="1" applyFill="1" applyBorder="1"/>
    <xf numFmtId="0" fontId="43" fillId="0" borderId="0" xfId="9" applyFill="1"/>
    <xf numFmtId="0" fontId="14" fillId="0" borderId="0" xfId="9" applyFont="1" applyBorder="1" applyAlignment="1">
      <alignment horizontal="center"/>
    </xf>
    <xf numFmtId="17" fontId="13" fillId="0" borderId="0" xfId="10" applyNumberFormat="1" applyFont="1" applyBorder="1"/>
    <xf numFmtId="0" fontId="9" fillId="0" borderId="0" xfId="9" applyFont="1" applyFill="1"/>
    <xf numFmtId="0" fontId="46" fillId="0" borderId="0" xfId="9" applyFont="1"/>
    <xf numFmtId="0" fontId="43" fillId="0" borderId="10" xfId="9" applyBorder="1"/>
    <xf numFmtId="181" fontId="34" fillId="0" borderId="29" xfId="9" applyNumberFormat="1" applyFont="1" applyFill="1" applyBorder="1" applyAlignment="1">
      <alignment horizontal="center"/>
    </xf>
    <xf numFmtId="0" fontId="43" fillId="0" borderId="8" xfId="9" applyBorder="1"/>
    <xf numFmtId="0" fontId="29" fillId="0" borderId="6" xfId="9" applyFont="1" applyBorder="1"/>
    <xf numFmtId="2" fontId="29" fillId="0" borderId="7" xfId="9" applyNumberFormat="1" applyFont="1" applyBorder="1"/>
    <xf numFmtId="0" fontId="29" fillId="0" borderId="7" xfId="9" applyFont="1" applyBorder="1"/>
    <xf numFmtId="0" fontId="29" fillId="0" borderId="9" xfId="9" applyFont="1" applyFill="1" applyBorder="1"/>
    <xf numFmtId="180" fontId="17" fillId="0" borderId="11" xfId="9" applyNumberFormat="1" applyFont="1" applyBorder="1"/>
    <xf numFmtId="180" fontId="17" fillId="0" borderId="12" xfId="9" applyNumberFormat="1" applyFont="1" applyBorder="1"/>
    <xf numFmtId="180" fontId="17" fillId="0" borderId="13" xfId="9" applyNumberFormat="1" applyFont="1" applyFill="1" applyBorder="1"/>
    <xf numFmtId="0" fontId="29" fillId="0" borderId="26" xfId="9" applyFont="1" applyBorder="1"/>
    <xf numFmtId="0" fontId="12" fillId="7" borderId="26" xfId="9" applyFont="1" applyFill="1" applyBorder="1"/>
    <xf numFmtId="0" fontId="43" fillId="0" borderId="0" xfId="9" applyFill="1" applyBorder="1"/>
    <xf numFmtId="0" fontId="43" fillId="0" borderId="1" xfId="9" applyFill="1" applyBorder="1"/>
    <xf numFmtId="0" fontId="43" fillId="7" borderId="27" xfId="9" applyFill="1" applyBorder="1"/>
    <xf numFmtId="0" fontId="10" fillId="0" borderId="27" xfId="4" applyFont="1" applyFill="1" applyBorder="1" applyAlignment="1" applyProtection="1">
      <alignment horizontal="center"/>
    </xf>
    <xf numFmtId="0" fontId="43" fillId="0" borderId="14" xfId="9" applyFill="1" applyBorder="1"/>
    <xf numFmtId="182" fontId="43" fillId="0" borderId="24" xfId="9" applyNumberFormat="1" applyFill="1" applyBorder="1"/>
    <xf numFmtId="180" fontId="43" fillId="0" borderId="24" xfId="9" applyNumberFormat="1" applyFill="1" applyBorder="1"/>
    <xf numFmtId="176" fontId="9" fillId="7" borderId="28" xfId="2" applyNumberFormat="1" applyFont="1" applyFill="1" applyBorder="1"/>
    <xf numFmtId="0" fontId="43" fillId="0" borderId="24" xfId="9" applyFill="1" applyBorder="1"/>
    <xf numFmtId="0" fontId="43" fillId="0" borderId="28" xfId="9" applyFill="1" applyBorder="1"/>
    <xf numFmtId="182" fontId="43" fillId="0" borderId="1" xfId="9" applyNumberFormat="1" applyFill="1" applyBorder="1"/>
    <xf numFmtId="176" fontId="9" fillId="7" borderId="27" xfId="2" applyNumberFormat="1" applyFont="1" applyFill="1" applyBorder="1"/>
    <xf numFmtId="0" fontId="43" fillId="0" borderId="27" xfId="9" applyFill="1" applyBorder="1"/>
    <xf numFmtId="182" fontId="43" fillId="0" borderId="28" xfId="9" applyNumberFormat="1" applyFill="1" applyBorder="1"/>
    <xf numFmtId="0" fontId="43" fillId="7" borderId="0" xfId="9" applyFill="1"/>
    <xf numFmtId="0" fontId="43" fillId="0" borderId="0" xfId="9" applyAlignment="1">
      <alignment horizontal="center"/>
    </xf>
    <xf numFmtId="0" fontId="22" fillId="0" borderId="0" xfId="9" applyFont="1" applyAlignment="1">
      <alignment horizontal="center"/>
    </xf>
    <xf numFmtId="0" fontId="22" fillId="0" borderId="0" xfId="9" applyFont="1"/>
    <xf numFmtId="14" fontId="32" fillId="0" borderId="0" xfId="9" applyNumberFormat="1" applyFont="1"/>
    <xf numFmtId="0" fontId="12" fillId="0" borderId="0" xfId="9" applyFont="1" applyAlignment="1">
      <alignment horizontal="center"/>
    </xf>
    <xf numFmtId="41" fontId="43" fillId="0" borderId="0" xfId="9" applyNumberFormat="1"/>
    <xf numFmtId="37" fontId="43" fillId="0" borderId="0" xfId="9" applyNumberFormat="1"/>
    <xf numFmtId="0" fontId="32" fillId="0" borderId="0" xfId="9" applyFont="1"/>
    <xf numFmtId="0" fontId="9" fillId="0" borderId="0" xfId="9" applyFont="1"/>
    <xf numFmtId="0" fontId="43" fillId="0" borderId="0" xfId="9" applyAlignment="1">
      <alignment horizontal="left"/>
    </xf>
    <xf numFmtId="0" fontId="32" fillId="0" borderId="0" xfId="9" applyFont="1" applyAlignment="1">
      <alignment horizontal="left"/>
    </xf>
    <xf numFmtId="0" fontId="43" fillId="0" borderId="0" xfId="9" applyAlignment="1">
      <alignment wrapText="1"/>
    </xf>
    <xf numFmtId="175" fontId="9" fillId="0" borderId="0" xfId="2" applyNumberFormat="1"/>
    <xf numFmtId="175" fontId="29" fillId="0" borderId="0" xfId="2" applyNumberFormat="1" applyFont="1"/>
    <xf numFmtId="0" fontId="22" fillId="0" borderId="0" xfId="9" applyFont="1" applyFill="1" applyBorder="1"/>
    <xf numFmtId="0" fontId="22" fillId="0" borderId="0" xfId="9" applyFont="1" applyAlignment="1">
      <alignment horizontal="center" wrapText="1"/>
    </xf>
    <xf numFmtId="0" fontId="22" fillId="0" borderId="14" xfId="9" applyFont="1" applyBorder="1" applyAlignment="1">
      <alignment horizontal="center" wrapText="1"/>
    </xf>
    <xf numFmtId="0" fontId="22" fillId="0" borderId="14" xfId="9" applyFont="1" applyBorder="1" applyAlignment="1">
      <alignment horizontal="center"/>
    </xf>
    <xf numFmtId="0" fontId="22" fillId="0" borderId="14" xfId="9" applyFont="1" applyFill="1" applyBorder="1" applyAlignment="1">
      <alignment horizontal="center" wrapText="1"/>
    </xf>
    <xf numFmtId="0" fontId="22" fillId="0" borderId="0" xfId="9" applyFont="1" applyBorder="1" applyAlignment="1">
      <alignment wrapText="1"/>
    </xf>
    <xf numFmtId="0" fontId="13" fillId="0" borderId="0" xfId="9" applyFont="1" applyBorder="1" applyAlignment="1">
      <alignment horizontal="center" wrapText="1"/>
    </xf>
    <xf numFmtId="0" fontId="13" fillId="0" borderId="0" xfId="9" applyFont="1" applyFill="1" applyBorder="1" applyAlignment="1">
      <alignment horizontal="center" wrapText="1"/>
    </xf>
    <xf numFmtId="0" fontId="13" fillId="0" borderId="0" xfId="9" quotePrefix="1" applyFont="1" applyFill="1" applyBorder="1" applyAlignment="1">
      <alignment horizontal="center" wrapText="1"/>
    </xf>
    <xf numFmtId="0" fontId="13" fillId="0" borderId="0" xfId="9" applyFont="1" applyAlignment="1">
      <alignment horizontal="center"/>
    </xf>
    <xf numFmtId="0" fontId="13" fillId="0" borderId="0" xfId="9" quotePrefix="1" applyFont="1" applyBorder="1" applyAlignment="1">
      <alignment horizontal="center" wrapText="1"/>
    </xf>
    <xf numFmtId="0" fontId="13" fillId="0" borderId="0" xfId="9" quotePrefix="1" applyFont="1" applyAlignment="1">
      <alignment horizontal="center"/>
    </xf>
    <xf numFmtId="17" fontId="43" fillId="0" borderId="0" xfId="9" applyNumberFormat="1"/>
    <xf numFmtId="175" fontId="17" fillId="0" borderId="0" xfId="2" applyNumberFormat="1" applyFont="1" applyFill="1"/>
    <xf numFmtId="175" fontId="43" fillId="0" borderId="0" xfId="9" applyNumberFormat="1"/>
    <xf numFmtId="176" fontId="0" fillId="0" borderId="0" xfId="2" applyNumberFormat="1" applyFont="1"/>
    <xf numFmtId="9" fontId="0" fillId="0" borderId="0" xfId="3" applyFont="1"/>
    <xf numFmtId="37" fontId="17" fillId="0" borderId="0" xfId="9" applyNumberFormat="1" applyFont="1" applyFill="1"/>
    <xf numFmtId="175" fontId="13" fillId="0" borderId="0" xfId="2" applyNumberFormat="1" applyFont="1" applyFill="1"/>
    <xf numFmtId="0" fontId="9" fillId="0" borderId="0" xfId="13"/>
    <xf numFmtId="0" fontId="9" fillId="0" borderId="0" xfId="13" applyAlignment="1">
      <alignment wrapText="1"/>
    </xf>
    <xf numFmtId="0" fontId="22" fillId="0" borderId="0" xfId="13" applyFont="1" applyFill="1" applyBorder="1"/>
    <xf numFmtId="0" fontId="22" fillId="0" borderId="0" xfId="13" applyFont="1" applyAlignment="1">
      <alignment horizontal="center"/>
    </xf>
    <xf numFmtId="0" fontId="22" fillId="0" borderId="0" xfId="13" applyFont="1"/>
    <xf numFmtId="0" fontId="22" fillId="0" borderId="0" xfId="13" applyFont="1" applyAlignment="1">
      <alignment horizontal="center" wrapText="1"/>
    </xf>
    <xf numFmtId="0" fontId="22" fillId="0" borderId="14" xfId="13" applyFont="1" applyBorder="1" applyAlignment="1">
      <alignment horizontal="center" wrapText="1"/>
    </xf>
    <xf numFmtId="0" fontId="22" fillId="0" borderId="14" xfId="13" applyFont="1" applyBorder="1" applyAlignment="1">
      <alignment horizontal="center"/>
    </xf>
    <xf numFmtId="0" fontId="22" fillId="0" borderId="14" xfId="13" applyFont="1" applyFill="1" applyBorder="1" applyAlignment="1">
      <alignment horizontal="center" wrapText="1"/>
    </xf>
    <xf numFmtId="0" fontId="22" fillId="0" borderId="0" xfId="13" applyFont="1" applyBorder="1" applyAlignment="1">
      <alignment wrapText="1"/>
    </xf>
    <xf numFmtId="0" fontId="13" fillId="0" borderId="0" xfId="13" applyFont="1" applyBorder="1" applyAlignment="1">
      <alignment horizontal="center" wrapText="1"/>
    </xf>
    <xf numFmtId="0" fontId="13" fillId="0" borderId="0" xfId="13" applyFont="1" applyFill="1" applyBorder="1" applyAlignment="1">
      <alignment horizontal="center" wrapText="1"/>
    </xf>
    <xf numFmtId="0" fontId="9" fillId="0" borderId="0" xfId="13" applyFont="1"/>
    <xf numFmtId="0" fontId="13" fillId="0" borderId="0" xfId="13" quotePrefix="1" applyFont="1" applyFill="1" applyBorder="1" applyAlignment="1">
      <alignment horizontal="center" wrapText="1"/>
    </xf>
    <xf numFmtId="0" fontId="13" fillId="0" borderId="0" xfId="13" applyFont="1" applyAlignment="1">
      <alignment horizontal="center"/>
    </xf>
    <xf numFmtId="17" fontId="9" fillId="0" borderId="0" xfId="13" applyNumberFormat="1"/>
    <xf numFmtId="175" fontId="9" fillId="0" borderId="0" xfId="2" applyNumberFormat="1" applyFill="1"/>
    <xf numFmtId="175" fontId="0" fillId="0" borderId="0" xfId="2" applyNumberFormat="1" applyFont="1" applyFill="1"/>
    <xf numFmtId="0" fontId="13" fillId="0" borderId="0" xfId="13" quotePrefix="1" applyFont="1" applyAlignment="1">
      <alignment horizontal="center"/>
    </xf>
    <xf numFmtId="175" fontId="9" fillId="0" borderId="0" xfId="13" applyNumberFormat="1" applyFill="1"/>
    <xf numFmtId="175" fontId="9" fillId="0" borderId="0" xfId="13" applyNumberFormat="1"/>
    <xf numFmtId="37" fontId="9" fillId="0" borderId="0" xfId="13" applyNumberFormat="1"/>
    <xf numFmtId="175" fontId="9" fillId="0" borderId="0" xfId="2" applyNumberFormat="1" applyFont="1" applyFill="1" applyBorder="1"/>
    <xf numFmtId="175" fontId="9" fillId="0" borderId="0" xfId="2" applyNumberFormat="1" applyFont="1" applyBorder="1"/>
    <xf numFmtId="175" fontId="0" fillId="0" borderId="0" xfId="2" applyNumberFormat="1" applyFont="1" applyFill="1" applyBorder="1"/>
    <xf numFmtId="175" fontId="9" fillId="0" borderId="0" xfId="13" applyNumberFormat="1" applyFont="1" applyFill="1" applyBorder="1"/>
    <xf numFmtId="175" fontId="9" fillId="0" borderId="0" xfId="13" applyNumberFormat="1" applyFont="1" applyBorder="1"/>
    <xf numFmtId="37" fontId="9" fillId="0" borderId="0" xfId="13" applyNumberFormat="1" applyFont="1" applyBorder="1"/>
    <xf numFmtId="176" fontId="0" fillId="0" borderId="0" xfId="2" applyNumberFormat="1" applyFont="1" applyBorder="1"/>
    <xf numFmtId="175" fontId="17" fillId="0" borderId="0" xfId="2" applyNumberFormat="1" applyFont="1" applyFill="1" applyBorder="1"/>
    <xf numFmtId="175" fontId="17" fillId="0" borderId="0" xfId="13" applyNumberFormat="1" applyFont="1" applyFill="1" applyBorder="1"/>
    <xf numFmtId="37" fontId="17" fillId="0" borderId="0" xfId="13" applyNumberFormat="1" applyFont="1" applyBorder="1"/>
    <xf numFmtId="175" fontId="17" fillId="0" borderId="0" xfId="2" applyNumberFormat="1" applyFont="1" applyBorder="1"/>
    <xf numFmtId="175" fontId="17" fillId="0" borderId="0" xfId="13" applyNumberFormat="1" applyFont="1" applyFill="1"/>
    <xf numFmtId="37" fontId="17" fillId="0" borderId="0" xfId="13" applyNumberFormat="1" applyFont="1"/>
    <xf numFmtId="175" fontId="17" fillId="0" borderId="0" xfId="9" applyNumberFormat="1" applyFont="1" applyFill="1"/>
    <xf numFmtId="175" fontId="9" fillId="0" borderId="0" xfId="9" applyNumberFormat="1" applyFont="1" applyFill="1"/>
    <xf numFmtId="44" fontId="9" fillId="0" borderId="0" xfId="13" applyNumberFormat="1"/>
    <xf numFmtId="17" fontId="43" fillId="0" borderId="0" xfId="9" applyNumberFormat="1" applyFill="1"/>
    <xf numFmtId="175" fontId="43" fillId="0" borderId="0" xfId="9" applyNumberFormat="1" applyFill="1"/>
    <xf numFmtId="176" fontId="0" fillId="0" borderId="0" xfId="2" applyNumberFormat="1" applyFont="1" applyFill="1"/>
    <xf numFmtId="175" fontId="17" fillId="0" borderId="0" xfId="12" applyNumberFormat="1" applyFont="1" applyFill="1"/>
    <xf numFmtId="175" fontId="9" fillId="0" borderId="0" xfId="12" applyNumberFormat="1"/>
    <xf numFmtId="176" fontId="0" fillId="0" borderId="0" xfId="12" applyNumberFormat="1" applyFont="1"/>
    <xf numFmtId="0" fontId="13" fillId="0" borderId="0" xfId="0" applyFont="1" applyFill="1" applyAlignment="1">
      <alignment horizontal="left"/>
    </xf>
    <xf numFmtId="0" fontId="47" fillId="0" borderId="0" xfId="0" applyFont="1"/>
    <xf numFmtId="174" fontId="13" fillId="0" borderId="0" xfId="2" applyNumberFormat="1" applyFont="1" applyFill="1"/>
    <xf numFmtId="44" fontId="13" fillId="0" borderId="0" xfId="2" applyFont="1" applyFill="1"/>
    <xf numFmtId="164" fontId="13" fillId="0" borderId="0" xfId="0" applyNumberFormat="1" applyFont="1" applyFill="1"/>
    <xf numFmtId="0" fontId="0" fillId="0" borderId="0" xfId="0" applyFill="1" applyAlignment="1">
      <alignment horizontal="right"/>
    </xf>
    <xf numFmtId="0" fontId="12" fillId="0" borderId="0" xfId="0" applyFont="1" applyFill="1" applyAlignment="1">
      <alignment horizontal="center" wrapText="1"/>
    </xf>
    <xf numFmtId="10" fontId="34" fillId="3" borderId="0" xfId="0" applyNumberFormat="1" applyFont="1" applyFill="1"/>
    <xf numFmtId="0" fontId="33" fillId="0" borderId="0" xfId="0" applyFont="1" applyFill="1" applyAlignment="1">
      <alignment horizontal="center"/>
    </xf>
    <xf numFmtId="172" fontId="0" fillId="0" borderId="0" xfId="0" applyNumberFormat="1"/>
    <xf numFmtId="168" fontId="0" fillId="0" borderId="0" xfId="0" applyNumberFormat="1"/>
    <xf numFmtId="0" fontId="11" fillId="0" borderId="0" xfId="0" applyFont="1" applyAlignment="1">
      <alignment horizontal="center"/>
    </xf>
    <xf numFmtId="8" fontId="17" fillId="5" borderId="0" xfId="2" applyNumberFormat="1" applyFont="1" applyFill="1"/>
    <xf numFmtId="0" fontId="0" fillId="0" borderId="0" xfId="0" applyAlignment="1">
      <alignment wrapText="1"/>
    </xf>
    <xf numFmtId="37" fontId="13" fillId="0" borderId="0" xfId="0" applyNumberFormat="1" applyFont="1" applyFill="1"/>
    <xf numFmtId="164" fontId="13" fillId="0" borderId="0" xfId="1" applyNumberFormat="1" applyFont="1" applyFill="1"/>
    <xf numFmtId="0" fontId="14" fillId="0" borderId="0" xfId="0" applyFont="1" applyFill="1" applyAlignment="1">
      <alignment horizontal="center"/>
    </xf>
    <xf numFmtId="164" fontId="9" fillId="0" borderId="0" xfId="1" applyNumberFormat="1" applyFill="1"/>
    <xf numFmtId="8" fontId="0" fillId="0" borderId="0" xfId="0" applyNumberFormat="1" applyFill="1"/>
    <xf numFmtId="184" fontId="0" fillId="0" borderId="0" xfId="0" applyNumberFormat="1" applyFill="1"/>
    <xf numFmtId="44" fontId="22" fillId="8" borderId="20" xfId="2" applyFont="1" applyFill="1" applyBorder="1"/>
    <xf numFmtId="164" fontId="8" fillId="5" borderId="0" xfId="6" applyNumberFormat="1" applyFill="1"/>
    <xf numFmtId="44" fontId="13" fillId="0" borderId="0" xfId="9" applyNumberFormat="1" applyFont="1"/>
    <xf numFmtId="175" fontId="13" fillId="0" borderId="0" xfId="9" applyNumberFormat="1" applyFont="1"/>
    <xf numFmtId="37" fontId="13" fillId="0" borderId="0" xfId="9" applyNumberFormat="1" applyFont="1"/>
    <xf numFmtId="44" fontId="22" fillId="5" borderId="20" xfId="2" applyFont="1" applyFill="1" applyBorder="1"/>
    <xf numFmtId="0" fontId="9" fillId="5" borderId="0" xfId="0" applyFont="1" applyFill="1" applyAlignment="1">
      <alignment horizontal="right"/>
    </xf>
    <xf numFmtId="0" fontId="30" fillId="0" borderId="0" xfId="9" applyFont="1"/>
    <xf numFmtId="17" fontId="14" fillId="0" borderId="0" xfId="0" applyNumberFormat="1" applyFont="1" applyBorder="1" applyAlignment="1">
      <alignment horizontal="left"/>
    </xf>
    <xf numFmtId="10" fontId="13" fillId="0" borderId="0" xfId="9" applyNumberFormat="1" applyFont="1"/>
    <xf numFmtId="0" fontId="14" fillId="0" borderId="0" xfId="14" applyFont="1" applyAlignment="1">
      <alignment horizontal="center"/>
    </xf>
    <xf numFmtId="0" fontId="49" fillId="0" borderId="0" xfId="14"/>
    <xf numFmtId="0" fontId="13" fillId="0" borderId="0" xfId="14" applyFont="1"/>
    <xf numFmtId="0" fontId="22" fillId="0" borderId="0" xfId="14" applyFont="1" applyBorder="1" applyAlignment="1">
      <alignment horizontal="center"/>
    </xf>
    <xf numFmtId="0" fontId="13" fillId="0" borderId="0" xfId="14" applyFont="1" applyAlignment="1">
      <alignment horizontal="center"/>
    </xf>
    <xf numFmtId="0" fontId="13" fillId="0" borderId="7" xfId="14" applyFont="1" applyBorder="1" applyAlignment="1">
      <alignment horizontal="center"/>
    </xf>
    <xf numFmtId="0" fontId="13" fillId="0" borderId="0" xfId="14" applyFont="1" applyBorder="1" applyAlignment="1">
      <alignment horizontal="center"/>
    </xf>
    <xf numFmtId="0" fontId="24" fillId="0" borderId="0" xfId="14" applyFont="1" applyAlignment="1">
      <alignment horizontal="center"/>
    </xf>
    <xf numFmtId="0" fontId="24" fillId="0" borderId="0" xfId="14" applyFont="1"/>
    <xf numFmtId="0" fontId="13" fillId="0" borderId="0" xfId="14" applyFont="1" applyAlignment="1">
      <alignment horizontal="left"/>
    </xf>
    <xf numFmtId="180" fontId="13" fillId="0" borderId="0" xfId="14" applyNumberFormat="1" applyFont="1"/>
    <xf numFmtId="37" fontId="13" fillId="0" borderId="0" xfId="14" applyNumberFormat="1" applyFont="1"/>
    <xf numFmtId="175" fontId="13" fillId="0" borderId="0" xfId="14" applyNumberFormat="1" applyFont="1"/>
    <xf numFmtId="182" fontId="13" fillId="0" borderId="0" xfId="14" applyNumberFormat="1" applyFont="1"/>
    <xf numFmtId="44" fontId="13" fillId="0" borderId="0" xfId="14" applyNumberFormat="1" applyFont="1"/>
    <xf numFmtId="37" fontId="13" fillId="0" borderId="0" xfId="2" applyNumberFormat="1" applyFont="1"/>
    <xf numFmtId="164" fontId="13" fillId="0" borderId="0" xfId="14" applyNumberFormat="1" applyFont="1"/>
    <xf numFmtId="176" fontId="13" fillId="0" borderId="0" xfId="14" applyNumberFormat="1" applyFont="1"/>
    <xf numFmtId="174" fontId="13" fillId="0" borderId="0" xfId="14" applyNumberFormat="1" applyFont="1"/>
    <xf numFmtId="180" fontId="49" fillId="0" borderId="0" xfId="14" applyNumberFormat="1"/>
    <xf numFmtId="175" fontId="49" fillId="0" borderId="0" xfId="14" applyNumberFormat="1"/>
    <xf numFmtId="167" fontId="13" fillId="0" borderId="0" xfId="14" applyNumberFormat="1" applyFont="1"/>
    <xf numFmtId="37" fontId="24" fillId="0" borderId="0" xfId="14" applyNumberFormat="1" applyFont="1"/>
    <xf numFmtId="167" fontId="24" fillId="0" borderId="0" xfId="14" applyNumberFormat="1" applyFont="1"/>
    <xf numFmtId="3" fontId="13" fillId="0" borderId="0" xfId="2" applyNumberFormat="1" applyFont="1"/>
    <xf numFmtId="37" fontId="49" fillId="0" borderId="0" xfId="14" applyNumberFormat="1"/>
    <xf numFmtId="0" fontId="13" fillId="0" borderId="7" xfId="14" applyFont="1" applyBorder="1" applyAlignment="1">
      <alignment horizontal="center" wrapText="1"/>
    </xf>
    <xf numFmtId="0" fontId="49" fillId="5" borderId="0" xfId="14" applyFill="1"/>
    <xf numFmtId="37" fontId="13" fillId="9" borderId="0" xfId="0" applyNumberFormat="1" applyFont="1" applyFill="1"/>
    <xf numFmtId="0" fontId="14" fillId="0" borderId="0" xfId="14" applyFont="1" applyFill="1" applyAlignment="1">
      <alignment horizontal="center"/>
    </xf>
    <xf numFmtId="0" fontId="49" fillId="0" borderId="0" xfId="14" applyFill="1"/>
    <xf numFmtId="0" fontId="13" fillId="0" borderId="0" xfId="14" applyFont="1" applyFill="1"/>
    <xf numFmtId="0" fontId="22" fillId="0" borderId="0" xfId="14" applyFont="1" applyFill="1" applyBorder="1" applyAlignment="1">
      <alignment horizontal="center"/>
    </xf>
    <xf numFmtId="0" fontId="13" fillId="0" borderId="0" xfId="14" applyFont="1" applyFill="1" applyAlignment="1">
      <alignment horizontal="center"/>
    </xf>
    <xf numFmtId="0" fontId="13" fillId="0" borderId="7" xfId="14" applyFont="1" applyFill="1" applyBorder="1" applyAlignment="1">
      <alignment horizontal="center"/>
    </xf>
    <xf numFmtId="0" fontId="13" fillId="0" borderId="0" xfId="14" applyFont="1" applyFill="1" applyBorder="1" applyAlignment="1">
      <alignment horizontal="center"/>
    </xf>
    <xf numFmtId="0" fontId="24" fillId="0" borderId="0" xfId="14" applyFont="1" applyFill="1" applyAlignment="1">
      <alignment horizontal="center"/>
    </xf>
    <xf numFmtId="0" fontId="24" fillId="0" borderId="0" xfId="14" applyFont="1" applyFill="1"/>
    <xf numFmtId="180" fontId="13" fillId="0" borderId="0" xfId="14" applyNumberFormat="1" applyFont="1" applyFill="1"/>
    <xf numFmtId="37" fontId="13" fillId="0" borderId="0" xfId="14" applyNumberFormat="1" applyFont="1" applyFill="1"/>
    <xf numFmtId="0" fontId="13" fillId="0" borderId="0" xfId="14" applyFont="1" applyFill="1" applyAlignment="1">
      <alignment horizontal="left"/>
    </xf>
    <xf numFmtId="175" fontId="13" fillId="0" borderId="0" xfId="14" applyNumberFormat="1" applyFont="1" applyFill="1"/>
    <xf numFmtId="182" fontId="13" fillId="0" borderId="0" xfId="14" applyNumberFormat="1" applyFont="1" applyFill="1"/>
    <xf numFmtId="44" fontId="13" fillId="0" borderId="0" xfId="14" applyNumberFormat="1" applyFont="1" applyFill="1"/>
    <xf numFmtId="43" fontId="13" fillId="0" borderId="0" xfId="1" applyFont="1" applyFill="1"/>
    <xf numFmtId="37" fontId="13" fillId="0" borderId="0" xfId="2" applyNumberFormat="1" applyFont="1" applyFill="1"/>
    <xf numFmtId="164" fontId="13" fillId="0" borderId="0" xfId="14" applyNumberFormat="1" applyFont="1" applyFill="1"/>
    <xf numFmtId="178" fontId="49" fillId="0" borderId="0" xfId="1" applyNumberFormat="1" applyFont="1"/>
    <xf numFmtId="178" fontId="13" fillId="0" borderId="0" xfId="1" applyNumberFormat="1" applyFont="1" applyAlignment="1">
      <alignment horizontal="center"/>
    </xf>
    <xf numFmtId="178" fontId="24" fillId="0" borderId="0" xfId="1" applyNumberFormat="1" applyFont="1" applyAlignment="1">
      <alignment horizontal="center"/>
    </xf>
    <xf numFmtId="178" fontId="13" fillId="0" borderId="0" xfId="1" applyNumberFormat="1" applyFont="1"/>
    <xf numFmtId="176" fontId="13" fillId="0" borderId="0" xfId="2" applyNumberFormat="1" applyFont="1" applyFill="1"/>
    <xf numFmtId="37" fontId="8" fillId="9" borderId="0" xfId="6" applyNumberFormat="1" applyFill="1"/>
    <xf numFmtId="0" fontId="8" fillId="9" borderId="0" xfId="6" applyFill="1"/>
    <xf numFmtId="37" fontId="8" fillId="5" borderId="0" xfId="6" applyNumberFormat="1" applyFill="1"/>
    <xf numFmtId="0" fontId="5" fillId="0" borderId="0" xfId="6" applyFont="1"/>
    <xf numFmtId="177" fontId="8" fillId="9" borderId="0" xfId="6" applyNumberFormat="1" applyFill="1"/>
    <xf numFmtId="0" fontId="4" fillId="0" borderId="0" xfId="6" applyFont="1"/>
    <xf numFmtId="0" fontId="14" fillId="0" borderId="0" xfId="0" applyFont="1" applyFill="1"/>
    <xf numFmtId="0" fontId="13" fillId="0" borderId="0" xfId="0" applyFont="1" applyFill="1"/>
    <xf numFmtId="10" fontId="8" fillId="5" borderId="0" xfId="6" applyNumberFormat="1" applyFill="1"/>
    <xf numFmtId="17" fontId="8" fillId="7" borderId="0" xfId="8" applyNumberFormat="1" applyFill="1"/>
    <xf numFmtId="17" fontId="8" fillId="0" borderId="0" xfId="8" applyNumberFormat="1"/>
    <xf numFmtId="164" fontId="8" fillId="0" borderId="0" xfId="6" applyNumberFormat="1" applyFill="1"/>
    <xf numFmtId="8" fontId="8" fillId="5" borderId="0" xfId="6" applyNumberFormat="1" applyFill="1"/>
    <xf numFmtId="0" fontId="8" fillId="5" borderId="0" xfId="6" applyFill="1"/>
    <xf numFmtId="44" fontId="8" fillId="5" borderId="0" xfId="6" applyNumberFormat="1" applyFill="1"/>
    <xf numFmtId="177" fontId="8" fillId="5" borderId="0" xfId="6" applyNumberFormat="1" applyFill="1"/>
    <xf numFmtId="0" fontId="7" fillId="5" borderId="0" xfId="6" applyFont="1" applyFill="1"/>
    <xf numFmtId="0" fontId="6" fillId="5" borderId="0" xfId="6" applyFont="1" applyFill="1"/>
    <xf numFmtId="0" fontId="0" fillId="0" borderId="0" xfId="8" applyFont="1"/>
    <xf numFmtId="0" fontId="3" fillId="0" borderId="0" xfId="6" applyFont="1"/>
    <xf numFmtId="164" fontId="14" fillId="0" borderId="0" xfId="0" applyNumberFormat="1" applyFont="1" applyFill="1" applyAlignment="1">
      <alignment horizontal="center"/>
    </xf>
    <xf numFmtId="175" fontId="14" fillId="0" borderId="0" xfId="0" applyNumberFormat="1" applyFont="1" applyFill="1" applyAlignment="1">
      <alignment horizontal="center"/>
    </xf>
    <xf numFmtId="44" fontId="13" fillId="0" borderId="0" xfId="2" applyNumberFormat="1" applyFont="1" applyFill="1"/>
    <xf numFmtId="17" fontId="11" fillId="8" borderId="0" xfId="0" quotePrefix="1" applyNumberFormat="1" applyFont="1" applyFill="1" applyAlignment="1">
      <alignment horizontal="center"/>
    </xf>
    <xf numFmtId="44" fontId="17" fillId="8" borderId="0" xfId="2" applyFont="1" applyFill="1"/>
    <xf numFmtId="176" fontId="13" fillId="8" borderId="0" xfId="2" applyNumberFormat="1" applyFont="1" applyFill="1"/>
    <xf numFmtId="8" fontId="17" fillId="0" borderId="0" xfId="2" applyNumberFormat="1" applyFont="1" applyFill="1"/>
    <xf numFmtId="0" fontId="0" fillId="0" borderId="0" xfId="9" applyFont="1"/>
    <xf numFmtId="164" fontId="17" fillId="0" borderId="0" xfId="1" applyNumberFormat="1" applyFont="1" applyFill="1"/>
    <xf numFmtId="186" fontId="0" fillId="0" borderId="0" xfId="0" applyNumberFormat="1"/>
    <xf numFmtId="37" fontId="0" fillId="0" borderId="0" xfId="0" applyNumberFormat="1" applyAlignment="1">
      <alignment horizontal="right"/>
    </xf>
    <xf numFmtId="175" fontId="30" fillId="0" borderId="0" xfId="2" applyNumberFormat="1" applyFont="1"/>
    <xf numFmtId="0" fontId="12" fillId="0" borderId="6" xfId="6" applyFont="1" applyBorder="1" applyAlignment="1">
      <alignment horizontal="left"/>
    </xf>
    <xf numFmtId="0" fontId="8" fillId="0" borderId="7" xfId="6" applyBorder="1"/>
    <xf numFmtId="0" fontId="9" fillId="0" borderId="7" xfId="6" applyFont="1" applyFill="1" applyBorder="1" applyAlignment="1">
      <alignment horizontal="center"/>
    </xf>
    <xf numFmtId="0" fontId="8" fillId="0" borderId="9" xfId="6" applyBorder="1"/>
    <xf numFmtId="0" fontId="8" fillId="0" borderId="8" xfId="6" applyBorder="1" applyAlignment="1">
      <alignment horizontal="left"/>
    </xf>
    <xf numFmtId="164" fontId="8" fillId="0" borderId="0" xfId="6" applyNumberFormat="1" applyBorder="1"/>
    <xf numFmtId="10" fontId="9" fillId="0" borderId="10" xfId="3" applyNumberFormat="1" applyFont="1" applyBorder="1"/>
    <xf numFmtId="44" fontId="8" fillId="0" borderId="0" xfId="6" applyNumberFormat="1" applyBorder="1"/>
    <xf numFmtId="10" fontId="9" fillId="0" borderId="0" xfId="3" applyNumberFormat="1" applyFont="1" applyBorder="1"/>
    <xf numFmtId="10" fontId="8" fillId="0" borderId="0" xfId="6" applyNumberFormat="1" applyBorder="1"/>
    <xf numFmtId="0" fontId="22" fillId="0" borderId="8" xfId="6" applyFont="1" applyBorder="1"/>
    <xf numFmtId="0" fontId="22" fillId="0" borderId="0" xfId="6" applyFont="1" applyBorder="1"/>
    <xf numFmtId="10" fontId="22" fillId="0" borderId="10" xfId="6" applyNumberFormat="1" applyFont="1" applyBorder="1"/>
    <xf numFmtId="0" fontId="8" fillId="0" borderId="8" xfId="6" applyBorder="1"/>
    <xf numFmtId="0" fontId="8" fillId="0" borderId="0" xfId="6" applyBorder="1"/>
    <xf numFmtId="0" fontId="8" fillId="0" borderId="10" xfId="6" applyBorder="1"/>
    <xf numFmtId="0" fontId="8" fillId="0" borderId="11" xfId="6" applyBorder="1"/>
    <xf numFmtId="176" fontId="9" fillId="0" borderId="12" xfId="2" applyNumberFormat="1" applyFont="1" applyBorder="1"/>
    <xf numFmtId="10" fontId="9" fillId="0" borderId="13" xfId="3" applyNumberFormat="1" applyFont="1" applyBorder="1"/>
    <xf numFmtId="0" fontId="2" fillId="0" borderId="8" xfId="6" applyFont="1" applyBorder="1" applyAlignment="1">
      <alignment horizontal="left"/>
    </xf>
    <xf numFmtId="0" fontId="12" fillId="5" borderId="0" xfId="0" applyFont="1" applyFill="1" applyAlignment="1">
      <alignment horizontal="center"/>
    </xf>
    <xf numFmtId="0" fontId="12" fillId="5" borderId="0" xfId="0" applyFont="1" applyFill="1"/>
    <xf numFmtId="0" fontId="12" fillId="5" borderId="0" xfId="0" applyFont="1" applyFill="1" applyAlignment="1">
      <alignment horizontal="center" wrapText="1"/>
    </xf>
    <xf numFmtId="0" fontId="0" fillId="0" borderId="0" xfId="0" applyAlignment="1">
      <alignment textRotation="90"/>
    </xf>
    <xf numFmtId="0" fontId="0" fillId="0" borderId="0" xfId="0" applyAlignment="1"/>
    <xf numFmtId="10" fontId="0" fillId="0" borderId="0" xfId="0" applyNumberFormat="1" applyAlignment="1"/>
    <xf numFmtId="44" fontId="0" fillId="0" borderId="0" xfId="2" applyFont="1" applyAlignment="1"/>
    <xf numFmtId="0" fontId="0" fillId="0" borderId="0" xfId="0" applyBorder="1"/>
    <xf numFmtId="175" fontId="13" fillId="0" borderId="0" xfId="2" applyNumberFormat="1" applyFont="1" applyFill="1" applyBorder="1"/>
    <xf numFmtId="175" fontId="0" fillId="0" borderId="0" xfId="0" applyNumberFormat="1" applyFill="1" applyBorder="1"/>
    <xf numFmtId="17" fontId="50" fillId="0" borderId="0" xfId="0" applyNumberFormat="1" applyFont="1" applyAlignment="1">
      <alignment horizontal="center"/>
    </xf>
    <xf numFmtId="17" fontId="0" fillId="0" borderId="0" xfId="0" applyNumberFormat="1"/>
    <xf numFmtId="175" fontId="17" fillId="0" borderId="0" xfId="0" applyNumberFormat="1" applyFont="1"/>
    <xf numFmtId="175" fontId="0" fillId="0" borderId="0" xfId="0" applyNumberFormat="1"/>
    <xf numFmtId="37" fontId="17" fillId="0" borderId="0" xfId="0" applyNumberFormat="1" applyFont="1"/>
    <xf numFmtId="176" fontId="0" fillId="0" borderId="0" xfId="12" applyNumberFormat="1" applyFont="1" applyFill="1"/>
    <xf numFmtId="17" fontId="11" fillId="0" borderId="0" xfId="0" quotePrefix="1" applyNumberFormat="1" applyFont="1" applyFill="1" applyAlignment="1">
      <alignment horizontal="center"/>
    </xf>
    <xf numFmtId="17" fontId="14" fillId="0" borderId="0" xfId="0" quotePrefix="1" applyNumberFormat="1" applyFont="1" applyFill="1" applyAlignment="1">
      <alignment horizontal="center"/>
    </xf>
    <xf numFmtId="39" fontId="15" fillId="3" borderId="0" xfId="5" applyNumberFormat="1" applyFont="1" applyFill="1" applyBorder="1"/>
    <xf numFmtId="37" fontId="15" fillId="3" borderId="0" xfId="5" applyNumberFormat="1" applyFont="1" applyFill="1" applyBorder="1"/>
    <xf numFmtId="37" fontId="0" fillId="0" borderId="0" xfId="0" applyNumberFormat="1" applyFill="1"/>
    <xf numFmtId="0" fontId="9" fillId="0" borderId="0" xfId="0" applyFont="1" applyFill="1"/>
    <xf numFmtId="166" fontId="15" fillId="0" borderId="0" xfId="5" applyNumberFormat="1" applyFont="1" applyFill="1"/>
    <xf numFmtId="43" fontId="15" fillId="0" borderId="1" xfId="1" applyFont="1" applyFill="1" applyBorder="1"/>
    <xf numFmtId="43" fontId="15" fillId="0" borderId="0" xfId="1" applyFont="1" applyFill="1"/>
    <xf numFmtId="43" fontId="15" fillId="0" borderId="0" xfId="1" applyFont="1" applyFill="1" applyAlignment="1">
      <alignment horizontal="center"/>
    </xf>
    <xf numFmtId="0" fontId="0" fillId="9" borderId="0" xfId="0" applyFill="1"/>
    <xf numFmtId="17" fontId="14" fillId="9" borderId="0" xfId="0" quotePrefix="1" applyNumberFormat="1" applyFont="1" applyFill="1" applyAlignment="1">
      <alignment horizontal="left"/>
    </xf>
    <xf numFmtId="17" fontId="11" fillId="9" borderId="0" xfId="0" quotePrefix="1" applyNumberFormat="1" applyFont="1" applyFill="1" applyAlignment="1">
      <alignment horizontal="center"/>
    </xf>
    <xf numFmtId="17" fontId="14" fillId="9" borderId="0" xfId="0" quotePrefix="1" applyNumberFormat="1" applyFont="1" applyFill="1" applyAlignment="1">
      <alignment horizontal="center"/>
    </xf>
    <xf numFmtId="0" fontId="14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51" fillId="0" borderId="0" xfId="0" applyFont="1" applyAlignment="1">
      <alignment horizontal="left"/>
    </xf>
    <xf numFmtId="9" fontId="0" fillId="8" borderId="0" xfId="3" applyFont="1" applyFill="1"/>
    <xf numFmtId="0" fontId="52" fillId="0" borderId="0" xfId="0" applyFont="1"/>
    <xf numFmtId="164" fontId="52" fillId="0" borderId="0" xfId="1" applyNumberFormat="1" applyFont="1"/>
    <xf numFmtId="0" fontId="21" fillId="0" borderId="0" xfId="0" applyFont="1" applyFill="1" applyAlignment="1">
      <alignment horizontal="left"/>
    </xf>
    <xf numFmtId="17" fontId="14" fillId="0" borderId="0" xfId="0" quotePrefix="1" applyNumberFormat="1" applyFont="1" applyFill="1" applyAlignment="1">
      <alignment horizontal="left"/>
    </xf>
    <xf numFmtId="0" fontId="51" fillId="5" borderId="0" xfId="0" applyFont="1" applyFill="1" applyAlignment="1">
      <alignment horizontal="left"/>
    </xf>
    <xf numFmtId="187" fontId="0" fillId="8" borderId="0" xfId="0" applyNumberFormat="1" applyFill="1"/>
    <xf numFmtId="188" fontId="13" fillId="0" borderId="0" xfId="1" applyNumberFormat="1" applyFont="1"/>
    <xf numFmtId="189" fontId="0" fillId="0" borderId="0" xfId="0" applyNumberFormat="1"/>
    <xf numFmtId="0" fontId="0" fillId="10" borderId="0" xfId="0" applyFont="1" applyFill="1"/>
    <xf numFmtId="17" fontId="11" fillId="11" borderId="0" xfId="0" applyNumberFormat="1" applyFont="1" applyFill="1" applyAlignment="1">
      <alignment horizontal="center"/>
    </xf>
    <xf numFmtId="176" fontId="13" fillId="0" borderId="0" xfId="2" quotePrefix="1" applyNumberFormat="1" applyFont="1"/>
    <xf numFmtId="176" fontId="13" fillId="0" borderId="0" xfId="2" quotePrefix="1" applyNumberFormat="1" applyFont="1" applyAlignment="1">
      <alignment horizontal="left"/>
    </xf>
    <xf numFmtId="17" fontId="11" fillId="12" borderId="0" xfId="0" applyNumberFormat="1" applyFont="1" applyFill="1" applyAlignment="1">
      <alignment horizontal="center"/>
    </xf>
    <xf numFmtId="175" fontId="43" fillId="0" borderId="0" xfId="2" applyNumberFormat="1" applyFont="1"/>
    <xf numFmtId="0" fontId="12" fillId="0" borderId="0" xfId="0" applyFont="1" applyFill="1"/>
    <xf numFmtId="0" fontId="11" fillId="0" borderId="0" xfId="0" applyFont="1" applyAlignment="1">
      <alignment horizontal="center"/>
    </xf>
    <xf numFmtId="0" fontId="22" fillId="0" borderId="0" xfId="0" applyFont="1" applyFill="1"/>
    <xf numFmtId="9" fontId="27" fillId="0" borderId="0" xfId="3" applyFont="1" applyFill="1"/>
    <xf numFmtId="9" fontId="48" fillId="0" borderId="0" xfId="3" applyFont="1" applyFill="1"/>
    <xf numFmtId="2" fontId="0" fillId="0" borderId="0" xfId="0" applyNumberFormat="1" applyFill="1"/>
    <xf numFmtId="6" fontId="0" fillId="0" borderId="0" xfId="0" applyNumberFormat="1" applyFill="1"/>
    <xf numFmtId="44" fontId="0" fillId="0" borderId="0" xfId="2" applyFont="1" applyFill="1"/>
    <xf numFmtId="10" fontId="0" fillId="0" borderId="0" xfId="3" applyNumberFormat="1" applyFont="1" applyFill="1"/>
    <xf numFmtId="175" fontId="13" fillId="5" borderId="0" xfId="2" applyNumberFormat="1" applyFont="1" applyFill="1"/>
    <xf numFmtId="174" fontId="30" fillId="0" borderId="0" xfId="2" applyNumberFormat="1" applyFont="1" applyFill="1"/>
    <xf numFmtId="164" fontId="41" fillId="0" borderId="0" xfId="0" applyNumberFormat="1" applyFont="1" applyFill="1"/>
    <xf numFmtId="175" fontId="41" fillId="0" borderId="0" xfId="2" applyNumberFormat="1" applyFont="1" applyFill="1"/>
    <xf numFmtId="164" fontId="30" fillId="0" borderId="0" xfId="0" applyNumberFormat="1" applyFont="1"/>
    <xf numFmtId="190" fontId="0" fillId="0" borderId="0" xfId="2" applyNumberFormat="1" applyFont="1"/>
    <xf numFmtId="190" fontId="14" fillId="0" borderId="0" xfId="2" applyNumberFormat="1" applyFont="1" applyAlignment="1">
      <alignment horizontal="center"/>
    </xf>
    <xf numFmtId="190" fontId="11" fillId="0" borderId="0" xfId="2" applyNumberFormat="1" applyFont="1" applyAlignment="1">
      <alignment horizontal="center"/>
    </xf>
    <xf numFmtId="171" fontId="13" fillId="0" borderId="0" xfId="0" applyNumberFormat="1" applyFont="1"/>
    <xf numFmtId="0" fontId="22" fillId="0" borderId="0" xfId="9" applyFont="1" applyAlignment="1">
      <alignment horizontal="center"/>
    </xf>
    <xf numFmtId="0" fontId="43" fillId="5" borderId="0" xfId="9" applyFill="1"/>
    <xf numFmtId="180" fontId="17" fillId="5" borderId="11" xfId="9" applyNumberFormat="1" applyFont="1" applyFill="1" applyBorder="1"/>
    <xf numFmtId="180" fontId="17" fillId="5" borderId="12" xfId="9" applyNumberFormat="1" applyFont="1" applyFill="1" applyBorder="1"/>
    <xf numFmtId="180" fontId="17" fillId="5" borderId="13" xfId="9" applyNumberFormat="1" applyFont="1" applyFill="1" applyBorder="1"/>
    <xf numFmtId="0" fontId="0" fillId="5" borderId="0" xfId="9" applyFont="1" applyFill="1"/>
    <xf numFmtId="8" fontId="8" fillId="0" borderId="0" xfId="6" applyNumberFormat="1" applyFill="1"/>
    <xf numFmtId="10" fontId="8" fillId="0" borderId="0" xfId="6" applyNumberFormat="1" applyFill="1"/>
    <xf numFmtId="0" fontId="8" fillId="0" borderId="0" xfId="6" applyFill="1"/>
    <xf numFmtId="164" fontId="8" fillId="0" borderId="0" xfId="1" applyNumberFormat="1" applyFont="1" applyFill="1"/>
    <xf numFmtId="177" fontId="8" fillId="0" borderId="0" xfId="6" applyNumberFormat="1" applyFill="1"/>
    <xf numFmtId="164" fontId="8" fillId="13" borderId="0" xfId="6" applyNumberFormat="1" applyFill="1"/>
    <xf numFmtId="0" fontId="8" fillId="13" borderId="0" xfId="6" applyFill="1"/>
    <xf numFmtId="164" fontId="15" fillId="0" borderId="0" xfId="1" applyNumberFormat="1" applyFont="1" applyFill="1"/>
    <xf numFmtId="164" fontId="15" fillId="0" borderId="0" xfId="0" applyNumberFormat="1" applyFont="1" applyFill="1"/>
    <xf numFmtId="44" fontId="0" fillId="5" borderId="0" xfId="0" applyNumberFormat="1" applyFill="1"/>
    <xf numFmtId="164" fontId="0" fillId="0" borderId="0" xfId="1" applyNumberFormat="1" applyFont="1"/>
    <xf numFmtId="164" fontId="0" fillId="5" borderId="0" xfId="1" applyNumberFormat="1" applyFont="1" applyFill="1"/>
    <xf numFmtId="172" fontId="17" fillId="3" borderId="0" xfId="0" applyNumberFormat="1" applyFont="1" applyFill="1"/>
    <xf numFmtId="0" fontId="51" fillId="0" borderId="0" xfId="0" applyFont="1"/>
    <xf numFmtId="176" fontId="17" fillId="0" borderId="0" xfId="2" applyNumberFormat="1" applyFont="1" applyFill="1"/>
    <xf numFmtId="0" fontId="27" fillId="0" borderId="0" xfId="0" applyFont="1" applyBorder="1" applyAlignment="1">
      <alignment horizontal="right"/>
    </xf>
    <xf numFmtId="10" fontId="0" fillId="0" borderId="10" xfId="0" applyNumberFormat="1" applyFill="1" applyBorder="1"/>
    <xf numFmtId="10" fontId="29" fillId="0" borderId="10" xfId="0" applyNumberFormat="1" applyFont="1" applyFill="1" applyBorder="1"/>
    <xf numFmtId="0" fontId="0" fillId="0" borderId="10" xfId="0" applyFill="1" applyBorder="1"/>
    <xf numFmtId="10" fontId="0" fillId="5" borderId="10" xfId="0" applyNumberFormat="1" applyFill="1" applyBorder="1"/>
    <xf numFmtId="175" fontId="17" fillId="5" borderId="0" xfId="2" applyNumberFormat="1" applyFont="1" applyFill="1"/>
    <xf numFmtId="43" fontId="0" fillId="0" borderId="0" xfId="1" applyFont="1"/>
    <xf numFmtId="5" fontId="0" fillId="0" borderId="0" xfId="0" applyNumberFormat="1"/>
    <xf numFmtId="164" fontId="0" fillId="0" borderId="30" xfId="0" applyNumberFormat="1" applyBorder="1"/>
    <xf numFmtId="5" fontId="0" fillId="0" borderId="30" xfId="0" applyNumberFormat="1" applyBorder="1"/>
    <xf numFmtId="44" fontId="0" fillId="0" borderId="0" xfId="0" applyNumberFormat="1" applyFill="1"/>
    <xf numFmtId="175" fontId="13" fillId="14" borderId="0" xfId="2" applyNumberFormat="1" applyFont="1" applyFill="1"/>
    <xf numFmtId="175" fontId="13" fillId="0" borderId="0" xfId="2" applyNumberFormat="1" applyFont="1" applyFill="1" applyAlignment="1">
      <alignment horizontal="center"/>
    </xf>
    <xf numFmtId="175" fontId="54" fillId="0" borderId="0" xfId="2" applyNumberFormat="1" applyFont="1"/>
    <xf numFmtId="172" fontId="0" fillId="5" borderId="0" xfId="3" applyNumberFormat="1" applyFont="1" applyFill="1"/>
    <xf numFmtId="9" fontId="27" fillId="5" borderId="0" xfId="3" applyFont="1" applyFill="1"/>
    <xf numFmtId="0" fontId="0" fillId="0" borderId="0" xfId="0" applyFont="1"/>
    <xf numFmtId="5" fontId="0" fillId="5" borderId="0" xfId="0" applyNumberFormat="1" applyFill="1"/>
    <xf numFmtId="172" fontId="13" fillId="0" borderId="0" xfId="3" applyNumberFormat="1" applyFont="1"/>
    <xf numFmtId="172" fontId="13" fillId="0" borderId="0" xfId="3" applyNumberFormat="1" applyFont="1" applyAlignment="1"/>
    <xf numFmtId="176" fontId="0" fillId="0" borderId="0" xfId="0" applyNumberFormat="1" applyAlignment="1"/>
    <xf numFmtId="0" fontId="0" fillId="0" borderId="0" xfId="0" applyFont="1" applyBorder="1" applyAlignment="1"/>
    <xf numFmtId="186" fontId="0" fillId="5" borderId="0" xfId="0" applyNumberFormat="1" applyFill="1"/>
    <xf numFmtId="43" fontId="0" fillId="0" borderId="0" xfId="1" applyFont="1" applyFill="1"/>
    <xf numFmtId="44" fontId="0" fillId="5" borderId="0" xfId="2" applyFont="1" applyFill="1"/>
    <xf numFmtId="16" fontId="0" fillId="0" borderId="0" xfId="0" applyNumberFormat="1" applyFill="1"/>
    <xf numFmtId="7" fontId="0" fillId="0" borderId="0" xfId="0" applyNumberFormat="1" applyFill="1"/>
    <xf numFmtId="16" fontId="0" fillId="0" borderId="14" xfId="0" applyNumberFormat="1" applyFill="1" applyBorder="1"/>
    <xf numFmtId="5" fontId="0" fillId="0" borderId="30" xfId="0" applyNumberFormat="1" applyFill="1" applyBorder="1"/>
    <xf numFmtId="16" fontId="0" fillId="0" borderId="0" xfId="0" applyNumberFormat="1" applyFill="1" applyAlignment="1">
      <alignment horizontal="right"/>
    </xf>
    <xf numFmtId="16" fontId="0" fillId="0" borderId="0" xfId="0" quotePrefix="1" applyNumberFormat="1" applyBorder="1" applyAlignment="1">
      <alignment horizontal="right"/>
    </xf>
    <xf numFmtId="164" fontId="0" fillId="0" borderId="0" xfId="0" applyNumberFormat="1" applyFill="1" applyBorder="1"/>
    <xf numFmtId="5" fontId="0" fillId="0" borderId="0" xfId="0" applyNumberFormat="1" applyFill="1"/>
    <xf numFmtId="5" fontId="0" fillId="0" borderId="14" xfId="0" applyNumberFormat="1" applyFill="1" applyBorder="1"/>
    <xf numFmtId="164" fontId="0" fillId="0" borderId="30" xfId="0" applyNumberFormat="1" applyFill="1" applyBorder="1"/>
    <xf numFmtId="164" fontId="0" fillId="0" borderId="0" xfId="0" applyNumberFormat="1" applyFill="1"/>
    <xf numFmtId="164" fontId="14" fillId="15" borderId="0" xfId="0" applyNumberFormat="1" applyFont="1" applyFill="1" applyAlignment="1">
      <alignment horizontal="center"/>
    </xf>
    <xf numFmtId="164" fontId="21" fillId="15" borderId="0" xfId="0" applyNumberFormat="1" applyFont="1" applyFill="1"/>
    <xf numFmtId="175" fontId="15" fillId="0" borderId="0" xfId="2" applyNumberFormat="1" applyFont="1" applyFill="1"/>
    <xf numFmtId="180" fontId="17" fillId="0" borderId="11" xfId="9" applyNumberFormat="1" applyFont="1" applyFill="1" applyBorder="1"/>
    <xf numFmtId="180" fontId="17" fillId="0" borderId="12" xfId="9" applyNumberFormat="1" applyFont="1" applyFill="1" applyBorder="1"/>
    <xf numFmtId="173" fontId="0" fillId="0" borderId="0" xfId="0" applyNumberFormat="1"/>
    <xf numFmtId="0" fontId="13" fillId="0" borderId="0" xfId="0" applyFont="1" applyAlignment="1">
      <alignment wrapText="1"/>
    </xf>
    <xf numFmtId="164" fontId="0" fillId="16" borderId="0" xfId="1" applyNumberFormat="1" applyFont="1" applyFill="1"/>
    <xf numFmtId="164" fontId="27" fillId="0" borderId="0" xfId="1" applyNumberFormat="1" applyFont="1" applyFill="1"/>
    <xf numFmtId="5" fontId="0" fillId="16" borderId="0" xfId="0" applyNumberFormat="1" applyFill="1"/>
    <xf numFmtId="5" fontId="0" fillId="0" borderId="0" xfId="1" applyNumberFormat="1" applyFont="1"/>
    <xf numFmtId="191" fontId="0" fillId="0" borderId="0" xfId="0" applyNumberFormat="1" applyFill="1"/>
    <xf numFmtId="178" fontId="0" fillId="0" borderId="0" xfId="0" applyNumberFormat="1"/>
    <xf numFmtId="192" fontId="0" fillId="0" borderId="0" xfId="2" applyNumberFormat="1" applyFont="1"/>
    <xf numFmtId="43" fontId="0" fillId="0" borderId="30" xfId="1" applyFont="1" applyBorder="1"/>
    <xf numFmtId="17" fontId="43" fillId="9" borderId="0" xfId="9" applyNumberFormat="1" applyFill="1"/>
    <xf numFmtId="0" fontId="0" fillId="0" borderId="0" xfId="0" applyFill="1" applyBorder="1"/>
    <xf numFmtId="5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0" fontId="0" fillId="0" borderId="0" xfId="0" applyFont="1" applyFill="1" applyBorder="1"/>
    <xf numFmtId="164" fontId="27" fillId="0" borderId="30" xfId="0" applyNumberFormat="1" applyFont="1" applyBorder="1"/>
    <xf numFmtId="7" fontId="0" fillId="0" borderId="0" xfId="0" applyNumberFormat="1" applyFont="1" applyFill="1"/>
    <xf numFmtId="5" fontId="0" fillId="0" borderId="0" xfId="0" applyNumberFormat="1" applyFont="1" applyFill="1"/>
    <xf numFmtId="164" fontId="22" fillId="0" borderId="0" xfId="1" applyNumberFormat="1" applyFont="1"/>
    <xf numFmtId="0" fontId="14" fillId="5" borderId="0" xfId="0" applyFont="1" applyFill="1"/>
    <xf numFmtId="9" fontId="54" fillId="0" borderId="0" xfId="3" applyFont="1"/>
    <xf numFmtId="0" fontId="1" fillId="0" borderId="0" xfId="15"/>
    <xf numFmtId="10" fontId="0" fillId="0" borderId="0" xfId="16" applyNumberFormat="1" applyFont="1"/>
    <xf numFmtId="44" fontId="0" fillId="0" borderId="0" xfId="17" applyFont="1"/>
    <xf numFmtId="176" fontId="1" fillId="0" borderId="0" xfId="15" applyNumberFormat="1"/>
    <xf numFmtId="176" fontId="0" fillId="0" borderId="0" xfId="17" applyNumberFormat="1" applyFont="1"/>
    <xf numFmtId="0" fontId="57" fillId="0" borderId="0" xfId="15" applyFont="1"/>
    <xf numFmtId="44" fontId="13" fillId="5" borderId="0" xfId="2" applyNumberFormat="1" applyFont="1" applyFill="1"/>
    <xf numFmtId="0" fontId="11" fillId="0" borderId="0" xfId="0" applyFont="1" applyFill="1" applyAlignment="1">
      <alignment horizontal="center"/>
    </xf>
    <xf numFmtId="0" fontId="58" fillId="5" borderId="0" xfId="0" applyFont="1" applyFill="1"/>
    <xf numFmtId="176" fontId="15" fillId="0" borderId="0" xfId="2" applyNumberFormat="1" applyFont="1" applyFill="1"/>
    <xf numFmtId="37" fontId="13" fillId="7" borderId="0" xfId="0" applyNumberFormat="1" applyFont="1" applyFill="1"/>
    <xf numFmtId="37" fontId="13" fillId="16" borderId="0" xfId="0" applyNumberFormat="1" applyFont="1" applyFill="1"/>
    <xf numFmtId="37" fontId="14" fillId="7" borderId="0" xfId="0" applyNumberFormat="1" applyFont="1" applyFill="1"/>
    <xf numFmtId="17" fontId="59" fillId="8" borderId="0" xfId="0" quotePrefix="1" applyNumberFormat="1" applyFont="1" applyFill="1" applyAlignment="1">
      <alignment horizontal="center"/>
    </xf>
    <xf numFmtId="43" fontId="15" fillId="0" borderId="1" xfId="1" applyNumberFormat="1" applyFont="1" applyBorder="1"/>
    <xf numFmtId="43" fontId="16" fillId="0" borderId="0" xfId="1" applyFont="1" applyAlignment="1">
      <alignment horizontal="center"/>
    </xf>
    <xf numFmtId="39" fontId="60" fillId="0" borderId="0" xfId="0" applyNumberFormat="1" applyFont="1"/>
    <xf numFmtId="3" fontId="17" fillId="5" borderId="0" xfId="0" applyNumberFormat="1" applyFont="1" applyFill="1"/>
    <xf numFmtId="17" fontId="43" fillId="5" borderId="0" xfId="9" applyNumberFormat="1" applyFill="1"/>
    <xf numFmtId="17" fontId="43" fillId="8" borderId="0" xfId="9" applyNumberFormat="1" applyFill="1"/>
    <xf numFmtId="0" fontId="0" fillId="8" borderId="0" xfId="9" applyFont="1" applyFill="1"/>
    <xf numFmtId="0" fontId="0" fillId="9" borderId="0" xfId="9" applyFont="1" applyFill="1"/>
    <xf numFmtId="14" fontId="0" fillId="0" borderId="0" xfId="0" applyNumberFormat="1"/>
    <xf numFmtId="0" fontId="0" fillId="0" borderId="0" xfId="0" applyAlignment="1">
      <alignment horizontal="center"/>
    </xf>
    <xf numFmtId="0" fontId="10" fillId="0" borderId="0" xfId="4" applyAlignment="1" applyProtection="1">
      <alignment horizontal="center"/>
    </xf>
    <xf numFmtId="0" fontId="12" fillId="0" borderId="0" xfId="0" applyFont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22" fillId="0" borderId="0" xfId="0" applyFont="1" applyAlignment="1">
      <alignment horizontal="center"/>
    </xf>
    <xf numFmtId="0" fontId="9" fillId="0" borderId="3" xfId="0" applyFont="1" applyBorder="1" applyAlignment="1">
      <alignment horizontal="center"/>
    </xf>
    <xf numFmtId="0" fontId="9" fillId="0" borderId="4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0" fontId="22" fillId="0" borderId="16" xfId="0" applyFont="1" applyBorder="1" applyAlignment="1">
      <alignment horizontal="center"/>
    </xf>
    <xf numFmtId="0" fontId="22" fillId="0" borderId="17" xfId="0" applyFont="1" applyBorder="1" applyAlignment="1">
      <alignment horizontal="center"/>
    </xf>
    <xf numFmtId="0" fontId="22" fillId="0" borderId="18" xfId="0" applyFont="1" applyBorder="1" applyAlignment="1">
      <alignment horizontal="center"/>
    </xf>
    <xf numFmtId="0" fontId="22" fillId="0" borderId="1" xfId="0" applyFont="1" applyBorder="1" applyAlignment="1">
      <alignment horizontal="center"/>
    </xf>
    <xf numFmtId="0" fontId="22" fillId="0" borderId="2" xfId="0" applyFont="1" applyBorder="1" applyAlignment="1">
      <alignment horizontal="center"/>
    </xf>
    <xf numFmtId="0" fontId="22" fillId="0" borderId="3" xfId="0" applyFont="1" applyBorder="1" applyAlignment="1">
      <alignment horizontal="center"/>
    </xf>
    <xf numFmtId="0" fontId="22" fillId="0" borderId="4" xfId="0" applyFont="1" applyBorder="1" applyAlignment="1">
      <alignment horizontal="center"/>
    </xf>
    <xf numFmtId="0" fontId="22" fillId="0" borderId="5" xfId="0" applyFont="1" applyBorder="1" applyAlignment="1">
      <alignment horizontal="center"/>
    </xf>
    <xf numFmtId="0" fontId="0" fillId="0" borderId="0" xfId="0" applyAlignment="1">
      <alignment horizontal="left" wrapText="1"/>
    </xf>
    <xf numFmtId="0" fontId="0" fillId="0" borderId="0" xfId="0" applyAlignment="1">
      <alignment horizontal="left"/>
    </xf>
    <xf numFmtId="0" fontId="57" fillId="0" borderId="0" xfId="15" applyFont="1" applyAlignment="1">
      <alignment horizontal="center" vertical="center"/>
    </xf>
    <xf numFmtId="0" fontId="22" fillId="5" borderId="0" xfId="0" applyFont="1" applyFill="1" applyAlignment="1">
      <alignment horizontal="center" vertical="center"/>
    </xf>
    <xf numFmtId="0" fontId="35" fillId="0" borderId="0" xfId="0" applyFont="1" applyAlignment="1">
      <alignment horizontal="center"/>
    </xf>
    <xf numFmtId="0" fontId="36" fillId="0" borderId="0" xfId="0" applyFont="1" applyAlignment="1">
      <alignment horizontal="center"/>
    </xf>
    <xf numFmtId="0" fontId="37" fillId="0" borderId="0" xfId="0" applyFont="1" applyAlignment="1">
      <alignment horizontal="center"/>
    </xf>
    <xf numFmtId="0" fontId="14" fillId="0" borderId="0" xfId="0" applyFont="1" applyAlignment="1">
      <alignment horizontal="center"/>
    </xf>
    <xf numFmtId="0" fontId="52" fillId="0" borderId="0" xfId="0" applyFont="1" applyAlignment="1">
      <alignment horizontal="left" wrapText="1"/>
    </xf>
    <xf numFmtId="0" fontId="11" fillId="0" borderId="0" xfId="0" applyFont="1" applyAlignment="1">
      <alignment horizontal="center"/>
    </xf>
    <xf numFmtId="0" fontId="10" fillId="0" borderId="16" xfId="4" applyBorder="1" applyAlignment="1" applyProtection="1">
      <alignment horizontal="center"/>
    </xf>
    <xf numFmtId="0" fontId="10" fillId="0" borderId="18" xfId="4" applyBorder="1" applyAlignment="1" applyProtection="1">
      <alignment horizontal="center"/>
    </xf>
    <xf numFmtId="0" fontId="14" fillId="0" borderId="0" xfId="9" applyFont="1" applyAlignment="1">
      <alignment horizontal="center"/>
    </xf>
    <xf numFmtId="0" fontId="14" fillId="0" borderId="14" xfId="9" applyFont="1" applyFill="1" applyBorder="1" applyAlignment="1">
      <alignment horizontal="center"/>
    </xf>
    <xf numFmtId="0" fontId="14" fillId="0" borderId="19" xfId="9" applyFont="1" applyBorder="1" applyAlignment="1">
      <alignment horizontal="left"/>
    </xf>
    <xf numFmtId="0" fontId="14" fillId="0" borderId="21" xfId="9" applyFont="1" applyBorder="1" applyAlignment="1">
      <alignment horizontal="left"/>
    </xf>
    <xf numFmtId="0" fontId="11" fillId="0" borderId="0" xfId="9" applyFont="1" applyBorder="1" applyAlignment="1">
      <alignment horizontal="center"/>
    </xf>
    <xf numFmtId="0" fontId="14" fillId="0" borderId="19" xfId="9" applyFont="1" applyBorder="1" applyAlignment="1">
      <alignment horizontal="center"/>
    </xf>
    <xf numFmtId="0" fontId="14" fillId="0" borderId="21" xfId="9" applyFont="1" applyBorder="1" applyAlignment="1">
      <alignment horizontal="center"/>
    </xf>
    <xf numFmtId="0" fontId="22" fillId="0" borderId="0" xfId="9" applyFont="1" applyAlignment="1">
      <alignment horizontal="center"/>
    </xf>
    <xf numFmtId="0" fontId="12" fillId="0" borderId="0" xfId="13" applyFont="1" applyAlignment="1">
      <alignment horizontal="center"/>
    </xf>
    <xf numFmtId="0" fontId="9" fillId="0" borderId="0" xfId="13" applyAlignment="1"/>
    <xf numFmtId="0" fontId="22" fillId="0" borderId="0" xfId="13" applyFont="1" applyAlignment="1">
      <alignment horizontal="center"/>
    </xf>
    <xf numFmtId="183" fontId="34" fillId="0" borderId="0" xfId="13" applyNumberFormat="1" applyFont="1" applyAlignment="1">
      <alignment horizontal="center"/>
    </xf>
    <xf numFmtId="0" fontId="12" fillId="0" borderId="0" xfId="9" applyFont="1" applyAlignment="1">
      <alignment horizontal="center"/>
    </xf>
    <xf numFmtId="0" fontId="43" fillId="0" borderId="0" xfId="9" applyAlignment="1"/>
    <xf numFmtId="183" fontId="34" fillId="0" borderId="0" xfId="9" applyNumberFormat="1" applyFont="1" applyAlignment="1">
      <alignment horizontal="center"/>
    </xf>
    <xf numFmtId="175" fontId="53" fillId="0" borderId="0" xfId="2" applyNumberFormat="1" applyFont="1" applyFill="1" applyAlignment="1">
      <alignment horizontal="center"/>
    </xf>
    <xf numFmtId="0" fontId="14" fillId="0" borderId="0" xfId="14" applyFont="1" applyAlignment="1">
      <alignment horizontal="center"/>
    </xf>
    <xf numFmtId="0" fontId="22" fillId="0" borderId="0" xfId="14" applyFont="1" applyFill="1" applyAlignment="1">
      <alignment horizontal="center"/>
    </xf>
    <xf numFmtId="185" fontId="14" fillId="0" borderId="0" xfId="14" applyNumberFormat="1" applyFont="1" applyAlignment="1">
      <alignment horizontal="center"/>
    </xf>
    <xf numFmtId="185" fontId="22" fillId="0" borderId="0" xfId="14" applyNumberFormat="1" applyFont="1" applyFill="1" applyAlignment="1">
      <alignment horizontal="center"/>
    </xf>
    <xf numFmtId="0" fontId="14" fillId="0" borderId="3" xfId="14" applyFont="1" applyFill="1" applyBorder="1" applyAlignment="1">
      <alignment horizontal="center"/>
    </xf>
    <xf numFmtId="0" fontId="14" fillId="0" borderId="4" xfId="14" applyFont="1" applyFill="1" applyBorder="1" applyAlignment="1">
      <alignment horizontal="center"/>
    </xf>
    <xf numFmtId="0" fontId="22" fillId="0" borderId="3" xfId="14" applyFont="1" applyFill="1" applyBorder="1" applyAlignment="1">
      <alignment horizontal="center"/>
    </xf>
    <xf numFmtId="0" fontId="22" fillId="0" borderId="4" xfId="14" applyFont="1" applyFill="1" applyBorder="1" applyAlignment="1">
      <alignment horizontal="center"/>
    </xf>
    <xf numFmtId="0" fontId="13" fillId="0" borderId="0" xfId="14" applyFont="1" applyFill="1" applyAlignment="1">
      <alignment horizontal="center"/>
    </xf>
    <xf numFmtId="0" fontId="13" fillId="0" borderId="7" xfId="14" applyFont="1" applyFill="1" applyBorder="1" applyAlignment="1">
      <alignment horizontal="center"/>
    </xf>
    <xf numFmtId="0" fontId="22" fillId="0" borderId="0" xfId="14" applyFont="1" applyAlignment="1">
      <alignment horizontal="center"/>
    </xf>
    <xf numFmtId="185" fontId="22" fillId="0" borderId="0" xfId="14" applyNumberFormat="1" applyFont="1" applyAlignment="1">
      <alignment horizontal="center"/>
    </xf>
    <xf numFmtId="0" fontId="14" fillId="0" borderId="3" xfId="14" applyFont="1" applyBorder="1" applyAlignment="1">
      <alignment horizontal="center"/>
    </xf>
    <xf numFmtId="0" fontId="14" fillId="0" borderId="4" xfId="14" applyFont="1" applyBorder="1" applyAlignment="1">
      <alignment horizontal="center"/>
    </xf>
    <xf numFmtId="0" fontId="22" fillId="0" borderId="3" xfId="14" applyFont="1" applyBorder="1" applyAlignment="1">
      <alignment horizontal="center"/>
    </xf>
    <xf numFmtId="0" fontId="22" fillId="0" borderId="4" xfId="14" applyFont="1" applyBorder="1" applyAlignment="1">
      <alignment horizontal="center"/>
    </xf>
    <xf numFmtId="0" fontId="13" fillId="0" borderId="0" xfId="14" applyFont="1" applyAlignment="1">
      <alignment horizontal="center"/>
    </xf>
    <xf numFmtId="0" fontId="13" fillId="0" borderId="7" xfId="14" applyFont="1" applyBorder="1" applyAlignment="1">
      <alignment horizontal="center"/>
    </xf>
    <xf numFmtId="0" fontId="14" fillId="0" borderId="5" xfId="14" applyFont="1" applyBorder="1" applyAlignment="1">
      <alignment horizontal="center"/>
    </xf>
    <xf numFmtId="0" fontId="22" fillId="0" borderId="5" xfId="14" applyFont="1" applyBorder="1" applyAlignment="1">
      <alignment horizontal="center"/>
    </xf>
  </cellXfs>
  <cellStyles count="18">
    <cellStyle name="Comma" xfId="1" builtinId="3"/>
    <cellStyle name="Comma 4" xfId="7" xr:uid="{00000000-0005-0000-0000-000001000000}"/>
    <cellStyle name="Currency" xfId="2" builtinId="4"/>
    <cellStyle name="Currency 2" xfId="17" xr:uid="{FBFCD6F6-02AA-439E-AD19-3056EEA4664C}"/>
    <cellStyle name="Currency 2 5" xfId="12" xr:uid="{00000000-0005-0000-0000-000003000000}"/>
    <cellStyle name="Hyperlink" xfId="4" builtinId="8"/>
    <cellStyle name="Normal" xfId="0" builtinId="0"/>
    <cellStyle name="Normal 12" xfId="13" xr:uid="{00000000-0005-0000-0000-000006000000}"/>
    <cellStyle name="Normal 15" xfId="10" xr:uid="{00000000-0005-0000-0000-000007000000}"/>
    <cellStyle name="Normal 19" xfId="11" xr:uid="{00000000-0005-0000-0000-000008000000}"/>
    <cellStyle name="Normal 2" xfId="6" xr:uid="{00000000-0005-0000-0000-000009000000}"/>
    <cellStyle name="Normal 2 2" xfId="8" xr:uid="{00000000-0005-0000-0000-00000A000000}"/>
    <cellStyle name="Normal 3" xfId="9" xr:uid="{00000000-0005-0000-0000-00000B000000}"/>
    <cellStyle name="Normal 4" xfId="14" xr:uid="{00000000-0005-0000-0000-00000C000000}"/>
    <cellStyle name="Normal 5" xfId="15" xr:uid="{7CE61B98-4B5B-4F5E-9161-2D685F4BE747}"/>
    <cellStyle name="Normal_Sales _ Demand Allocation" xfId="5" xr:uid="{00000000-0005-0000-0000-00000D000000}"/>
    <cellStyle name="Percent" xfId="3" builtinId="5"/>
    <cellStyle name="Percent 2" xfId="16" xr:uid="{B7F27D31-6ACF-44B8-875F-D1ABABDC8461}"/>
  </cellStyles>
  <dxfs count="1">
    <dxf>
      <font>
        <color auto="1"/>
      </font>
      <fill>
        <patternFill>
          <bgColor rgb="FFFF0000"/>
        </patternFill>
      </fill>
    </dxf>
  </dxfs>
  <tableStyles count="1" defaultTableStyle="TableStyleMedium2" defaultPivotStyle="PivotStyleLight16">
    <tableStyle name="Invisible" pivot="0" table="0" count="0" xr9:uid="{B9D34305-E215-4D36-926A-8B85557984D0}"/>
  </tableStyles>
  <colors>
    <mruColors>
      <color rgb="FF0000FF"/>
      <color rgb="FF0033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externalLink" Target="externalLinks/externalLink68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externalLink" Target="externalLinks/externalLink14.xml"/><Relationship Id="rId68" Type="http://schemas.openxmlformats.org/officeDocument/2006/relationships/externalLink" Target="externalLinks/externalLink19.xml"/><Relationship Id="rId84" Type="http://schemas.openxmlformats.org/officeDocument/2006/relationships/externalLink" Target="externalLinks/externalLink35.xml"/><Relationship Id="rId89" Type="http://schemas.openxmlformats.org/officeDocument/2006/relationships/externalLink" Target="externalLinks/externalLink40.xml"/><Relationship Id="rId112" Type="http://schemas.openxmlformats.org/officeDocument/2006/relationships/externalLink" Target="externalLinks/externalLink63.xml"/><Relationship Id="rId133" Type="http://schemas.openxmlformats.org/officeDocument/2006/relationships/externalLink" Target="externalLinks/externalLink84.xml"/><Relationship Id="rId138" Type="http://schemas.openxmlformats.org/officeDocument/2006/relationships/externalLink" Target="externalLinks/externalLink89.xml"/><Relationship Id="rId154" Type="http://schemas.openxmlformats.org/officeDocument/2006/relationships/calcChain" Target="calcChain.xml"/><Relationship Id="rId16" Type="http://schemas.openxmlformats.org/officeDocument/2006/relationships/worksheet" Target="worksheets/sheet16.xml"/><Relationship Id="rId107" Type="http://schemas.openxmlformats.org/officeDocument/2006/relationships/externalLink" Target="externalLinks/externalLink58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externalLink" Target="externalLinks/externalLink4.xml"/><Relationship Id="rId58" Type="http://schemas.openxmlformats.org/officeDocument/2006/relationships/externalLink" Target="externalLinks/externalLink9.xml"/><Relationship Id="rId74" Type="http://schemas.openxmlformats.org/officeDocument/2006/relationships/externalLink" Target="externalLinks/externalLink25.xml"/><Relationship Id="rId79" Type="http://schemas.openxmlformats.org/officeDocument/2006/relationships/externalLink" Target="externalLinks/externalLink30.xml"/><Relationship Id="rId102" Type="http://schemas.openxmlformats.org/officeDocument/2006/relationships/externalLink" Target="externalLinks/externalLink53.xml"/><Relationship Id="rId123" Type="http://schemas.openxmlformats.org/officeDocument/2006/relationships/externalLink" Target="externalLinks/externalLink74.xml"/><Relationship Id="rId128" Type="http://schemas.openxmlformats.org/officeDocument/2006/relationships/externalLink" Target="externalLinks/externalLink79.xml"/><Relationship Id="rId144" Type="http://schemas.openxmlformats.org/officeDocument/2006/relationships/externalLink" Target="externalLinks/externalLink95.xml"/><Relationship Id="rId149" Type="http://schemas.openxmlformats.org/officeDocument/2006/relationships/externalLink" Target="externalLinks/externalLink100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41.xml"/><Relationship Id="rId95" Type="http://schemas.openxmlformats.org/officeDocument/2006/relationships/externalLink" Target="externalLinks/externalLink46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externalLink" Target="externalLinks/externalLink15.xml"/><Relationship Id="rId69" Type="http://schemas.openxmlformats.org/officeDocument/2006/relationships/externalLink" Target="externalLinks/externalLink20.xml"/><Relationship Id="rId113" Type="http://schemas.openxmlformats.org/officeDocument/2006/relationships/externalLink" Target="externalLinks/externalLink64.xml"/><Relationship Id="rId118" Type="http://schemas.openxmlformats.org/officeDocument/2006/relationships/externalLink" Target="externalLinks/externalLink69.xml"/><Relationship Id="rId134" Type="http://schemas.openxmlformats.org/officeDocument/2006/relationships/externalLink" Target="externalLinks/externalLink85.xml"/><Relationship Id="rId139" Type="http://schemas.openxmlformats.org/officeDocument/2006/relationships/externalLink" Target="externalLinks/externalLink90.xml"/><Relationship Id="rId80" Type="http://schemas.openxmlformats.org/officeDocument/2006/relationships/externalLink" Target="externalLinks/externalLink31.xml"/><Relationship Id="rId85" Type="http://schemas.openxmlformats.org/officeDocument/2006/relationships/externalLink" Target="externalLinks/externalLink36.xml"/><Relationship Id="rId150" Type="http://schemas.openxmlformats.org/officeDocument/2006/relationships/theme" Target="theme/theme1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externalLink" Target="externalLinks/externalLink10.xml"/><Relationship Id="rId67" Type="http://schemas.openxmlformats.org/officeDocument/2006/relationships/externalLink" Target="externalLinks/externalLink18.xml"/><Relationship Id="rId103" Type="http://schemas.openxmlformats.org/officeDocument/2006/relationships/externalLink" Target="externalLinks/externalLink54.xml"/><Relationship Id="rId108" Type="http://schemas.openxmlformats.org/officeDocument/2006/relationships/externalLink" Target="externalLinks/externalLink59.xml"/><Relationship Id="rId116" Type="http://schemas.openxmlformats.org/officeDocument/2006/relationships/externalLink" Target="externalLinks/externalLink67.xml"/><Relationship Id="rId124" Type="http://schemas.openxmlformats.org/officeDocument/2006/relationships/externalLink" Target="externalLinks/externalLink75.xml"/><Relationship Id="rId129" Type="http://schemas.openxmlformats.org/officeDocument/2006/relationships/externalLink" Target="externalLinks/externalLink80.xml"/><Relationship Id="rId137" Type="http://schemas.openxmlformats.org/officeDocument/2006/relationships/externalLink" Target="externalLinks/externalLink8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externalLink" Target="externalLinks/externalLink5.xml"/><Relationship Id="rId62" Type="http://schemas.openxmlformats.org/officeDocument/2006/relationships/externalLink" Target="externalLinks/externalLink13.xml"/><Relationship Id="rId70" Type="http://schemas.openxmlformats.org/officeDocument/2006/relationships/externalLink" Target="externalLinks/externalLink21.xml"/><Relationship Id="rId75" Type="http://schemas.openxmlformats.org/officeDocument/2006/relationships/externalLink" Target="externalLinks/externalLink26.xml"/><Relationship Id="rId83" Type="http://schemas.openxmlformats.org/officeDocument/2006/relationships/externalLink" Target="externalLinks/externalLink34.xml"/><Relationship Id="rId88" Type="http://schemas.openxmlformats.org/officeDocument/2006/relationships/externalLink" Target="externalLinks/externalLink39.xml"/><Relationship Id="rId91" Type="http://schemas.openxmlformats.org/officeDocument/2006/relationships/externalLink" Target="externalLinks/externalLink42.xml"/><Relationship Id="rId96" Type="http://schemas.openxmlformats.org/officeDocument/2006/relationships/externalLink" Target="externalLinks/externalLink47.xml"/><Relationship Id="rId111" Type="http://schemas.openxmlformats.org/officeDocument/2006/relationships/externalLink" Target="externalLinks/externalLink62.xml"/><Relationship Id="rId132" Type="http://schemas.openxmlformats.org/officeDocument/2006/relationships/externalLink" Target="externalLinks/externalLink83.xml"/><Relationship Id="rId140" Type="http://schemas.openxmlformats.org/officeDocument/2006/relationships/externalLink" Target="externalLinks/externalLink91.xml"/><Relationship Id="rId145" Type="http://schemas.openxmlformats.org/officeDocument/2006/relationships/externalLink" Target="externalLinks/externalLink96.xml"/><Relationship Id="rId153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externalLink" Target="externalLinks/externalLink8.xml"/><Relationship Id="rId106" Type="http://schemas.openxmlformats.org/officeDocument/2006/relationships/externalLink" Target="externalLinks/externalLink57.xml"/><Relationship Id="rId114" Type="http://schemas.openxmlformats.org/officeDocument/2006/relationships/externalLink" Target="externalLinks/externalLink65.xml"/><Relationship Id="rId119" Type="http://schemas.openxmlformats.org/officeDocument/2006/relationships/externalLink" Target="externalLinks/externalLink70.xml"/><Relationship Id="rId127" Type="http://schemas.openxmlformats.org/officeDocument/2006/relationships/externalLink" Target="externalLinks/externalLink78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externalLink" Target="externalLinks/externalLink3.xml"/><Relationship Id="rId60" Type="http://schemas.openxmlformats.org/officeDocument/2006/relationships/externalLink" Target="externalLinks/externalLink11.xml"/><Relationship Id="rId65" Type="http://schemas.openxmlformats.org/officeDocument/2006/relationships/externalLink" Target="externalLinks/externalLink16.xml"/><Relationship Id="rId73" Type="http://schemas.openxmlformats.org/officeDocument/2006/relationships/externalLink" Target="externalLinks/externalLink24.xml"/><Relationship Id="rId78" Type="http://schemas.openxmlformats.org/officeDocument/2006/relationships/externalLink" Target="externalLinks/externalLink29.xml"/><Relationship Id="rId81" Type="http://schemas.openxmlformats.org/officeDocument/2006/relationships/externalLink" Target="externalLinks/externalLink32.xml"/><Relationship Id="rId86" Type="http://schemas.openxmlformats.org/officeDocument/2006/relationships/externalLink" Target="externalLinks/externalLink37.xml"/><Relationship Id="rId94" Type="http://schemas.openxmlformats.org/officeDocument/2006/relationships/externalLink" Target="externalLinks/externalLink45.xml"/><Relationship Id="rId99" Type="http://schemas.openxmlformats.org/officeDocument/2006/relationships/externalLink" Target="externalLinks/externalLink50.xml"/><Relationship Id="rId101" Type="http://schemas.openxmlformats.org/officeDocument/2006/relationships/externalLink" Target="externalLinks/externalLink52.xml"/><Relationship Id="rId122" Type="http://schemas.openxmlformats.org/officeDocument/2006/relationships/externalLink" Target="externalLinks/externalLink73.xml"/><Relationship Id="rId130" Type="http://schemas.openxmlformats.org/officeDocument/2006/relationships/externalLink" Target="externalLinks/externalLink81.xml"/><Relationship Id="rId135" Type="http://schemas.openxmlformats.org/officeDocument/2006/relationships/externalLink" Target="externalLinks/externalLink86.xml"/><Relationship Id="rId143" Type="http://schemas.openxmlformats.org/officeDocument/2006/relationships/externalLink" Target="externalLinks/externalLink94.xml"/><Relationship Id="rId148" Type="http://schemas.openxmlformats.org/officeDocument/2006/relationships/externalLink" Target="externalLinks/externalLink99.xml"/><Relationship Id="rId15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externalLink" Target="externalLinks/externalLink60.xml"/><Relationship Id="rId34" Type="http://schemas.openxmlformats.org/officeDocument/2006/relationships/worksheet" Target="worksheets/sheet34.xml"/><Relationship Id="rId50" Type="http://schemas.openxmlformats.org/officeDocument/2006/relationships/externalLink" Target="externalLinks/externalLink1.xml"/><Relationship Id="rId55" Type="http://schemas.openxmlformats.org/officeDocument/2006/relationships/externalLink" Target="externalLinks/externalLink6.xml"/><Relationship Id="rId76" Type="http://schemas.openxmlformats.org/officeDocument/2006/relationships/externalLink" Target="externalLinks/externalLink27.xml"/><Relationship Id="rId97" Type="http://schemas.openxmlformats.org/officeDocument/2006/relationships/externalLink" Target="externalLinks/externalLink48.xml"/><Relationship Id="rId104" Type="http://schemas.openxmlformats.org/officeDocument/2006/relationships/externalLink" Target="externalLinks/externalLink55.xml"/><Relationship Id="rId120" Type="http://schemas.openxmlformats.org/officeDocument/2006/relationships/externalLink" Target="externalLinks/externalLink71.xml"/><Relationship Id="rId125" Type="http://schemas.openxmlformats.org/officeDocument/2006/relationships/externalLink" Target="externalLinks/externalLink76.xml"/><Relationship Id="rId141" Type="http://schemas.openxmlformats.org/officeDocument/2006/relationships/externalLink" Target="externalLinks/externalLink92.xml"/><Relationship Id="rId146" Type="http://schemas.openxmlformats.org/officeDocument/2006/relationships/externalLink" Target="externalLinks/externalLink97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22.xml"/><Relationship Id="rId92" Type="http://schemas.openxmlformats.org/officeDocument/2006/relationships/externalLink" Target="externalLinks/externalLink4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externalLink" Target="externalLinks/externalLink17.xml"/><Relationship Id="rId87" Type="http://schemas.openxmlformats.org/officeDocument/2006/relationships/externalLink" Target="externalLinks/externalLink38.xml"/><Relationship Id="rId110" Type="http://schemas.openxmlformats.org/officeDocument/2006/relationships/externalLink" Target="externalLinks/externalLink61.xml"/><Relationship Id="rId115" Type="http://schemas.openxmlformats.org/officeDocument/2006/relationships/externalLink" Target="externalLinks/externalLink66.xml"/><Relationship Id="rId131" Type="http://schemas.openxmlformats.org/officeDocument/2006/relationships/externalLink" Target="externalLinks/externalLink82.xml"/><Relationship Id="rId136" Type="http://schemas.openxmlformats.org/officeDocument/2006/relationships/externalLink" Target="externalLinks/externalLink87.xml"/><Relationship Id="rId61" Type="http://schemas.openxmlformats.org/officeDocument/2006/relationships/externalLink" Target="externalLinks/externalLink12.xml"/><Relationship Id="rId82" Type="http://schemas.openxmlformats.org/officeDocument/2006/relationships/externalLink" Target="externalLinks/externalLink33.xml"/><Relationship Id="rId152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externalLink" Target="externalLinks/externalLink7.xml"/><Relationship Id="rId77" Type="http://schemas.openxmlformats.org/officeDocument/2006/relationships/externalLink" Target="externalLinks/externalLink28.xml"/><Relationship Id="rId100" Type="http://schemas.openxmlformats.org/officeDocument/2006/relationships/externalLink" Target="externalLinks/externalLink51.xml"/><Relationship Id="rId105" Type="http://schemas.openxmlformats.org/officeDocument/2006/relationships/externalLink" Target="externalLinks/externalLink56.xml"/><Relationship Id="rId126" Type="http://schemas.openxmlformats.org/officeDocument/2006/relationships/externalLink" Target="externalLinks/externalLink77.xml"/><Relationship Id="rId147" Type="http://schemas.openxmlformats.org/officeDocument/2006/relationships/externalLink" Target="externalLinks/externalLink98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2.xml"/><Relationship Id="rId72" Type="http://schemas.openxmlformats.org/officeDocument/2006/relationships/externalLink" Target="externalLinks/externalLink23.xml"/><Relationship Id="rId93" Type="http://schemas.openxmlformats.org/officeDocument/2006/relationships/externalLink" Target="externalLinks/externalLink44.xml"/><Relationship Id="rId98" Type="http://schemas.openxmlformats.org/officeDocument/2006/relationships/externalLink" Target="externalLinks/externalLink49.xml"/><Relationship Id="rId121" Type="http://schemas.openxmlformats.org/officeDocument/2006/relationships/externalLink" Target="externalLinks/externalLink72.xml"/><Relationship Id="rId142" Type="http://schemas.openxmlformats.org/officeDocument/2006/relationships/externalLink" Target="externalLinks/externalLink93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24</xdr:col>
      <xdr:colOff>677149</xdr:colOff>
      <xdr:row>39</xdr:row>
      <xdr:rowOff>151577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1F231C5-5F42-4E11-A453-EB6912A1C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202899" cy="59808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85725</xdr:rowOff>
    </xdr:from>
    <xdr:to>
      <xdr:col>24</xdr:col>
      <xdr:colOff>686464</xdr:colOff>
      <xdr:row>94</xdr:row>
      <xdr:rowOff>86643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72D429F-CA59-4768-BAAE-D7399B4CA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238875"/>
          <a:ext cx="16212214" cy="8582943"/>
        </a:xfrm>
        <a:prstGeom prst="rect">
          <a:avLst/>
        </a:prstGeom>
      </xdr:spPr>
    </xdr:pic>
    <xdr:clientData/>
  </xdr:twoCellAnchor>
  <xdr:twoCellAnchor editAs="oneCell">
    <xdr:from>
      <xdr:col>27</xdr:col>
      <xdr:colOff>85725</xdr:colOff>
      <xdr:row>0</xdr:row>
      <xdr:rowOff>0</xdr:rowOff>
    </xdr:from>
    <xdr:to>
      <xdr:col>45</xdr:col>
      <xdr:colOff>188231</xdr:colOff>
      <xdr:row>40</xdr:row>
      <xdr:rowOff>1895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C6E976-1F58-43AD-A4E0-99964989C1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783175" y="0"/>
          <a:ext cx="12827906" cy="5989945"/>
        </a:xfrm>
        <a:prstGeom prst="rect">
          <a:avLst/>
        </a:prstGeom>
      </xdr:spPr>
    </xdr:pic>
    <xdr:clientData/>
  </xdr:twoCellAnchor>
  <xdr:twoCellAnchor editAs="oneCell">
    <xdr:from>
      <xdr:col>29</xdr:col>
      <xdr:colOff>704850</xdr:colOff>
      <xdr:row>40</xdr:row>
      <xdr:rowOff>142875</xdr:rowOff>
    </xdr:from>
    <xdr:to>
      <xdr:col>56</xdr:col>
      <xdr:colOff>112083</xdr:colOff>
      <xdr:row>98</xdr:row>
      <xdr:rowOff>2019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2FA8E17-A03D-4F80-80A8-80E07EC9D1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621500" y="6134100"/>
          <a:ext cx="17733333" cy="9247619"/>
        </a:xfrm>
        <a:prstGeom prst="rect">
          <a:avLst/>
        </a:prstGeom>
      </xdr:spPr>
    </xdr:pic>
    <xdr:clientData/>
  </xdr:twoCellAnchor>
  <xdr:twoCellAnchor editAs="oneCell">
    <xdr:from>
      <xdr:col>62</xdr:col>
      <xdr:colOff>590903</xdr:colOff>
      <xdr:row>0</xdr:row>
      <xdr:rowOff>0</xdr:rowOff>
    </xdr:from>
    <xdr:to>
      <xdr:col>87</xdr:col>
      <xdr:colOff>122119</xdr:colOff>
      <xdr:row>59</xdr:row>
      <xdr:rowOff>113954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301A8E1-7FA7-487C-9238-9A3BF42565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3832639" y="0"/>
          <a:ext cx="15626701" cy="9074510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61</xdr:row>
      <xdr:rowOff>0</xdr:rowOff>
    </xdr:from>
    <xdr:to>
      <xdr:col>92</xdr:col>
      <xdr:colOff>497429</xdr:colOff>
      <xdr:row>122</xdr:row>
      <xdr:rowOff>24412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DD42CAB-AC20-4486-8B1E-8EFE39FA3E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550981" y="9349154"/>
          <a:ext cx="18133333" cy="9857143"/>
        </a:xfrm>
        <a:prstGeom prst="rect">
          <a:avLst/>
        </a:prstGeom>
      </xdr:spPr>
    </xdr:pic>
    <xdr:clientData/>
  </xdr:twoCellAnchor>
  <xdr:twoCellAnchor editAs="oneCell">
    <xdr:from>
      <xdr:col>29</xdr:col>
      <xdr:colOff>696058</xdr:colOff>
      <xdr:row>40</xdr:row>
      <xdr:rowOff>124556</xdr:rowOff>
    </xdr:from>
    <xdr:to>
      <xdr:col>56</xdr:col>
      <xdr:colOff>131883</xdr:colOff>
      <xdr:row>98</xdr:row>
      <xdr:rowOff>51287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81939EE-8913-4B18-8F93-E882E4E33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577539" y="6088671"/>
          <a:ext cx="17723825" cy="927588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32845</xdr:colOff>
      <xdr:row>55</xdr:row>
      <xdr:rowOff>19707</xdr:rowOff>
    </xdr:from>
    <xdr:to>
      <xdr:col>19</xdr:col>
      <xdr:colOff>363191</xdr:colOff>
      <xdr:row>104</xdr:row>
      <xdr:rowOff>48914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4DE5EB3-46E6-4CBD-A8BD-9F0702A0E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57793" y="183931"/>
          <a:ext cx="5828571" cy="8076190"/>
        </a:xfrm>
        <a:prstGeom prst="rect">
          <a:avLst/>
        </a:prstGeom>
      </xdr:spPr>
    </xdr:pic>
    <xdr:clientData/>
  </xdr:twoCellAnchor>
  <xdr:twoCellAnchor editAs="oneCell">
    <xdr:from>
      <xdr:col>10</xdr:col>
      <xdr:colOff>394140</xdr:colOff>
      <xdr:row>1</xdr:row>
      <xdr:rowOff>0</xdr:rowOff>
    </xdr:from>
    <xdr:to>
      <xdr:col>19</xdr:col>
      <xdr:colOff>562582</xdr:colOff>
      <xdr:row>49</xdr:row>
      <xdr:rowOff>98555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94CE927-2238-4AF5-872C-998C817C8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21312" y="164224"/>
          <a:ext cx="5666667" cy="8047619"/>
        </a:xfrm>
        <a:prstGeom prst="rect">
          <a:avLst/>
        </a:prstGeom>
      </xdr:spPr>
    </xdr:pic>
    <xdr:clientData/>
  </xdr:twoCellAnchor>
  <xdr:twoCellAnchor editAs="oneCell">
    <xdr:from>
      <xdr:col>22</xdr:col>
      <xdr:colOff>154781</xdr:colOff>
      <xdr:row>0</xdr:row>
      <xdr:rowOff>128380</xdr:rowOff>
    </xdr:from>
    <xdr:to>
      <xdr:col>41</xdr:col>
      <xdr:colOff>419675</xdr:colOff>
      <xdr:row>49</xdr:row>
      <xdr:rowOff>98794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F1C7AE1-FD97-4599-9EE9-C25F9D7D27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252281" y="128380"/>
          <a:ext cx="11802050" cy="795355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02009fi\datadirs\Rate%20Engineering\ELECRATE\MSC%20and%20MAC%20Rates\October%202021%20MAC&amp;MSC%20CAP\2022%20Budget%20Delivery%20Vol%20&amp;%20Rev%20for%20Rate%20Eng%20-%206YRS%20-%20TO%20SEND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02009fi\datadirs\Rate%20Engineering\ELECRATE\MSC%20and%20MAC%20Rates\October%202021%20MAC&amp;MSC%20CAP\2020%20Sales%20and%20Demand%20of%20SC%205%20and%2013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02009fi\datadirs\Rate%20Engineering\ELECRATE\MSC%20and%20MAC%20Rates\October%202021%20MAC&amp;MSC%20CAP\2022%20Budget%20Standby%20Summary%20-%20for%20R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02009fi\datadirs\Rate%20Engineering\ELECRATE\RateCase%202019\Initial%20Filing\Rev%20Allocation%20and%20Rate%20Design\Revenue%20Priceout\2017%20priceout\Conv%20Dmd%20&amp;%20Energy%20Only%20Class%20Priceouts%20-%202019%20cas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02009fi\datadirs\Rate%20Engineering\ELECRATE\MSC%20and%20MAC%20Rates\February%202020%20MAC\Rider%20Z%20Time%20Period%20Table_Fill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inputs/2019%20&amp;%202020%20Sales%20and%20Demand%20of%20SC%205%20and%2013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02009fi\datadirs\Rate%20Engineering\ELECRATE\MSC%20and%20MAC%20Rates\February%202020%20MAC\kW%20Ratios%20for%20Conv%20Classes%20-%20ECOS%202017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02009fi\datadirs\Rate%20Engineering\ELECRATE\RateCase%202022\Initial%20Filing\Rev%20Allocation%20and%20Rate%20Design\Revenue%20Priceout\2019%20Priceout\2019%20TOD%20Class%20Priceouts%202022%20Case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02009fi\datadirs\Rate%20Engineering\ELECRATE\RateCase%202019\Initial%20Filing\Rev%20Allocation%20and%20Rate%20Design\Revenue%20Priceout\2017%20priceout\TOD%20Class%20Priceouts%202019%20Case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02009fi\datadirs\Rate%20Engineering\ELECRATE\RateCase%202022\Adjusted%20Sales%202019%20HY\2019%20Adjusted%20Sales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02009fi\datadirs\Rate%20Engineering\ELECRATE\RateCase%202019\Adjusted%20Sales\2017%20Adjusted%20Sales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02009fi\datadirs\Rate%20Engineering\ELECRATE\MSC%20and%20MAC%20Rates\February%202020%20MAC\2017%20On%20Peak%20Off%20Peak%20for%20Rate%20Section_Sendout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02009fi\datadirs\Rate%20Engineering\ELECRATE\MSC%20and%20MAC%20Rates\May%202019%20MAC&amp;MSC%20CAP\2013%20On%20Peak%20Off%20Peak%20for%20Rate%20Section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02009fi\datadirs\ELECRATE\MSC%20and%20MAC%20Rates\May%202012%20MAC&amp;MSC%20CAP\CECONY%20CF%20for%202012%20Budget%2004%2005%2012%20w%20Strip%20Prices%20&amp;%20Effective%20ICAP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02009fi\datadirs\Rate%20Engineering\ELECRATE\MSC%20and%20MAC%20Rates\November%202017%20MAC&amp;MSC%20CAP\CECONY%20CF%20for%202012%20Budget%2010%2001%2012%20w%20Effective%20ICA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02009fi\datadirs\Rate%20Engineering\ELECRATE\MSC%20and%20MAC%20Rates\November%202017%20MAC&amp;MSC%20CAP\CECONY%20CF%20for%202013%20Budget%2004%2001%2013%20w%20Strip%20Prices%20%20Effective%20ICAP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02009fi\datadirs\Rate%20Engineering\ELECRATE\MSC%20and%20MAC%20Rates\November%202017%20MAC&amp;MSC%20CAP\CECONY%20CF%20for%202013%20Budget%2010%2001%2013%20w%20Strip%20Prices%20&amp;%20Effective%20ICAP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02009fi\datadirs\Rate%20Engineering\ELECRATE\MSC%20and%20MAC%20Rates\November%202017%20MAC&amp;MSC%20CAP\CECONY%20CF%20for%202014%20Budget%2004%2003%2014%20w%20Strip%20Prices%20%20Effective%20ICAP%20w%20GHI%20-Revised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02009fi\datadirs\Rate%20Engineering\ELECRATE\MSC%20and%20MAC%20Rates\November%202017%20MAC&amp;MSC%20CAP\CECONY%20CF%20for%202014%20Budget%2010%2001%2014%20w%20Strip%20Prices%20%20Effective%20ICAP%20w%20GHI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02009fi\datadirs\Rate%20Engineering\ELECRATE\MSC%20and%20MAC%20Rates\November%202017%20MAC&amp;MSC%20CAP\CECONY%20CF%20for%202015%20Budget%2004%2002%2015%20w%20Strip%20Prices%20%20Effective%20ICAP%20w%20GHI.xlsx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02009fi\datadirs\Rate%20Engineering\ELECRATE\MSC%20and%20MAC%20Rates\November%202017%20MAC&amp;MSC%20CAP\CECONY%20CF%20for%202015%20Budget%2010%2001%2015%20w%20Strip%20Prices%20%20Effective%20ICAP%20w%20GHI.xlsx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02009fi\datadirs\Rate%20Engineering\ELECRATE\MSC%20and%20MAC%20Rates\May%202016%20MAC&amp;MSC%20CAP\CECONY%20CF%20for%202016%20Budget%2004%2001%2016%20w%20Strip%20Prices%20%20Effective%20ICAP%20w%20GHI.xlsx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02009fi\datadirs\Rate%20Engineering\ELECRATE\MSC%20and%20MAC%20Rates\November%202017%20MAC&amp;MSC%20CAP\CECONY%20CF%20for%202016%20Budget%2010%2004%2016%20w%20Strip%20Prices%20%20Effective%20ICAP%20w%20GHI.xlsx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02009fi\datadirs\Rate%20Engineering\ELECRATE\MSC%20and%20MAC%20Rates\November%202017%20MAC&amp;MSC%20CAP\CECONY%20CF%20for%202016%20Budget%2004%2006%2017%20w%20Strip%20Prices%20%20Effective%20ICAP%20w%20GHI.xlsx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02009fi\datadirs\Rate%20Engineering\ELECRATE\MSC%20and%20MAC%20Rates\February%202018%20MAC\CECONY%20CF%20for%202017%20Budget%2010%2003%2017%20w%20Strip%20Prices%20%20Effective%20ICAP%20w%20GHI.xlsx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02009fi\datadirs\Rate%20Engineering\ELECRATE\MSC%20and%20MAC%20Rates\May%202018%20MAC&amp;MSC%20CAP\CECONY%20CF%20Capacity%20Price%20Forecast%2004%2011%202018%20-%20updated.xlsx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02009fi\datadirs\Rate%20Engineering\ELECRATE\MSC%20and%20MAC%20Rates\December%202018%20MAC\CECONY%20CF%20Capacity%20Price%20Forecast%2010.04.2018.xlsx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02009fi\datadirs\Rate%20Engineering\ELECRATE\MSC%20and%20MAC%20Rates\October%202021%20MAC&amp;MSC%20CAP\CECONY%20and%20ORU%20CF%20Capacity%20Price%20Forecast%209.8.21.xlsx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02009fi\datadirs\Rate%20Engineering\ELECRATE\MSC%20and%20MAC%20Rates\December%202019%20MAC\Capacity%20for%20MHP\NYSIO\ICAP-Market-Report-April-2019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02009fi\datadirs\Rate%20Engineering\ELECRATE\MSC%20and%20MAC%20Rates\May%202020%20MAC&amp;MSC%20CAP\ICAP-Market-Report-October-2019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02009fi\datadirs\Rate%20Engineering\ELECRATE\MSC%20and%20MAC%20Rates\October%202020%20MAC\ICAP-Market-Report-April-2020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02009fi\datadirs\Rate%20Engineering\ELECRATE\MSC%20and%20MAC%20Rates\November%202020%20MAC&amp;MSC%20CAP\Capacity%20for%20MHP\MHP%20Capacity\ICAP-Market-Report-October-2020.xlsx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02009fi\datadirs\Rate%20Engineering\ELECRATE\MSC%20and%20MAC%20Rates\October%202021%20MAC&amp;MSC%20CAP\ICAP-Market-Report-October-2020.xlsx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02009fi\datadirs\Rate%20Engineering\ELECRATE\MSC%20and%20MAC%20Rates\June%202020%20MAC\MSCMAC_MASTER_Jun20%20%232.xlsx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02009fi\datadirs\ELECRATE\MSC%20and%20MAC%20Rates\MAY%202009%20-%20MSC&amp;MAC\NEWPROTOTYPE%205%20decimal%20MAC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02009fi\datadirs\Rate%20Engineering\ELECRATE\MSC%20and%20MAC%20Rates\February%202018%20MAC\Apr23toRateDesign.xlsx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02009fi\datadirs\ELECRATE\MSC%20and%20MAC%20Rates\AUG2009-MAC&amp;MSC\NEWPROTOTYPE%205%20decimal%20MAC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02009fi\datadirs\ELECRATE\MSC%20and%20MAC%20Rates\NOV2009-MAC&amp;MSC\NEWPROTOTYPE%205%20decimal%20MAC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02009fi\datadirs\ELECRATE\MSC%20and%20MAC%20Rates\FEB%202010%20-%20MSC&amp;MAC\NEWPROTOTYPE%205%20decimal%20MAC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02009fi\datadirs\ELECRATE\MSC%20and%20MAC%20Rates\MAY%202010%20-%20MSC&amp;MAC\NEWPROTOTYPE%205%20decimal%20MAC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02009fi\datadirs\ELECRATE\MSC%20and%20MAC%20Rates\November%202010%20MAC&amp;MSC%20CAP\MSCMAC_MASTER_Nov10.xlsx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02009fi\datadirs\ELECRATE\MSC%20and%20MAC%20Rates\May%202011%20MAC&amp;MSC%20CAP\MSCMAC_MASTER_May11.xlsx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02009fi\datadirs\ELECRATE\MSC%20and%20MAC%20Rates\November%202011%20MAC&amp;MSC%20CAP\MSCMAC_MASTER_Nov11.xlsx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02009fi\datadirs\ELECRATE\MSC%20and%20MAC%20Rates\May%202012%20MAC&amp;MSC%20CAP\MSCMAC_MASTER_May12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02009fi\datadirs\ELECRATE\MSC%20and%20MAC%20Rates\November%202012%20MAC&amp;MSC%20CAP\MSCMAC_MASTER_Nov12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02009fi\datadirs\ELECRATE\MSC%20and%20MAC%20Rates\May%202013%20MAC&amp;MSC%20CAP\MSCMAC_MASTER_May13.xlsx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02009fi\datadirs\ELECRATE\MSC%20and%20MAC%20Rates\November%202013%20MAC&amp;MSC%20CAP\MSCMAC_MASTER_Nov13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02009fi\datadirs\Rate%20Engineering\ELECRATE\MSC%20and%20MAC%20Rates\May%202014%20MAC&amp;MSC%20CAP\MSCMAC_MASTER_May14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02009fi\datadirs\Rate%20Engineering\ELECRATE\MSC%20and%20MAC%20Rates\November%202014%20MAC&amp;MSC%20CAP\MSCMAC_MASTER_Nov14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02009fi\datadirs\Rate%20Engineering\ELECRATE\MSC%20and%20MAC%20Rates\May%202015%20MAC&amp;MSC%20CAP\MSCMAC_MASTER_May15.xlsx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02009fi\datadirs\Rate%20Engineering\ELECRATE\MSC%20and%20MAC%20Rates\November%202015%20MAC&amp;MSC%20CAP\MSCMAC_MASTER_Nov15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02009fi\datadirs\Rate%20Engineering\ELECRATE\MSC%20and%20MAC%20Rates\May%202016%20MAC&amp;MSC%20CAP\MSCMAC_MASTER_May16.xlsx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02009fi\datadirs\Rate%20Engineering\ELECRATE\MSC%20and%20MAC%20Rates\November%202016%20MAC&amp;MSC%20CAP\MSCMAC_MASTER_November16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02009fi\datadirs\Rate%20Engineering\ELECRATE\MSC%20and%20MAC%20Rates\May%202020%20MAC&amp;MSC%20CAP\Level%20Billing\SC%201%20VTOU%20Level%20Billing%20-%204-20-20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02009fi\datadirs\Rate%20Engineering\ELECRATE\MSC%20and%20MAC%20Rates\May%202020%20MAC&amp;MSC%20CAP\MSCMAC_MASTER_May20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02009fi\datadirs\Rate%20Engineering\ELECRATE\MSC%20and%20MAC%20Rates\May%202017%20MAC&amp;MSC%20CAP\MSCMAC_MASTER_May17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02009fi\datadirs\Rate%20Engineering\ELECRATE\MSC%20and%20MAC%20Rates\November%202017%20MAC&amp;MSC%20CAP\MSCMAC_MASTER_November17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02009fi\datadirs\Rate%20Engineering\ELECRATE\MSC%20and%20MAC%20Rates\May%202018%20MAC&amp;MSC%20CAP\MSCMAC_MASTER_May18v2.xlsx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02009fi\datadirs\Rate%20Engineering\ELECRATE\MSC%20and%20MAC%20Rates\May%202019%20MAC&amp;MSC%20CAP\MSCMAC_MASTER_May19.xlsx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02009fi\datadirs\Rate%20Engineering\ELECRATE\MSC%20and%20MAC%20Rates\May%202020%20MAC&amp;MSC%20CAP\2020%20Budget%20Delivery%20Volume%20Rev%20-%20Post%20Covid%20-%20NY%20PAUSE%20thru%20Jun%20-%20for%20RE.xlsx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02009fi\datadirs\Rate%20Engineering\ELECRATE\MSC%20and%20MAC%20Rates\May%202020%20MAC&amp;MSC%20CAP\0001%20Revised%20MSC%20Capacity\MSCMAC_MASTER_May20%20%232%20--%205-6-2020.xlsx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02009fi\datadirs\Rate%20Engineering\ELECRATE\MSC%20and%20MAC%20Rates\May%202020%20MAC&amp;MSC%20CAP\2017%20On%20Peak%20Off%20Peak%20for%20Rate%20Section_Sendout.xlsx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02009fi\datadirs\Rate%20Engineering\ELECRATE\MSC%20and%20MAC%20Rates\November%202020%20MAC&amp;MSC%20CAP\Capacity%20for%20MHP\Winter%20Bill%20Impact\Winter%20Bill%20Impact%20Summary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02009fi\datadirs\Rate%20Engineering\ELECRATE\MSC%20and%20MAC%20Rates\May%202021%20MAC&amp;MSC%20CAP\Mitigated%20Summer%20Revenue\GL%2051134_MSC%20I%20Deferral%20SC1%20NYC%20ICAP_202102.xlsm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02009fi\datadirs\Rate%20Engineering\ELECRATE\MSC%20and%20MAC%20Rates\April%202021%20MAC\Mitigated%20Summer%20Revenue\GL%2051134_MSC%20I%20Deferral%20SC1%20NYC%20ICAP_202102.xlsm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02009fi\datadirs\Rate%20Engineering\ELECRATE\MSC%20and%20MAC%20Rates\April%202021%20MAC\Capacity%20Tags\2021%20Capacity%20Tag%20Update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02009fi\datadirs\Rate%20Engineering\ELECRATE\MSC%20and%20MAC%20Rates\May%202021%20MAC&amp;MSC%20CAP\Capacity%20for%20MHP\CECONY%20SHR%20Summer%202021%20Capacity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02009fi\datadirs\Rate%20Engineering\ELECRATE\MSC%20and%20MAC%20Rates\May%202020%20MAC&amp;MSC%20CAP\Capacity%20Tags\2020%20Capacity%20Tag%20Update.xlsx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02009fi\datadirs\Rate%20Engineering\ELECRATE\MSC%20and%20MAC%20Rates\May%202020%20MAC&amp;MSC%20CAP\Forecasted%20Ancillary%20Charges%20Apr-2020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02009fi\datadirs\Rate%20Engineering\ELECRATE\MSC%20and%20MAC%20Rates\May%202020%20MAC&amp;MSC%20CAP\CECONY%20CF%20for%202020%20Budget%2004%2007%2020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02009fi\datadirs\Rate%20Engineering\ELECRATE\MSC%20and%20MAC%20Rates\November%202017%20MAC&amp;MSC%20CAP\2014%20Budget%20Update%20Sales%20for%20Rate%20Engineering%20(2014-02-10).xlsx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02009fi\datadirs\Rate%20Engineering\ELECRATE\MSC%20and%20MAC%20Rates\November%202017%20MAC&amp;MSC%20CAP\2015%20Budget%20Sales%20for%20Rate%20Engineering.xlsx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02009fi\datadirs\Rate%20Engineering\ELECRATE\MSC%20and%20MAC%20Rates\November%202017%20MAC&amp;MSC%20CAP\2016%20Budget%20Delivery%20Volume%20and%20Revenue%20for%20Rate%20Engineering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02009fi\datadirs\Rate%20Engineering\ELECRATE\MSC%20and%20MAC%20Rates\November%202017%20MAC&amp;MSC%20CAP\Appendices%20workpapers%20Aug15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02009fi\datadirs\Rate%20Engineering\ELECRATE\MSC%20and%20MAC%20Rates\September%202020%20MAC\StatMAC%20104\MAC_RateDesign_Sept%2020.xlsx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02009fi\datadirs\Rate%20Engineering\ELECRATE\MSC%20and%20MAC%20Rates\October%202020%20MAC\StatMAC%20105\MAC_RateDesign_Oct%2020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02009fi\datadirs\ELECRATE\MSC%20and%20MAC%20Rates\January%202021%20MAC\StatMAC%20108\MAC_RateDesign_Jan%2021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02009fi\datadirs\Rate%20Engineering\ELECRATE\MSC%20and%20MAC%20Rates\February%202021%20MAC\StatMAC%20109\MAC_RateDesign_Feb%2021.xlsx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02009fi\datadirs\Rate%20Engineering\ELECRATE\MSC%20and%20MAC%20Rates\May%202021%20MAC&amp;MSC%20CAP\StatMAC%20112\MAC_RateDesign_May%2021.xlsx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02009fi\datadirs\Rate%20Engineering\ELECRATE\MSC%20and%20MAC%20Rates\June%202021%20MAC&amp;MSC%20CAP\StatMAC%20113\MAC_RateDesign_June%2021.xlsm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02009fi\datadirs\Rate%20Engineering\ELECRATE\MSC%20and%20MAC%20Rates\August%202021%20MAC&amp;MSC%20CAP\StatMAC%20114\MAC_RateDesign_July%2021.xlsm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02009fi\datadirs\Rate%20Engineering\ELECRATE\MSC%20and%20MAC%20Rates\August%202021%20MAC&amp;MSC%20CAP\StatMAC%20115\MAC_RateDesign_Aug%2021.xlsm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02009fi\datadirs\Rate%20Engineering\ELECRATE\MSC%20and%20MAC%20Rates\September%202021%20MAC&amp;MSC%20CAP\StatMAC%20116\MAC_RateDesign_Sep%2021.xlsm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02009fi\datadirs\Rate%20Engineering\ELECRATE\MSC%20and%20MAC%20Rates\October%202020%20MAC\MSCMAC_MASTER_Winter%202020-2021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02009fi\datadirs\Rate%20Engineering\ELECRATE\MSC%20and%20MAC%20Rates\July%202021%20MAC&amp;MSC%20CAP\StatMAC%20114\MAC_RateDesign_July%2021.xlsm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02009fi\datadirs\Rate%20Engineering\ELECRATE\MSC%20and%20MAC%20Rates\October%202021%20MAC&amp;MSC%20CAP\MAC%20Budget%202022-2026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02009fi\datadirs\Rate%20Engineering\ELECRATE\MSC%20and%20MAC%20Rates\October%202021%20MAC&amp;MSC%20CAP\Impact%20Sep%202021%20Forecast.xlsm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02009fi\datadirs\Rate%20Engineering\ELECRATE\MSC%20and%20MAC%20Rates\October%202021%20MAC&amp;MSC%20CAP\StatMAC%20117\Sources\EAM%20Schedule%20to%20RE%20FINAL%20(for%20Sep21).xlsx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02009fi\datadirs\Rate%20Engineering\ELECRATE\MSC%20and%20MAC%20Rates\October%202021%20MAC&amp;MSC%20CAP\REVFOR-Sep21.xlsm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02009fi\datadirs\Rate%20Engineering\ELECRATE\MSC%20and%20MAC%20Rates\October%202021%20MAC&amp;MSC%20CAP\StatMAC%20116\Sources\EAM%20Schedule%20to%20RE%20FINAL%20(for%20Sep21).xlsx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02009fi\datadirs\Rate%20Engineering\ELECRATE\MSC%20and%20MAC%20Rates\October%202021%20MAC&amp;MSC%20CAP\CECONY%20CF%20for%202021%205-Yr%20Budget%2009%2007%2021.xlsx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02009fi\datadirs\Rate%20Engineering\ELECRATE\MSC%20and%20MAC%20Rates\October%202021%20MAC&amp;MSC%20CAP\Forecasted%20Ancillary%20Charges%20Sep-2021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02009fi\datadirs\Rate%20Engineering\ELECRATE\MSC%20and%20MAC%20Rates\October%202020%20MAC\2017%20On%20Peak%20Off%20Peak%20for%20Rate%20Section_Sendout.xlsx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02009fi\datadirs\Rate%20Engineering\ELECRATE\MSC%20and%20MAC%20Rates\October%202021%20MAC&amp;MSC%20CAP\Capacity%20for%20MHP\Statement\StatMSCCAP-78%20SC1%20NYC%20mitigating%20adj.xlsx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02009fi\datadirs\Rate%20Engineering\ELECRATE\MSC%20and%20MAC%20Rates\May%202020%20MAC&amp;MSC%20CAP\Capacity%20for%20MHP\Statement\StatMSCCAP-61%20SC1%20NYC%20mitigating%20adj.xlsx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02009fi\datadirs\Rate%20Engineering\ELECRATE\MSC%20and%20MAC%20Rates\October%202020%20MAC\CECONY%20CF%20for%202020%20Budget%2009%2008%2020.xlsx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02009fi\datadirs\Rate%20Engineering\ELECRATE\MSC%20and%20MAC%20Rates\October%202020%20MAC\Forecasted%20Ancillary%20Charges%20Sep-2020.xlsx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02009fi\datadirs\Rate%20Engineering\ELECRATE\MSC%20and%20MAC%20Rates\May%202021%20MAC&amp;MSC%20CAP\StatMAC%20112\Sources\Forecasted%20Ancillary%20Charges%20Apr-2021.xlsx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02009fi\datadirs\Rate%20Engineering\ELECRATE\MSC%20and%20MAC%20Rates\May%202021%20MAC&amp;MSC%20CAP\StatMAC%20112\Sources\CECONY%20CF%20for%202021%20Budget%2004%2006%2021.xlsx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02009fi\datadirs\Rate%20Engineering\ELECRATE\MSC%20and%20MAC%20Rates\April%202020%20MAC\MSCMAC_MASTER_Apr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 Sales including BIR"/>
      <sheetName val="TOD Sales (incl BIR) Allocation"/>
      <sheetName val="Final Demand including BIR"/>
      <sheetName val="TOD Demand Allocation"/>
      <sheetName val="NYPA Sales"/>
      <sheetName val="FS Sales including BIR &amp; RTP"/>
      <sheetName val="SC 6 Sales in KWh"/>
      <sheetName val="Final Sales excluding BIR"/>
      <sheetName val="TOD Sales (excl BIR) Allocation"/>
      <sheetName val="Net Energy+Demand Rev at Jan22"/>
      <sheetName val="TOD Energy+Dmd Rev Allocation"/>
      <sheetName val="Sales with Unallocated Adj"/>
      <sheetName val="Retail_Choice_Allocation"/>
      <sheetName val="Allocated Sales before Adj"/>
    </sheetNames>
    <sheetDataSet>
      <sheetData sheetId="0">
        <row r="8">
          <cell r="D8">
            <v>44197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</row>
        <row r="9">
          <cell r="D9">
            <v>44228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</row>
        <row r="10">
          <cell r="D10">
            <v>44256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</row>
        <row r="11">
          <cell r="D11">
            <v>44287</v>
          </cell>
          <cell r="E11">
            <v>864</v>
          </cell>
          <cell r="F11">
            <v>183</v>
          </cell>
          <cell r="G11">
            <v>1</v>
          </cell>
          <cell r="H11">
            <v>8</v>
          </cell>
          <cell r="I11">
            <v>9</v>
          </cell>
          <cell r="J11">
            <v>1</v>
          </cell>
          <cell r="K11">
            <v>92</v>
          </cell>
          <cell r="L11">
            <v>18</v>
          </cell>
          <cell r="M11">
            <v>110</v>
          </cell>
          <cell r="N11">
            <v>1100</v>
          </cell>
          <cell r="O11">
            <v>495</v>
          </cell>
          <cell r="P11">
            <v>1595</v>
          </cell>
          <cell r="Q11">
            <v>15</v>
          </cell>
          <cell r="R11">
            <v>11</v>
          </cell>
          <cell r="S11">
            <v>26</v>
          </cell>
          <cell r="T11">
            <v>23</v>
          </cell>
          <cell r="U11">
            <v>2811</v>
          </cell>
        </row>
        <row r="12">
          <cell r="D12">
            <v>44317</v>
          </cell>
          <cell r="E12">
            <v>857</v>
          </cell>
          <cell r="F12">
            <v>167</v>
          </cell>
          <cell r="G12">
            <v>0</v>
          </cell>
          <cell r="H12">
            <v>8</v>
          </cell>
          <cell r="I12">
            <v>8</v>
          </cell>
          <cell r="J12">
            <v>1</v>
          </cell>
          <cell r="K12">
            <v>96</v>
          </cell>
          <cell r="L12">
            <v>16</v>
          </cell>
          <cell r="M12">
            <v>112</v>
          </cell>
          <cell r="N12">
            <v>1100</v>
          </cell>
          <cell r="O12">
            <v>466</v>
          </cell>
          <cell r="P12">
            <v>1566</v>
          </cell>
          <cell r="Q12">
            <v>10</v>
          </cell>
          <cell r="R12">
            <v>10</v>
          </cell>
          <cell r="S12">
            <v>20</v>
          </cell>
          <cell r="T12">
            <v>28</v>
          </cell>
          <cell r="U12">
            <v>2759</v>
          </cell>
        </row>
        <row r="13">
          <cell r="D13">
            <v>44348</v>
          </cell>
          <cell r="E13">
            <v>1109</v>
          </cell>
          <cell r="F13">
            <v>186</v>
          </cell>
          <cell r="G13">
            <v>0</v>
          </cell>
          <cell r="H13">
            <v>8</v>
          </cell>
          <cell r="I13">
            <v>8</v>
          </cell>
          <cell r="J13">
            <v>1</v>
          </cell>
          <cell r="K13">
            <v>121</v>
          </cell>
          <cell r="L13">
            <v>24</v>
          </cell>
          <cell r="M13">
            <v>145</v>
          </cell>
          <cell r="N13">
            <v>1288</v>
          </cell>
          <cell r="O13">
            <v>576</v>
          </cell>
          <cell r="P13">
            <v>1864</v>
          </cell>
          <cell r="Q13">
            <v>9</v>
          </cell>
          <cell r="R13">
            <v>12</v>
          </cell>
          <cell r="S13">
            <v>21</v>
          </cell>
          <cell r="T13">
            <v>29</v>
          </cell>
          <cell r="U13">
            <v>3363</v>
          </cell>
        </row>
        <row r="14">
          <cell r="D14">
            <v>44378</v>
          </cell>
          <cell r="E14">
            <v>1588</v>
          </cell>
          <cell r="F14">
            <v>200</v>
          </cell>
          <cell r="G14">
            <v>0</v>
          </cell>
          <cell r="H14">
            <v>9</v>
          </cell>
          <cell r="I14">
            <v>9</v>
          </cell>
          <cell r="J14">
            <v>1</v>
          </cell>
          <cell r="K14">
            <v>159</v>
          </cell>
          <cell r="L14">
            <v>24</v>
          </cell>
          <cell r="M14">
            <v>183</v>
          </cell>
          <cell r="N14">
            <v>1408</v>
          </cell>
          <cell r="O14">
            <v>678</v>
          </cell>
          <cell r="P14">
            <v>2086</v>
          </cell>
          <cell r="Q14">
            <v>11</v>
          </cell>
          <cell r="R14">
            <v>11</v>
          </cell>
          <cell r="S14">
            <v>22</v>
          </cell>
          <cell r="T14">
            <v>32</v>
          </cell>
          <cell r="U14">
            <v>4121</v>
          </cell>
        </row>
        <row r="15">
          <cell r="D15">
            <v>44409</v>
          </cell>
          <cell r="E15">
            <v>1663</v>
          </cell>
          <cell r="F15">
            <v>212</v>
          </cell>
          <cell r="G15">
            <v>0</v>
          </cell>
          <cell r="H15">
            <v>9</v>
          </cell>
          <cell r="I15">
            <v>9</v>
          </cell>
          <cell r="J15">
            <v>0</v>
          </cell>
          <cell r="K15">
            <v>173</v>
          </cell>
          <cell r="L15">
            <v>28</v>
          </cell>
          <cell r="M15">
            <v>201</v>
          </cell>
          <cell r="N15">
            <v>1456</v>
          </cell>
          <cell r="O15">
            <v>706</v>
          </cell>
          <cell r="P15">
            <v>2162</v>
          </cell>
          <cell r="Q15">
            <v>11</v>
          </cell>
          <cell r="R15">
            <v>13</v>
          </cell>
          <cell r="S15">
            <v>24</v>
          </cell>
          <cell r="T15">
            <v>32</v>
          </cell>
          <cell r="U15">
            <v>4303</v>
          </cell>
        </row>
        <row r="16">
          <cell r="D16">
            <v>44440</v>
          </cell>
          <cell r="E16">
            <v>1472</v>
          </cell>
          <cell r="F16">
            <v>200</v>
          </cell>
          <cell r="G16">
            <v>0</v>
          </cell>
          <cell r="H16">
            <v>9</v>
          </cell>
          <cell r="I16">
            <v>9</v>
          </cell>
          <cell r="J16">
            <v>1</v>
          </cell>
          <cell r="K16">
            <v>159</v>
          </cell>
          <cell r="L16">
            <v>26</v>
          </cell>
          <cell r="M16">
            <v>185</v>
          </cell>
          <cell r="N16">
            <v>1417</v>
          </cell>
          <cell r="O16">
            <v>684</v>
          </cell>
          <cell r="P16">
            <v>2101</v>
          </cell>
          <cell r="Q16">
            <v>9</v>
          </cell>
          <cell r="R16">
            <v>11</v>
          </cell>
          <cell r="S16">
            <v>20</v>
          </cell>
          <cell r="T16">
            <v>27</v>
          </cell>
          <cell r="U16">
            <v>4015</v>
          </cell>
        </row>
        <row r="17">
          <cell r="D17">
            <v>44470</v>
          </cell>
          <cell r="E17">
            <v>1067</v>
          </cell>
          <cell r="F17">
            <v>176</v>
          </cell>
          <cell r="G17">
            <v>0</v>
          </cell>
          <cell r="H17">
            <v>9</v>
          </cell>
          <cell r="I17">
            <v>9</v>
          </cell>
          <cell r="J17">
            <v>1</v>
          </cell>
          <cell r="K17">
            <v>124</v>
          </cell>
          <cell r="L17">
            <v>20</v>
          </cell>
          <cell r="M17">
            <v>144</v>
          </cell>
          <cell r="N17">
            <v>1283</v>
          </cell>
          <cell r="O17">
            <v>546</v>
          </cell>
          <cell r="P17">
            <v>1829</v>
          </cell>
          <cell r="Q17">
            <v>8</v>
          </cell>
          <cell r="R17">
            <v>9</v>
          </cell>
          <cell r="S17">
            <v>17</v>
          </cell>
          <cell r="T17">
            <v>28</v>
          </cell>
          <cell r="U17">
            <v>3271</v>
          </cell>
        </row>
        <row r="18">
          <cell r="D18">
            <v>44501</v>
          </cell>
          <cell r="E18">
            <v>952</v>
          </cell>
          <cell r="F18">
            <v>174</v>
          </cell>
          <cell r="G18">
            <v>0</v>
          </cell>
          <cell r="H18">
            <v>8</v>
          </cell>
          <cell r="I18">
            <v>8</v>
          </cell>
          <cell r="J18">
            <v>1</v>
          </cell>
          <cell r="K18">
            <v>103</v>
          </cell>
          <cell r="L18">
            <v>14</v>
          </cell>
          <cell r="M18">
            <v>117</v>
          </cell>
          <cell r="N18">
            <v>1208</v>
          </cell>
          <cell r="O18">
            <v>520</v>
          </cell>
          <cell r="P18">
            <v>1728</v>
          </cell>
          <cell r="Q18">
            <v>9</v>
          </cell>
          <cell r="R18">
            <v>10</v>
          </cell>
          <cell r="S18">
            <v>19</v>
          </cell>
          <cell r="T18">
            <v>28</v>
          </cell>
          <cell r="U18">
            <v>3027</v>
          </cell>
        </row>
        <row r="19">
          <cell r="D19">
            <v>44531</v>
          </cell>
          <cell r="E19">
            <v>1070</v>
          </cell>
          <cell r="F19">
            <v>195</v>
          </cell>
          <cell r="G19">
            <v>0</v>
          </cell>
          <cell r="H19">
            <v>10</v>
          </cell>
          <cell r="I19">
            <v>10</v>
          </cell>
          <cell r="J19">
            <v>1</v>
          </cell>
          <cell r="K19">
            <v>108</v>
          </cell>
          <cell r="L19">
            <v>21</v>
          </cell>
          <cell r="M19">
            <v>129</v>
          </cell>
          <cell r="N19">
            <v>1259</v>
          </cell>
          <cell r="O19">
            <v>562</v>
          </cell>
          <cell r="P19">
            <v>1821</v>
          </cell>
          <cell r="Q19">
            <v>18</v>
          </cell>
          <cell r="R19">
            <v>12</v>
          </cell>
          <cell r="S19">
            <v>30</v>
          </cell>
          <cell r="T19">
            <v>23</v>
          </cell>
          <cell r="U19">
            <v>3279</v>
          </cell>
        </row>
        <row r="20">
          <cell r="D20">
            <v>44562</v>
          </cell>
          <cell r="E20">
            <v>1117</v>
          </cell>
          <cell r="F20">
            <v>225</v>
          </cell>
          <cell r="G20">
            <v>1</v>
          </cell>
          <cell r="H20">
            <v>8</v>
          </cell>
          <cell r="I20">
            <v>9</v>
          </cell>
          <cell r="J20">
            <v>1</v>
          </cell>
          <cell r="K20">
            <v>117</v>
          </cell>
          <cell r="L20">
            <v>20</v>
          </cell>
          <cell r="M20">
            <v>137</v>
          </cell>
          <cell r="N20">
            <v>1303</v>
          </cell>
          <cell r="O20">
            <v>576</v>
          </cell>
          <cell r="P20">
            <v>1879</v>
          </cell>
          <cell r="Q20">
            <v>22</v>
          </cell>
          <cell r="R20">
            <v>15</v>
          </cell>
          <cell r="S20">
            <v>37</v>
          </cell>
          <cell r="T20">
            <v>21</v>
          </cell>
          <cell r="U20">
            <v>3426</v>
          </cell>
        </row>
        <row r="21">
          <cell r="D21">
            <v>44593</v>
          </cell>
          <cell r="E21">
            <v>1061</v>
          </cell>
          <cell r="F21">
            <v>235</v>
          </cell>
          <cell r="G21">
            <v>0</v>
          </cell>
          <cell r="H21">
            <v>10</v>
          </cell>
          <cell r="I21">
            <v>10</v>
          </cell>
          <cell r="J21">
            <v>1</v>
          </cell>
          <cell r="K21">
            <v>110</v>
          </cell>
          <cell r="L21">
            <v>19</v>
          </cell>
          <cell r="M21">
            <v>129</v>
          </cell>
          <cell r="N21">
            <v>1266</v>
          </cell>
          <cell r="O21">
            <v>575</v>
          </cell>
          <cell r="P21">
            <v>1841</v>
          </cell>
          <cell r="Q21">
            <v>29</v>
          </cell>
          <cell r="R21">
            <v>15</v>
          </cell>
          <cell r="S21">
            <v>44</v>
          </cell>
          <cell r="T21">
            <v>21</v>
          </cell>
          <cell r="U21">
            <v>3342</v>
          </cell>
        </row>
        <row r="22">
          <cell r="D22">
            <v>44621</v>
          </cell>
          <cell r="E22">
            <v>984</v>
          </cell>
          <cell r="F22">
            <v>216</v>
          </cell>
          <cell r="G22">
            <v>0</v>
          </cell>
          <cell r="H22">
            <v>10</v>
          </cell>
          <cell r="I22">
            <v>10</v>
          </cell>
          <cell r="J22">
            <v>1</v>
          </cell>
          <cell r="K22">
            <v>104</v>
          </cell>
          <cell r="L22">
            <v>20</v>
          </cell>
          <cell r="M22">
            <v>124</v>
          </cell>
          <cell r="N22">
            <v>1252</v>
          </cell>
          <cell r="O22">
            <v>538</v>
          </cell>
          <cell r="P22">
            <v>1790</v>
          </cell>
          <cell r="Q22">
            <v>21</v>
          </cell>
          <cell r="R22">
            <v>12</v>
          </cell>
          <cell r="S22">
            <v>33</v>
          </cell>
          <cell r="T22">
            <v>23</v>
          </cell>
          <cell r="U22">
            <v>3181</v>
          </cell>
        </row>
        <row r="23">
          <cell r="D23">
            <v>44652</v>
          </cell>
          <cell r="E23">
            <v>868</v>
          </cell>
          <cell r="F23">
            <v>193</v>
          </cell>
          <cell r="G23">
            <v>0</v>
          </cell>
          <cell r="H23">
            <v>9</v>
          </cell>
          <cell r="I23">
            <v>9</v>
          </cell>
          <cell r="J23">
            <v>1</v>
          </cell>
          <cell r="K23">
            <v>96</v>
          </cell>
          <cell r="L23">
            <v>19</v>
          </cell>
          <cell r="M23">
            <v>115</v>
          </cell>
          <cell r="N23">
            <v>1235</v>
          </cell>
          <cell r="O23">
            <v>503</v>
          </cell>
          <cell r="P23">
            <v>1738</v>
          </cell>
          <cell r="Q23">
            <v>16</v>
          </cell>
          <cell r="R23">
            <v>11</v>
          </cell>
          <cell r="S23">
            <v>27</v>
          </cell>
          <cell r="T23">
            <v>23</v>
          </cell>
          <cell r="U23">
            <v>2974</v>
          </cell>
        </row>
        <row r="24">
          <cell r="D24">
            <v>44682</v>
          </cell>
          <cell r="E24">
            <v>858</v>
          </cell>
          <cell r="F24">
            <v>176</v>
          </cell>
          <cell r="G24">
            <v>0</v>
          </cell>
          <cell r="H24">
            <v>8</v>
          </cell>
          <cell r="I24">
            <v>8</v>
          </cell>
          <cell r="J24">
            <v>1</v>
          </cell>
          <cell r="K24">
            <v>99</v>
          </cell>
          <cell r="L24">
            <v>16</v>
          </cell>
          <cell r="M24">
            <v>115</v>
          </cell>
          <cell r="N24">
            <v>1221</v>
          </cell>
          <cell r="O24">
            <v>465</v>
          </cell>
          <cell r="P24">
            <v>1686</v>
          </cell>
          <cell r="Q24">
            <v>8</v>
          </cell>
          <cell r="R24">
            <v>10</v>
          </cell>
          <cell r="S24">
            <v>18</v>
          </cell>
          <cell r="T24">
            <v>28</v>
          </cell>
          <cell r="U24">
            <v>2890</v>
          </cell>
        </row>
        <row r="25">
          <cell r="D25">
            <v>44713</v>
          </cell>
          <cell r="E25">
            <v>1086</v>
          </cell>
          <cell r="F25">
            <v>191</v>
          </cell>
          <cell r="G25">
            <v>0</v>
          </cell>
          <cell r="H25">
            <v>8</v>
          </cell>
          <cell r="I25">
            <v>8</v>
          </cell>
          <cell r="J25">
            <v>1</v>
          </cell>
          <cell r="K25">
            <v>121</v>
          </cell>
          <cell r="L25">
            <v>24</v>
          </cell>
          <cell r="M25">
            <v>145</v>
          </cell>
          <cell r="N25">
            <v>1383</v>
          </cell>
          <cell r="O25">
            <v>576</v>
          </cell>
          <cell r="P25">
            <v>1959</v>
          </cell>
          <cell r="Q25">
            <v>9</v>
          </cell>
          <cell r="R25">
            <v>12</v>
          </cell>
          <cell r="S25">
            <v>21</v>
          </cell>
          <cell r="T25">
            <v>29</v>
          </cell>
          <cell r="U25">
            <v>3440</v>
          </cell>
        </row>
        <row r="26">
          <cell r="D26">
            <v>44743</v>
          </cell>
          <cell r="E26">
            <v>1568</v>
          </cell>
          <cell r="F26">
            <v>208</v>
          </cell>
          <cell r="G26">
            <v>0</v>
          </cell>
          <cell r="H26">
            <v>9</v>
          </cell>
          <cell r="I26">
            <v>9</v>
          </cell>
          <cell r="J26">
            <v>1</v>
          </cell>
          <cell r="K26">
            <v>161</v>
          </cell>
          <cell r="L26">
            <v>23</v>
          </cell>
          <cell r="M26">
            <v>184</v>
          </cell>
          <cell r="N26">
            <v>1460</v>
          </cell>
          <cell r="O26">
            <v>676</v>
          </cell>
          <cell r="P26">
            <v>2136</v>
          </cell>
          <cell r="Q26">
            <v>10</v>
          </cell>
          <cell r="R26">
            <v>11</v>
          </cell>
          <cell r="S26">
            <v>21</v>
          </cell>
          <cell r="T26">
            <v>32</v>
          </cell>
          <cell r="U26">
            <v>4159</v>
          </cell>
        </row>
        <row r="27">
          <cell r="D27">
            <v>44774</v>
          </cell>
          <cell r="E27">
            <v>1627</v>
          </cell>
          <cell r="F27">
            <v>218</v>
          </cell>
          <cell r="G27">
            <v>0</v>
          </cell>
          <cell r="H27">
            <v>9</v>
          </cell>
          <cell r="I27">
            <v>9</v>
          </cell>
          <cell r="J27">
            <v>0</v>
          </cell>
          <cell r="K27">
            <v>172</v>
          </cell>
          <cell r="L27">
            <v>28</v>
          </cell>
          <cell r="M27">
            <v>200</v>
          </cell>
          <cell r="N27">
            <v>1488</v>
          </cell>
          <cell r="O27">
            <v>699</v>
          </cell>
          <cell r="P27">
            <v>2187</v>
          </cell>
          <cell r="Q27">
            <v>11</v>
          </cell>
          <cell r="R27">
            <v>12</v>
          </cell>
          <cell r="S27">
            <v>23</v>
          </cell>
          <cell r="T27">
            <v>32</v>
          </cell>
          <cell r="U27">
            <v>4296</v>
          </cell>
        </row>
        <row r="28">
          <cell r="D28">
            <v>44805</v>
          </cell>
          <cell r="E28">
            <v>1448</v>
          </cell>
          <cell r="F28">
            <v>207</v>
          </cell>
          <cell r="G28">
            <v>0</v>
          </cell>
          <cell r="H28">
            <v>9</v>
          </cell>
          <cell r="I28">
            <v>9</v>
          </cell>
          <cell r="J28">
            <v>1</v>
          </cell>
          <cell r="K28">
            <v>160</v>
          </cell>
          <cell r="L28">
            <v>26</v>
          </cell>
          <cell r="M28">
            <v>186</v>
          </cell>
          <cell r="N28">
            <v>1463</v>
          </cell>
          <cell r="O28">
            <v>680</v>
          </cell>
          <cell r="P28">
            <v>2143</v>
          </cell>
          <cell r="Q28">
            <v>8</v>
          </cell>
          <cell r="R28">
            <v>11</v>
          </cell>
          <cell r="S28">
            <v>19</v>
          </cell>
          <cell r="T28">
            <v>27</v>
          </cell>
          <cell r="U28">
            <v>4040</v>
          </cell>
        </row>
        <row r="29">
          <cell r="D29">
            <v>44835</v>
          </cell>
          <cell r="E29">
            <v>1050</v>
          </cell>
          <cell r="F29">
            <v>182</v>
          </cell>
          <cell r="G29">
            <v>0</v>
          </cell>
          <cell r="H29">
            <v>9</v>
          </cell>
          <cell r="I29">
            <v>9</v>
          </cell>
          <cell r="J29">
            <v>1</v>
          </cell>
          <cell r="K29">
            <v>124</v>
          </cell>
          <cell r="L29">
            <v>20</v>
          </cell>
          <cell r="M29">
            <v>144</v>
          </cell>
          <cell r="N29">
            <v>1285</v>
          </cell>
          <cell r="O29">
            <v>539</v>
          </cell>
          <cell r="P29">
            <v>1824</v>
          </cell>
          <cell r="Q29">
            <v>8</v>
          </cell>
          <cell r="R29">
            <v>8</v>
          </cell>
          <cell r="S29">
            <v>16</v>
          </cell>
          <cell r="T29">
            <v>28</v>
          </cell>
          <cell r="U29">
            <v>3254</v>
          </cell>
        </row>
        <row r="30">
          <cell r="D30">
            <v>44866</v>
          </cell>
          <cell r="E30">
            <v>939</v>
          </cell>
          <cell r="F30">
            <v>181</v>
          </cell>
          <cell r="G30">
            <v>0</v>
          </cell>
          <cell r="H30">
            <v>8</v>
          </cell>
          <cell r="I30">
            <v>8</v>
          </cell>
          <cell r="J30">
            <v>1</v>
          </cell>
          <cell r="K30">
            <v>102</v>
          </cell>
          <cell r="L30">
            <v>15</v>
          </cell>
          <cell r="M30">
            <v>117</v>
          </cell>
          <cell r="N30">
            <v>1219</v>
          </cell>
          <cell r="O30">
            <v>514</v>
          </cell>
          <cell r="P30">
            <v>1733</v>
          </cell>
          <cell r="Q30">
            <v>8</v>
          </cell>
          <cell r="R30">
            <v>10</v>
          </cell>
          <cell r="S30">
            <v>18</v>
          </cell>
          <cell r="T30">
            <v>29</v>
          </cell>
          <cell r="U30">
            <v>3026</v>
          </cell>
        </row>
        <row r="31">
          <cell r="D31">
            <v>44896</v>
          </cell>
          <cell r="E31">
            <v>1042</v>
          </cell>
          <cell r="F31">
            <v>200</v>
          </cell>
          <cell r="G31">
            <v>0</v>
          </cell>
          <cell r="H31">
            <v>10</v>
          </cell>
          <cell r="I31">
            <v>10</v>
          </cell>
          <cell r="J31">
            <v>1</v>
          </cell>
          <cell r="K31">
            <v>107</v>
          </cell>
          <cell r="L31">
            <v>21</v>
          </cell>
          <cell r="M31">
            <v>128</v>
          </cell>
          <cell r="N31">
            <v>1250</v>
          </cell>
          <cell r="O31">
            <v>551</v>
          </cell>
          <cell r="P31">
            <v>1801</v>
          </cell>
          <cell r="Q31">
            <v>17</v>
          </cell>
          <cell r="R31">
            <v>12</v>
          </cell>
          <cell r="S31">
            <v>29</v>
          </cell>
          <cell r="T31">
            <v>25</v>
          </cell>
          <cell r="U31">
            <v>3236</v>
          </cell>
        </row>
        <row r="32">
          <cell r="D32">
            <v>44927</v>
          </cell>
          <cell r="E32">
            <v>1096</v>
          </cell>
          <cell r="F32">
            <v>231</v>
          </cell>
          <cell r="G32">
            <v>1</v>
          </cell>
          <cell r="H32">
            <v>8</v>
          </cell>
          <cell r="I32">
            <v>9</v>
          </cell>
          <cell r="J32">
            <v>1</v>
          </cell>
          <cell r="K32">
            <v>116</v>
          </cell>
          <cell r="L32">
            <v>19</v>
          </cell>
          <cell r="M32">
            <v>135</v>
          </cell>
          <cell r="N32">
            <v>1337</v>
          </cell>
          <cell r="O32">
            <v>573</v>
          </cell>
          <cell r="P32">
            <v>1910</v>
          </cell>
          <cell r="Q32">
            <v>21</v>
          </cell>
          <cell r="R32">
            <v>14</v>
          </cell>
          <cell r="S32">
            <v>35</v>
          </cell>
          <cell r="T32">
            <v>23</v>
          </cell>
          <cell r="U32">
            <v>3440</v>
          </cell>
        </row>
        <row r="33">
          <cell r="D33">
            <v>44958</v>
          </cell>
          <cell r="E33">
            <v>1034</v>
          </cell>
          <cell r="F33">
            <v>239</v>
          </cell>
          <cell r="G33">
            <v>0</v>
          </cell>
          <cell r="H33">
            <v>10</v>
          </cell>
          <cell r="I33">
            <v>10</v>
          </cell>
          <cell r="J33">
            <v>1</v>
          </cell>
          <cell r="K33">
            <v>108</v>
          </cell>
          <cell r="L33">
            <v>19</v>
          </cell>
          <cell r="M33">
            <v>127</v>
          </cell>
          <cell r="N33">
            <v>1291</v>
          </cell>
          <cell r="O33">
            <v>573</v>
          </cell>
          <cell r="P33">
            <v>1864</v>
          </cell>
          <cell r="Q33">
            <v>27</v>
          </cell>
          <cell r="R33">
            <v>14</v>
          </cell>
          <cell r="S33">
            <v>41</v>
          </cell>
          <cell r="T33">
            <v>23</v>
          </cell>
          <cell r="U33">
            <v>3339</v>
          </cell>
        </row>
        <row r="34">
          <cell r="D34">
            <v>44986</v>
          </cell>
          <cell r="E34">
            <v>962</v>
          </cell>
          <cell r="F34">
            <v>220</v>
          </cell>
          <cell r="G34">
            <v>0</v>
          </cell>
          <cell r="H34">
            <v>10</v>
          </cell>
          <cell r="I34">
            <v>10</v>
          </cell>
          <cell r="J34">
            <v>1</v>
          </cell>
          <cell r="K34">
            <v>101</v>
          </cell>
          <cell r="L34">
            <v>20</v>
          </cell>
          <cell r="M34">
            <v>121</v>
          </cell>
          <cell r="N34">
            <v>1276</v>
          </cell>
          <cell r="O34">
            <v>534</v>
          </cell>
          <cell r="P34">
            <v>1810</v>
          </cell>
          <cell r="Q34">
            <v>19</v>
          </cell>
          <cell r="R34">
            <v>12</v>
          </cell>
          <cell r="S34">
            <v>31</v>
          </cell>
          <cell r="T34">
            <v>25</v>
          </cell>
          <cell r="U34">
            <v>3180</v>
          </cell>
        </row>
        <row r="35">
          <cell r="D35">
            <v>45017</v>
          </cell>
          <cell r="E35">
            <v>816</v>
          </cell>
          <cell r="F35">
            <v>190</v>
          </cell>
          <cell r="G35">
            <v>0</v>
          </cell>
          <cell r="H35">
            <v>9</v>
          </cell>
          <cell r="I35">
            <v>9</v>
          </cell>
          <cell r="J35">
            <v>1</v>
          </cell>
          <cell r="K35">
            <v>91</v>
          </cell>
          <cell r="L35">
            <v>17</v>
          </cell>
          <cell r="M35">
            <v>108</v>
          </cell>
          <cell r="N35">
            <v>1147</v>
          </cell>
          <cell r="O35">
            <v>490</v>
          </cell>
          <cell r="P35">
            <v>1637</v>
          </cell>
          <cell r="Q35">
            <v>15</v>
          </cell>
          <cell r="R35">
            <v>10</v>
          </cell>
          <cell r="S35">
            <v>25</v>
          </cell>
          <cell r="T35">
            <v>24</v>
          </cell>
          <cell r="U35">
            <v>2810</v>
          </cell>
        </row>
        <row r="36">
          <cell r="D36">
            <v>45047</v>
          </cell>
          <cell r="E36">
            <v>813</v>
          </cell>
          <cell r="F36">
            <v>174</v>
          </cell>
          <cell r="G36">
            <v>0</v>
          </cell>
          <cell r="H36">
            <v>8</v>
          </cell>
          <cell r="I36">
            <v>8</v>
          </cell>
          <cell r="J36">
            <v>1</v>
          </cell>
          <cell r="K36">
            <v>94</v>
          </cell>
          <cell r="L36">
            <v>16</v>
          </cell>
          <cell r="M36">
            <v>110</v>
          </cell>
          <cell r="N36">
            <v>1145</v>
          </cell>
          <cell r="O36">
            <v>467</v>
          </cell>
          <cell r="P36">
            <v>1612</v>
          </cell>
          <cell r="Q36">
            <v>8</v>
          </cell>
          <cell r="R36">
            <v>10</v>
          </cell>
          <cell r="S36">
            <v>18</v>
          </cell>
          <cell r="T36">
            <v>29</v>
          </cell>
          <cell r="U36">
            <v>2765</v>
          </cell>
        </row>
        <row r="37">
          <cell r="D37">
            <v>45078</v>
          </cell>
          <cell r="E37">
            <v>1056</v>
          </cell>
          <cell r="F37">
            <v>194</v>
          </cell>
          <cell r="G37">
            <v>0</v>
          </cell>
          <cell r="H37">
            <v>8</v>
          </cell>
          <cell r="I37">
            <v>8</v>
          </cell>
          <cell r="J37">
            <v>1</v>
          </cell>
          <cell r="K37">
            <v>118</v>
          </cell>
          <cell r="L37">
            <v>24</v>
          </cell>
          <cell r="M37">
            <v>142</v>
          </cell>
          <cell r="N37">
            <v>1336</v>
          </cell>
          <cell r="O37">
            <v>571</v>
          </cell>
          <cell r="P37">
            <v>1907</v>
          </cell>
          <cell r="Q37">
            <v>8</v>
          </cell>
          <cell r="R37">
            <v>12</v>
          </cell>
          <cell r="S37">
            <v>20</v>
          </cell>
          <cell r="T37">
            <v>31</v>
          </cell>
          <cell r="U37">
            <v>3359</v>
          </cell>
        </row>
        <row r="38">
          <cell r="D38">
            <v>45108</v>
          </cell>
          <cell r="E38">
            <v>1542</v>
          </cell>
          <cell r="F38">
            <v>211</v>
          </cell>
          <cell r="G38">
            <v>0</v>
          </cell>
          <cell r="H38">
            <v>9</v>
          </cell>
          <cell r="I38">
            <v>9</v>
          </cell>
          <cell r="J38">
            <v>1</v>
          </cell>
          <cell r="K38">
            <v>158</v>
          </cell>
          <cell r="L38">
            <v>23</v>
          </cell>
          <cell r="M38">
            <v>181</v>
          </cell>
          <cell r="N38">
            <v>1421</v>
          </cell>
          <cell r="O38">
            <v>671</v>
          </cell>
          <cell r="P38">
            <v>2092</v>
          </cell>
          <cell r="Q38">
            <v>10</v>
          </cell>
          <cell r="R38">
            <v>10</v>
          </cell>
          <cell r="S38">
            <v>20</v>
          </cell>
          <cell r="T38">
            <v>34</v>
          </cell>
          <cell r="U38">
            <v>4090</v>
          </cell>
        </row>
        <row r="39">
          <cell r="D39">
            <v>45139</v>
          </cell>
          <cell r="E39">
            <v>1604</v>
          </cell>
          <cell r="F39">
            <v>222</v>
          </cell>
          <cell r="G39">
            <v>0</v>
          </cell>
          <cell r="H39">
            <v>9</v>
          </cell>
          <cell r="I39">
            <v>9</v>
          </cell>
          <cell r="J39">
            <v>0</v>
          </cell>
          <cell r="K39">
            <v>171</v>
          </cell>
          <cell r="L39">
            <v>28</v>
          </cell>
          <cell r="M39">
            <v>199</v>
          </cell>
          <cell r="N39">
            <v>1459</v>
          </cell>
          <cell r="O39">
            <v>696</v>
          </cell>
          <cell r="P39">
            <v>2155</v>
          </cell>
          <cell r="Q39">
            <v>10</v>
          </cell>
          <cell r="R39">
            <v>12</v>
          </cell>
          <cell r="S39">
            <v>22</v>
          </cell>
          <cell r="T39">
            <v>34</v>
          </cell>
          <cell r="U39">
            <v>4245</v>
          </cell>
        </row>
        <row r="40">
          <cell r="D40">
            <v>45170</v>
          </cell>
          <cell r="E40">
            <v>1426</v>
          </cell>
          <cell r="F40">
            <v>210</v>
          </cell>
          <cell r="G40">
            <v>0</v>
          </cell>
          <cell r="H40">
            <v>9</v>
          </cell>
          <cell r="I40">
            <v>9</v>
          </cell>
          <cell r="J40">
            <v>1</v>
          </cell>
          <cell r="K40">
            <v>158</v>
          </cell>
          <cell r="L40">
            <v>26</v>
          </cell>
          <cell r="M40">
            <v>184</v>
          </cell>
          <cell r="N40">
            <v>1429</v>
          </cell>
          <cell r="O40">
            <v>673</v>
          </cell>
          <cell r="P40">
            <v>2102</v>
          </cell>
          <cell r="Q40">
            <v>8</v>
          </cell>
          <cell r="R40">
            <v>11</v>
          </cell>
          <cell r="S40">
            <v>19</v>
          </cell>
          <cell r="T40">
            <v>29</v>
          </cell>
          <cell r="U40">
            <v>3980</v>
          </cell>
        </row>
        <row r="41">
          <cell r="D41">
            <v>45200</v>
          </cell>
          <cell r="E41">
            <v>1031</v>
          </cell>
          <cell r="F41">
            <v>186</v>
          </cell>
          <cell r="G41">
            <v>0</v>
          </cell>
          <cell r="H41">
            <v>9</v>
          </cell>
          <cell r="I41">
            <v>9</v>
          </cell>
          <cell r="J41">
            <v>1</v>
          </cell>
          <cell r="K41">
            <v>123</v>
          </cell>
          <cell r="L41">
            <v>20</v>
          </cell>
          <cell r="M41">
            <v>143</v>
          </cell>
          <cell r="N41">
            <v>1279</v>
          </cell>
          <cell r="O41">
            <v>537</v>
          </cell>
          <cell r="P41">
            <v>1816</v>
          </cell>
          <cell r="Q41">
            <v>8</v>
          </cell>
          <cell r="R41">
            <v>8</v>
          </cell>
          <cell r="S41">
            <v>16</v>
          </cell>
          <cell r="T41">
            <v>30</v>
          </cell>
          <cell r="U41">
            <v>3232</v>
          </cell>
        </row>
        <row r="42">
          <cell r="D42">
            <v>45231</v>
          </cell>
          <cell r="E42">
            <v>925</v>
          </cell>
          <cell r="F42">
            <v>184</v>
          </cell>
          <cell r="G42">
            <v>0</v>
          </cell>
          <cell r="H42">
            <v>8</v>
          </cell>
          <cell r="I42">
            <v>8</v>
          </cell>
          <cell r="J42">
            <v>1</v>
          </cell>
          <cell r="K42">
            <v>102</v>
          </cell>
          <cell r="L42">
            <v>14</v>
          </cell>
          <cell r="M42">
            <v>116</v>
          </cell>
          <cell r="N42">
            <v>1212</v>
          </cell>
          <cell r="O42">
            <v>511</v>
          </cell>
          <cell r="P42">
            <v>1723</v>
          </cell>
          <cell r="Q42">
            <v>8</v>
          </cell>
          <cell r="R42">
            <v>10</v>
          </cell>
          <cell r="S42">
            <v>18</v>
          </cell>
          <cell r="T42">
            <v>30</v>
          </cell>
          <cell r="U42">
            <v>3005</v>
          </cell>
        </row>
        <row r="43">
          <cell r="D43">
            <v>45261</v>
          </cell>
          <cell r="E43">
            <v>1028</v>
          </cell>
          <cell r="F43">
            <v>203</v>
          </cell>
          <cell r="G43">
            <v>0</v>
          </cell>
          <cell r="H43">
            <v>10</v>
          </cell>
          <cell r="I43">
            <v>10</v>
          </cell>
          <cell r="J43">
            <v>1</v>
          </cell>
          <cell r="K43">
            <v>106</v>
          </cell>
          <cell r="L43">
            <v>21</v>
          </cell>
          <cell r="M43">
            <v>127</v>
          </cell>
          <cell r="N43">
            <v>1244</v>
          </cell>
          <cell r="O43">
            <v>555</v>
          </cell>
          <cell r="P43">
            <v>1799</v>
          </cell>
          <cell r="Q43">
            <v>16</v>
          </cell>
          <cell r="R43">
            <v>12</v>
          </cell>
          <cell r="S43">
            <v>28</v>
          </cell>
          <cell r="T43">
            <v>25</v>
          </cell>
          <cell r="U43">
            <v>3221</v>
          </cell>
        </row>
        <row r="44">
          <cell r="D44">
            <v>45292</v>
          </cell>
          <cell r="E44">
            <v>1094</v>
          </cell>
          <cell r="F44">
            <v>239</v>
          </cell>
          <cell r="G44">
            <v>1</v>
          </cell>
          <cell r="H44">
            <v>8</v>
          </cell>
          <cell r="I44">
            <v>9</v>
          </cell>
          <cell r="J44">
            <v>1</v>
          </cell>
          <cell r="K44">
            <v>116</v>
          </cell>
          <cell r="L44">
            <v>20</v>
          </cell>
          <cell r="M44">
            <v>136</v>
          </cell>
          <cell r="N44">
            <v>1310</v>
          </cell>
          <cell r="O44">
            <v>579</v>
          </cell>
          <cell r="P44">
            <v>1889</v>
          </cell>
          <cell r="Q44">
            <v>20</v>
          </cell>
          <cell r="R44">
            <v>14</v>
          </cell>
          <cell r="S44">
            <v>34</v>
          </cell>
          <cell r="T44">
            <v>23</v>
          </cell>
          <cell r="U44">
            <v>3425</v>
          </cell>
        </row>
        <row r="45">
          <cell r="D45">
            <v>45323</v>
          </cell>
          <cell r="E45">
            <v>1030</v>
          </cell>
          <cell r="F45">
            <v>247</v>
          </cell>
          <cell r="G45">
            <v>0</v>
          </cell>
          <cell r="H45">
            <v>10</v>
          </cell>
          <cell r="I45">
            <v>10</v>
          </cell>
          <cell r="J45">
            <v>1</v>
          </cell>
          <cell r="K45">
            <v>108</v>
          </cell>
          <cell r="L45">
            <v>19</v>
          </cell>
          <cell r="M45">
            <v>127</v>
          </cell>
          <cell r="N45">
            <v>1261</v>
          </cell>
          <cell r="O45">
            <v>573</v>
          </cell>
          <cell r="P45">
            <v>1834</v>
          </cell>
          <cell r="Q45">
            <v>27</v>
          </cell>
          <cell r="R45">
            <v>14</v>
          </cell>
          <cell r="S45">
            <v>41</v>
          </cell>
          <cell r="T45">
            <v>23</v>
          </cell>
          <cell r="U45">
            <v>3313</v>
          </cell>
        </row>
        <row r="46">
          <cell r="D46">
            <v>45352</v>
          </cell>
          <cell r="E46">
            <v>956</v>
          </cell>
          <cell r="F46">
            <v>228</v>
          </cell>
          <cell r="G46">
            <v>0</v>
          </cell>
          <cell r="H46">
            <v>10</v>
          </cell>
          <cell r="I46">
            <v>10</v>
          </cell>
          <cell r="J46">
            <v>1</v>
          </cell>
          <cell r="K46">
            <v>102</v>
          </cell>
          <cell r="L46">
            <v>20</v>
          </cell>
          <cell r="M46">
            <v>122</v>
          </cell>
          <cell r="N46">
            <v>1248</v>
          </cell>
          <cell r="O46">
            <v>540</v>
          </cell>
          <cell r="P46">
            <v>1788</v>
          </cell>
          <cell r="Q46">
            <v>19</v>
          </cell>
          <cell r="R46">
            <v>12</v>
          </cell>
          <cell r="S46">
            <v>31</v>
          </cell>
          <cell r="T46">
            <v>25</v>
          </cell>
          <cell r="U46">
            <v>3161</v>
          </cell>
        </row>
        <row r="47">
          <cell r="D47">
            <v>45383</v>
          </cell>
          <cell r="E47">
            <v>832</v>
          </cell>
          <cell r="F47">
            <v>201</v>
          </cell>
          <cell r="G47">
            <v>0</v>
          </cell>
          <cell r="H47">
            <v>9</v>
          </cell>
          <cell r="I47">
            <v>9</v>
          </cell>
          <cell r="J47">
            <v>1</v>
          </cell>
          <cell r="K47">
            <v>92</v>
          </cell>
          <cell r="L47">
            <v>20</v>
          </cell>
          <cell r="M47">
            <v>112</v>
          </cell>
          <cell r="N47">
            <v>1183</v>
          </cell>
          <cell r="O47">
            <v>494</v>
          </cell>
          <cell r="P47">
            <v>1677</v>
          </cell>
          <cell r="Q47">
            <v>15</v>
          </cell>
          <cell r="R47">
            <v>10</v>
          </cell>
          <cell r="S47">
            <v>25</v>
          </cell>
          <cell r="T47">
            <v>25</v>
          </cell>
          <cell r="U47">
            <v>2882</v>
          </cell>
        </row>
        <row r="48">
          <cell r="D48">
            <v>45413</v>
          </cell>
          <cell r="E48">
            <v>827</v>
          </cell>
          <cell r="F48">
            <v>184</v>
          </cell>
          <cell r="G48">
            <v>0</v>
          </cell>
          <cell r="H48">
            <v>8</v>
          </cell>
          <cell r="I48">
            <v>8</v>
          </cell>
          <cell r="J48">
            <v>1</v>
          </cell>
          <cell r="K48">
            <v>97</v>
          </cell>
          <cell r="L48">
            <v>16</v>
          </cell>
          <cell r="M48">
            <v>113</v>
          </cell>
          <cell r="N48">
            <v>1177</v>
          </cell>
          <cell r="O48">
            <v>472</v>
          </cell>
          <cell r="P48">
            <v>1649</v>
          </cell>
          <cell r="Q48">
            <v>8</v>
          </cell>
          <cell r="R48">
            <v>10</v>
          </cell>
          <cell r="S48">
            <v>18</v>
          </cell>
          <cell r="T48">
            <v>30</v>
          </cell>
          <cell r="U48">
            <v>2830</v>
          </cell>
        </row>
        <row r="49">
          <cell r="D49">
            <v>45444</v>
          </cell>
          <cell r="E49">
            <v>1050</v>
          </cell>
          <cell r="F49">
            <v>200</v>
          </cell>
          <cell r="G49">
            <v>0</v>
          </cell>
          <cell r="H49">
            <v>8</v>
          </cell>
          <cell r="I49">
            <v>8</v>
          </cell>
          <cell r="J49">
            <v>1</v>
          </cell>
          <cell r="K49">
            <v>118</v>
          </cell>
          <cell r="L49">
            <v>24</v>
          </cell>
          <cell r="M49">
            <v>142</v>
          </cell>
          <cell r="N49">
            <v>1329</v>
          </cell>
          <cell r="O49">
            <v>570</v>
          </cell>
          <cell r="P49">
            <v>1899</v>
          </cell>
          <cell r="Q49">
            <v>8</v>
          </cell>
          <cell r="R49">
            <v>12</v>
          </cell>
          <cell r="S49">
            <v>20</v>
          </cell>
          <cell r="T49">
            <v>31</v>
          </cell>
          <cell r="U49">
            <v>3351</v>
          </cell>
        </row>
        <row r="50">
          <cell r="D50">
            <v>45474</v>
          </cell>
          <cell r="E50">
            <v>1543</v>
          </cell>
          <cell r="F50">
            <v>218</v>
          </cell>
          <cell r="G50">
            <v>0</v>
          </cell>
          <cell r="H50">
            <v>9</v>
          </cell>
          <cell r="I50">
            <v>9</v>
          </cell>
          <cell r="J50">
            <v>1</v>
          </cell>
          <cell r="K50">
            <v>158</v>
          </cell>
          <cell r="L50">
            <v>24</v>
          </cell>
          <cell r="M50">
            <v>182</v>
          </cell>
          <cell r="N50">
            <v>1399</v>
          </cell>
          <cell r="O50">
            <v>668</v>
          </cell>
          <cell r="P50">
            <v>2067</v>
          </cell>
          <cell r="Q50">
            <v>10</v>
          </cell>
          <cell r="R50">
            <v>10</v>
          </cell>
          <cell r="S50">
            <v>20</v>
          </cell>
          <cell r="T50">
            <v>34</v>
          </cell>
          <cell r="U50">
            <v>4074</v>
          </cell>
        </row>
        <row r="51">
          <cell r="D51">
            <v>45505</v>
          </cell>
          <cell r="E51">
            <v>1600</v>
          </cell>
          <cell r="F51">
            <v>229</v>
          </cell>
          <cell r="G51">
            <v>0</v>
          </cell>
          <cell r="H51">
            <v>9</v>
          </cell>
          <cell r="I51">
            <v>9</v>
          </cell>
          <cell r="J51">
            <v>0</v>
          </cell>
          <cell r="K51">
            <v>172</v>
          </cell>
          <cell r="L51">
            <v>27</v>
          </cell>
          <cell r="M51">
            <v>199</v>
          </cell>
          <cell r="N51">
            <v>1430</v>
          </cell>
          <cell r="O51">
            <v>693</v>
          </cell>
          <cell r="P51">
            <v>2123</v>
          </cell>
          <cell r="Q51">
            <v>10</v>
          </cell>
          <cell r="R51">
            <v>12</v>
          </cell>
          <cell r="S51">
            <v>22</v>
          </cell>
          <cell r="T51">
            <v>34</v>
          </cell>
          <cell r="U51">
            <v>4216</v>
          </cell>
        </row>
        <row r="52">
          <cell r="D52">
            <v>45536</v>
          </cell>
          <cell r="E52">
            <v>1425</v>
          </cell>
          <cell r="F52">
            <v>217</v>
          </cell>
          <cell r="G52">
            <v>0</v>
          </cell>
          <cell r="H52">
            <v>9</v>
          </cell>
          <cell r="I52">
            <v>9</v>
          </cell>
          <cell r="J52">
            <v>1</v>
          </cell>
          <cell r="K52">
            <v>160</v>
          </cell>
          <cell r="L52">
            <v>26</v>
          </cell>
          <cell r="M52">
            <v>186</v>
          </cell>
          <cell r="N52">
            <v>1408</v>
          </cell>
          <cell r="O52">
            <v>672</v>
          </cell>
          <cell r="P52">
            <v>2080</v>
          </cell>
          <cell r="Q52">
            <v>8</v>
          </cell>
          <cell r="R52">
            <v>10</v>
          </cell>
          <cell r="S52">
            <v>18</v>
          </cell>
          <cell r="T52">
            <v>29</v>
          </cell>
          <cell r="U52">
            <v>3965</v>
          </cell>
        </row>
        <row r="53">
          <cell r="D53">
            <v>45566</v>
          </cell>
          <cell r="E53">
            <v>1020</v>
          </cell>
          <cell r="F53">
            <v>190</v>
          </cell>
          <cell r="G53">
            <v>0</v>
          </cell>
          <cell r="H53">
            <v>9</v>
          </cell>
          <cell r="I53">
            <v>9</v>
          </cell>
          <cell r="J53">
            <v>1</v>
          </cell>
          <cell r="K53">
            <v>123</v>
          </cell>
          <cell r="L53">
            <v>20</v>
          </cell>
          <cell r="M53">
            <v>143</v>
          </cell>
          <cell r="N53">
            <v>1224</v>
          </cell>
          <cell r="O53">
            <v>531</v>
          </cell>
          <cell r="P53">
            <v>1755</v>
          </cell>
          <cell r="Q53">
            <v>8</v>
          </cell>
          <cell r="R53">
            <v>8</v>
          </cell>
          <cell r="S53">
            <v>16</v>
          </cell>
          <cell r="T53">
            <v>30</v>
          </cell>
          <cell r="U53">
            <v>3164</v>
          </cell>
        </row>
        <row r="54">
          <cell r="D54">
            <v>45597</v>
          </cell>
          <cell r="E54">
            <v>905</v>
          </cell>
          <cell r="F54">
            <v>186</v>
          </cell>
          <cell r="G54">
            <v>0</v>
          </cell>
          <cell r="H54">
            <v>8</v>
          </cell>
          <cell r="I54">
            <v>8</v>
          </cell>
          <cell r="J54">
            <v>1</v>
          </cell>
          <cell r="K54">
            <v>101</v>
          </cell>
          <cell r="L54">
            <v>14</v>
          </cell>
          <cell r="M54">
            <v>115</v>
          </cell>
          <cell r="N54">
            <v>1149</v>
          </cell>
          <cell r="O54">
            <v>504</v>
          </cell>
          <cell r="P54">
            <v>1653</v>
          </cell>
          <cell r="Q54">
            <v>7</v>
          </cell>
          <cell r="R54">
            <v>10</v>
          </cell>
          <cell r="S54">
            <v>17</v>
          </cell>
          <cell r="T54">
            <v>30</v>
          </cell>
          <cell r="U54">
            <v>2915</v>
          </cell>
        </row>
        <row r="55">
          <cell r="D55">
            <v>45627</v>
          </cell>
          <cell r="E55">
            <v>1076</v>
          </cell>
          <cell r="F55">
            <v>220</v>
          </cell>
          <cell r="G55">
            <v>0</v>
          </cell>
          <cell r="H55">
            <v>10</v>
          </cell>
          <cell r="I55">
            <v>10</v>
          </cell>
          <cell r="J55">
            <v>1</v>
          </cell>
          <cell r="K55">
            <v>112</v>
          </cell>
          <cell r="L55">
            <v>21</v>
          </cell>
          <cell r="M55">
            <v>133</v>
          </cell>
          <cell r="N55">
            <v>1285</v>
          </cell>
          <cell r="O55">
            <v>557</v>
          </cell>
          <cell r="P55">
            <v>1842</v>
          </cell>
          <cell r="Q55">
            <v>16</v>
          </cell>
          <cell r="R55">
            <v>12</v>
          </cell>
          <cell r="S55">
            <v>28</v>
          </cell>
          <cell r="T55">
            <v>25</v>
          </cell>
          <cell r="U55">
            <v>3335</v>
          </cell>
        </row>
        <row r="56">
          <cell r="D56">
            <v>45658</v>
          </cell>
          <cell r="E56">
            <v>1101</v>
          </cell>
          <cell r="F56">
            <v>248</v>
          </cell>
          <cell r="G56">
            <v>1</v>
          </cell>
          <cell r="H56">
            <v>8</v>
          </cell>
          <cell r="I56">
            <v>9</v>
          </cell>
          <cell r="J56">
            <v>1</v>
          </cell>
          <cell r="K56">
            <v>116</v>
          </cell>
          <cell r="L56">
            <v>21</v>
          </cell>
          <cell r="M56">
            <v>137</v>
          </cell>
          <cell r="N56">
            <v>1308</v>
          </cell>
          <cell r="O56">
            <v>574</v>
          </cell>
          <cell r="P56">
            <v>1882</v>
          </cell>
          <cell r="Q56">
            <v>20</v>
          </cell>
          <cell r="R56">
            <v>14</v>
          </cell>
          <cell r="S56">
            <v>34</v>
          </cell>
          <cell r="T56">
            <v>23</v>
          </cell>
          <cell r="U56">
            <v>3435</v>
          </cell>
        </row>
        <row r="57">
          <cell r="D57">
            <v>45689</v>
          </cell>
          <cell r="E57">
            <v>1045</v>
          </cell>
          <cell r="F57">
            <v>260</v>
          </cell>
          <cell r="G57">
            <v>0</v>
          </cell>
          <cell r="H57">
            <v>10</v>
          </cell>
          <cell r="I57">
            <v>10</v>
          </cell>
          <cell r="J57">
            <v>1</v>
          </cell>
          <cell r="K57">
            <v>111</v>
          </cell>
          <cell r="L57">
            <v>19</v>
          </cell>
          <cell r="M57">
            <v>130</v>
          </cell>
          <cell r="N57">
            <v>1273</v>
          </cell>
          <cell r="O57">
            <v>569</v>
          </cell>
          <cell r="P57">
            <v>1842</v>
          </cell>
          <cell r="Q57">
            <v>25</v>
          </cell>
          <cell r="R57">
            <v>14</v>
          </cell>
          <cell r="S57">
            <v>39</v>
          </cell>
          <cell r="T57">
            <v>23</v>
          </cell>
          <cell r="U57">
            <v>3350</v>
          </cell>
        </row>
        <row r="58">
          <cell r="D58">
            <v>45717</v>
          </cell>
          <cell r="E58">
            <v>940</v>
          </cell>
          <cell r="F58">
            <v>232</v>
          </cell>
          <cell r="G58">
            <v>0</v>
          </cell>
          <cell r="H58">
            <v>10</v>
          </cell>
          <cell r="I58">
            <v>10</v>
          </cell>
          <cell r="J58">
            <v>1</v>
          </cell>
          <cell r="K58">
            <v>101</v>
          </cell>
          <cell r="L58">
            <v>20</v>
          </cell>
          <cell r="M58">
            <v>121</v>
          </cell>
          <cell r="N58">
            <v>1212</v>
          </cell>
          <cell r="O58">
            <v>532</v>
          </cell>
          <cell r="P58">
            <v>1744</v>
          </cell>
          <cell r="Q58">
            <v>19</v>
          </cell>
          <cell r="R58">
            <v>11</v>
          </cell>
          <cell r="S58">
            <v>30</v>
          </cell>
          <cell r="T58">
            <v>25</v>
          </cell>
          <cell r="U58">
            <v>3103</v>
          </cell>
        </row>
        <row r="59">
          <cell r="D59">
            <v>45748</v>
          </cell>
          <cell r="E59">
            <v>828</v>
          </cell>
          <cell r="F59">
            <v>207</v>
          </cell>
          <cell r="G59">
            <v>0</v>
          </cell>
          <cell r="H59">
            <v>9</v>
          </cell>
          <cell r="I59">
            <v>9</v>
          </cell>
          <cell r="J59">
            <v>1</v>
          </cell>
          <cell r="K59">
            <v>93</v>
          </cell>
          <cell r="L59">
            <v>19</v>
          </cell>
          <cell r="M59">
            <v>112</v>
          </cell>
          <cell r="N59">
            <v>1138</v>
          </cell>
          <cell r="O59">
            <v>483</v>
          </cell>
          <cell r="P59">
            <v>1621</v>
          </cell>
          <cell r="Q59">
            <v>15</v>
          </cell>
          <cell r="R59">
            <v>10</v>
          </cell>
          <cell r="S59">
            <v>25</v>
          </cell>
          <cell r="T59">
            <v>25</v>
          </cell>
          <cell r="U59">
            <v>2828</v>
          </cell>
        </row>
        <row r="60">
          <cell r="D60">
            <v>45778</v>
          </cell>
          <cell r="E60">
            <v>827</v>
          </cell>
          <cell r="F60">
            <v>190</v>
          </cell>
          <cell r="G60">
            <v>0</v>
          </cell>
          <cell r="H60">
            <v>8</v>
          </cell>
          <cell r="I60">
            <v>8</v>
          </cell>
          <cell r="J60">
            <v>1</v>
          </cell>
          <cell r="K60">
            <v>99</v>
          </cell>
          <cell r="L60">
            <v>16</v>
          </cell>
          <cell r="M60">
            <v>115</v>
          </cell>
          <cell r="N60">
            <v>1140</v>
          </cell>
          <cell r="O60">
            <v>462</v>
          </cell>
          <cell r="P60">
            <v>1602</v>
          </cell>
          <cell r="Q60">
            <v>7</v>
          </cell>
          <cell r="R60">
            <v>10</v>
          </cell>
          <cell r="S60">
            <v>17</v>
          </cell>
          <cell r="T60">
            <v>30</v>
          </cell>
          <cell r="U60">
            <v>2790</v>
          </cell>
        </row>
        <row r="61">
          <cell r="D61">
            <v>45809</v>
          </cell>
          <cell r="E61">
            <v>1045</v>
          </cell>
          <cell r="F61">
            <v>205</v>
          </cell>
          <cell r="G61">
            <v>0</v>
          </cell>
          <cell r="H61">
            <v>8</v>
          </cell>
          <cell r="I61">
            <v>8</v>
          </cell>
          <cell r="J61">
            <v>1</v>
          </cell>
          <cell r="K61">
            <v>118</v>
          </cell>
          <cell r="L61">
            <v>24</v>
          </cell>
          <cell r="M61">
            <v>142</v>
          </cell>
          <cell r="N61">
            <v>1271</v>
          </cell>
          <cell r="O61">
            <v>558</v>
          </cell>
          <cell r="P61">
            <v>1829</v>
          </cell>
          <cell r="Q61">
            <v>8</v>
          </cell>
          <cell r="R61">
            <v>11</v>
          </cell>
          <cell r="S61">
            <v>19</v>
          </cell>
          <cell r="T61">
            <v>31</v>
          </cell>
          <cell r="U61">
            <v>3280</v>
          </cell>
        </row>
        <row r="62">
          <cell r="D62">
            <v>45839</v>
          </cell>
          <cell r="E62">
            <v>1536</v>
          </cell>
          <cell r="F62">
            <v>222</v>
          </cell>
          <cell r="G62">
            <v>0</v>
          </cell>
          <cell r="H62">
            <v>9</v>
          </cell>
          <cell r="I62">
            <v>9</v>
          </cell>
          <cell r="J62">
            <v>1</v>
          </cell>
          <cell r="K62">
            <v>157</v>
          </cell>
          <cell r="L62">
            <v>24</v>
          </cell>
          <cell r="M62">
            <v>181</v>
          </cell>
          <cell r="N62">
            <v>1363</v>
          </cell>
          <cell r="O62">
            <v>658</v>
          </cell>
          <cell r="P62">
            <v>2021</v>
          </cell>
          <cell r="Q62">
            <v>9</v>
          </cell>
          <cell r="R62">
            <v>10</v>
          </cell>
          <cell r="S62">
            <v>19</v>
          </cell>
          <cell r="T62">
            <v>34</v>
          </cell>
          <cell r="U62">
            <v>4023</v>
          </cell>
        </row>
        <row r="63">
          <cell r="D63">
            <v>45870</v>
          </cell>
          <cell r="E63">
            <v>1592</v>
          </cell>
          <cell r="F63">
            <v>234</v>
          </cell>
          <cell r="G63">
            <v>0</v>
          </cell>
          <cell r="H63">
            <v>9</v>
          </cell>
          <cell r="I63">
            <v>9</v>
          </cell>
          <cell r="J63">
            <v>0</v>
          </cell>
          <cell r="K63">
            <v>171</v>
          </cell>
          <cell r="L63">
            <v>27</v>
          </cell>
          <cell r="M63">
            <v>198</v>
          </cell>
          <cell r="N63">
            <v>1392</v>
          </cell>
          <cell r="O63">
            <v>683</v>
          </cell>
          <cell r="P63">
            <v>2075</v>
          </cell>
          <cell r="Q63">
            <v>10</v>
          </cell>
          <cell r="R63">
            <v>12</v>
          </cell>
          <cell r="S63">
            <v>22</v>
          </cell>
          <cell r="T63">
            <v>34</v>
          </cell>
          <cell r="U63">
            <v>4164</v>
          </cell>
        </row>
        <row r="64">
          <cell r="D64">
            <v>45901</v>
          </cell>
          <cell r="E64">
            <v>1434</v>
          </cell>
          <cell r="F64">
            <v>225</v>
          </cell>
          <cell r="G64">
            <v>0</v>
          </cell>
          <cell r="H64">
            <v>9</v>
          </cell>
          <cell r="I64">
            <v>9</v>
          </cell>
          <cell r="J64">
            <v>1</v>
          </cell>
          <cell r="K64">
            <v>161</v>
          </cell>
          <cell r="L64">
            <v>26</v>
          </cell>
          <cell r="M64">
            <v>187</v>
          </cell>
          <cell r="N64">
            <v>1395</v>
          </cell>
          <cell r="O64">
            <v>664</v>
          </cell>
          <cell r="P64">
            <v>2059</v>
          </cell>
          <cell r="Q64">
            <v>8</v>
          </cell>
          <cell r="R64">
            <v>10</v>
          </cell>
          <cell r="S64">
            <v>18</v>
          </cell>
          <cell r="T64">
            <v>29</v>
          </cell>
          <cell r="U64">
            <v>3962</v>
          </cell>
        </row>
        <row r="65">
          <cell r="D65">
            <v>45931</v>
          </cell>
          <cell r="E65">
            <v>1000</v>
          </cell>
          <cell r="F65">
            <v>192</v>
          </cell>
          <cell r="G65">
            <v>0</v>
          </cell>
          <cell r="H65">
            <v>9</v>
          </cell>
          <cell r="I65">
            <v>9</v>
          </cell>
          <cell r="J65">
            <v>1</v>
          </cell>
          <cell r="K65">
            <v>121</v>
          </cell>
          <cell r="L65">
            <v>19</v>
          </cell>
          <cell r="M65">
            <v>140</v>
          </cell>
          <cell r="N65">
            <v>1197</v>
          </cell>
          <cell r="O65">
            <v>522</v>
          </cell>
          <cell r="P65">
            <v>1719</v>
          </cell>
          <cell r="Q65">
            <v>7</v>
          </cell>
          <cell r="R65">
            <v>8</v>
          </cell>
          <cell r="S65">
            <v>15</v>
          </cell>
          <cell r="T65">
            <v>30</v>
          </cell>
          <cell r="U65">
            <v>3106</v>
          </cell>
        </row>
        <row r="66">
          <cell r="D66">
            <v>45962</v>
          </cell>
          <cell r="E66">
            <v>902</v>
          </cell>
          <cell r="F66">
            <v>192</v>
          </cell>
          <cell r="G66">
            <v>0</v>
          </cell>
          <cell r="H66">
            <v>8</v>
          </cell>
          <cell r="I66">
            <v>8</v>
          </cell>
          <cell r="J66">
            <v>1</v>
          </cell>
          <cell r="K66">
            <v>101</v>
          </cell>
          <cell r="L66">
            <v>14</v>
          </cell>
          <cell r="M66">
            <v>115</v>
          </cell>
          <cell r="N66">
            <v>1147</v>
          </cell>
          <cell r="O66">
            <v>498</v>
          </cell>
          <cell r="P66">
            <v>1645</v>
          </cell>
          <cell r="Q66">
            <v>7</v>
          </cell>
          <cell r="R66">
            <v>10</v>
          </cell>
          <cell r="S66">
            <v>17</v>
          </cell>
          <cell r="T66">
            <v>30</v>
          </cell>
          <cell r="U66">
            <v>2910</v>
          </cell>
        </row>
        <row r="67">
          <cell r="D67">
            <v>45992</v>
          </cell>
          <cell r="E67">
            <v>1029</v>
          </cell>
          <cell r="F67">
            <v>215</v>
          </cell>
          <cell r="G67">
            <v>0</v>
          </cell>
          <cell r="H67">
            <v>10</v>
          </cell>
          <cell r="I67">
            <v>10</v>
          </cell>
          <cell r="J67">
            <v>1</v>
          </cell>
          <cell r="K67">
            <v>107</v>
          </cell>
          <cell r="L67">
            <v>21</v>
          </cell>
          <cell r="M67">
            <v>128</v>
          </cell>
          <cell r="N67">
            <v>1211</v>
          </cell>
          <cell r="O67">
            <v>545</v>
          </cell>
          <cell r="P67">
            <v>1756</v>
          </cell>
          <cell r="Q67">
            <v>16</v>
          </cell>
          <cell r="R67">
            <v>12</v>
          </cell>
          <cell r="S67">
            <v>28</v>
          </cell>
          <cell r="T67">
            <v>25</v>
          </cell>
          <cell r="U67">
            <v>3192</v>
          </cell>
        </row>
        <row r="68">
          <cell r="D68">
            <v>46023</v>
          </cell>
          <cell r="E68">
            <v>1076</v>
          </cell>
          <cell r="F68">
            <v>248</v>
          </cell>
          <cell r="G68">
            <v>1</v>
          </cell>
          <cell r="H68">
            <v>8</v>
          </cell>
          <cell r="I68">
            <v>9</v>
          </cell>
          <cell r="J68">
            <v>1</v>
          </cell>
          <cell r="K68">
            <v>114</v>
          </cell>
          <cell r="L68">
            <v>20</v>
          </cell>
          <cell r="M68">
            <v>134</v>
          </cell>
          <cell r="N68">
            <v>1240</v>
          </cell>
          <cell r="O68">
            <v>564</v>
          </cell>
          <cell r="P68">
            <v>1804</v>
          </cell>
          <cell r="Q68">
            <v>19</v>
          </cell>
          <cell r="R68">
            <v>14</v>
          </cell>
          <cell r="S68">
            <v>33</v>
          </cell>
          <cell r="T68">
            <v>23</v>
          </cell>
          <cell r="U68">
            <v>3328</v>
          </cell>
        </row>
        <row r="69">
          <cell r="D69">
            <v>46054</v>
          </cell>
          <cell r="E69">
            <v>1037</v>
          </cell>
          <cell r="F69">
            <v>263</v>
          </cell>
          <cell r="G69">
            <v>0</v>
          </cell>
          <cell r="H69">
            <v>10</v>
          </cell>
          <cell r="I69">
            <v>10</v>
          </cell>
          <cell r="J69">
            <v>1</v>
          </cell>
          <cell r="K69">
            <v>110</v>
          </cell>
          <cell r="L69">
            <v>19</v>
          </cell>
          <cell r="M69">
            <v>129</v>
          </cell>
          <cell r="N69">
            <v>1231</v>
          </cell>
          <cell r="O69">
            <v>561</v>
          </cell>
          <cell r="P69">
            <v>1792</v>
          </cell>
          <cell r="Q69">
            <v>25</v>
          </cell>
          <cell r="R69">
            <v>14</v>
          </cell>
          <cell r="S69">
            <v>39</v>
          </cell>
          <cell r="T69">
            <v>23</v>
          </cell>
          <cell r="U69">
            <v>3294</v>
          </cell>
        </row>
        <row r="70">
          <cell r="D70">
            <v>46082</v>
          </cell>
          <cell r="E70">
            <v>933</v>
          </cell>
          <cell r="F70">
            <v>235</v>
          </cell>
          <cell r="G70">
            <v>0</v>
          </cell>
          <cell r="H70">
            <v>10</v>
          </cell>
          <cell r="I70">
            <v>10</v>
          </cell>
          <cell r="J70">
            <v>1</v>
          </cell>
          <cell r="K70">
            <v>100</v>
          </cell>
          <cell r="L70">
            <v>20</v>
          </cell>
          <cell r="M70">
            <v>120</v>
          </cell>
          <cell r="N70">
            <v>1172</v>
          </cell>
          <cell r="O70">
            <v>525</v>
          </cell>
          <cell r="P70">
            <v>1697</v>
          </cell>
          <cell r="Q70">
            <v>19</v>
          </cell>
          <cell r="R70">
            <v>11</v>
          </cell>
          <cell r="S70">
            <v>30</v>
          </cell>
          <cell r="T70">
            <v>25</v>
          </cell>
          <cell r="U70">
            <v>3051</v>
          </cell>
        </row>
        <row r="71">
          <cell r="D71">
            <v>46113</v>
          </cell>
          <cell r="E71">
            <v>825</v>
          </cell>
          <cell r="F71">
            <v>210</v>
          </cell>
          <cell r="G71">
            <v>0</v>
          </cell>
          <cell r="H71">
            <v>9</v>
          </cell>
          <cell r="I71">
            <v>9</v>
          </cell>
          <cell r="J71">
            <v>1</v>
          </cell>
          <cell r="K71">
            <v>93</v>
          </cell>
          <cell r="L71">
            <v>19</v>
          </cell>
          <cell r="M71">
            <v>112</v>
          </cell>
          <cell r="N71">
            <v>1129</v>
          </cell>
          <cell r="O71">
            <v>479</v>
          </cell>
          <cell r="P71">
            <v>1608</v>
          </cell>
          <cell r="Q71">
            <v>14</v>
          </cell>
          <cell r="R71">
            <v>10</v>
          </cell>
          <cell r="S71">
            <v>24</v>
          </cell>
          <cell r="T71">
            <v>25</v>
          </cell>
          <cell r="U71">
            <v>2814</v>
          </cell>
        </row>
        <row r="72">
          <cell r="D72">
            <v>46143</v>
          </cell>
          <cell r="E72">
            <v>832</v>
          </cell>
          <cell r="F72">
            <v>195</v>
          </cell>
          <cell r="G72">
            <v>0</v>
          </cell>
          <cell r="H72">
            <v>8</v>
          </cell>
          <cell r="I72">
            <v>8</v>
          </cell>
          <cell r="J72">
            <v>1</v>
          </cell>
          <cell r="K72">
            <v>99</v>
          </cell>
          <cell r="L72">
            <v>16</v>
          </cell>
          <cell r="M72">
            <v>115</v>
          </cell>
          <cell r="N72">
            <v>1141</v>
          </cell>
          <cell r="O72">
            <v>459</v>
          </cell>
          <cell r="P72">
            <v>1600</v>
          </cell>
          <cell r="Q72">
            <v>7</v>
          </cell>
          <cell r="R72">
            <v>10</v>
          </cell>
          <cell r="S72">
            <v>17</v>
          </cell>
          <cell r="T72">
            <v>30</v>
          </cell>
          <cell r="U72">
            <v>2798</v>
          </cell>
        </row>
        <row r="73">
          <cell r="D73">
            <v>46174</v>
          </cell>
          <cell r="E73">
            <v>1043</v>
          </cell>
          <cell r="F73">
            <v>207</v>
          </cell>
          <cell r="G73">
            <v>0</v>
          </cell>
          <cell r="H73">
            <v>8</v>
          </cell>
          <cell r="I73">
            <v>8</v>
          </cell>
          <cell r="J73">
            <v>1</v>
          </cell>
          <cell r="K73">
            <v>117</v>
          </cell>
          <cell r="L73">
            <v>24</v>
          </cell>
          <cell r="M73">
            <v>141</v>
          </cell>
          <cell r="N73">
            <v>1256</v>
          </cell>
          <cell r="O73">
            <v>555</v>
          </cell>
          <cell r="P73">
            <v>1811</v>
          </cell>
          <cell r="Q73">
            <v>8</v>
          </cell>
          <cell r="R73">
            <v>11</v>
          </cell>
          <cell r="S73">
            <v>19</v>
          </cell>
          <cell r="T73">
            <v>31</v>
          </cell>
          <cell r="U73">
            <v>3261</v>
          </cell>
        </row>
        <row r="74">
          <cell r="D74">
            <v>46204</v>
          </cell>
          <cell r="E74">
            <v>1545</v>
          </cell>
          <cell r="F74">
            <v>226</v>
          </cell>
          <cell r="G74">
            <v>0</v>
          </cell>
          <cell r="H74">
            <v>9</v>
          </cell>
          <cell r="I74">
            <v>9</v>
          </cell>
          <cell r="J74">
            <v>1</v>
          </cell>
          <cell r="K74">
            <v>158</v>
          </cell>
          <cell r="L74">
            <v>26</v>
          </cell>
          <cell r="M74">
            <v>184</v>
          </cell>
          <cell r="N74">
            <v>1333</v>
          </cell>
          <cell r="O74">
            <v>654</v>
          </cell>
          <cell r="P74">
            <v>1987</v>
          </cell>
          <cell r="Q74">
            <v>9</v>
          </cell>
          <cell r="R74">
            <v>10</v>
          </cell>
          <cell r="S74">
            <v>19</v>
          </cell>
          <cell r="T74">
            <v>34</v>
          </cell>
          <cell r="U74">
            <v>4005</v>
          </cell>
        </row>
        <row r="75">
          <cell r="D75">
            <v>46235</v>
          </cell>
          <cell r="E75">
            <v>1605</v>
          </cell>
          <cell r="F75">
            <v>237</v>
          </cell>
          <cell r="G75">
            <v>0</v>
          </cell>
          <cell r="H75">
            <v>9</v>
          </cell>
          <cell r="I75">
            <v>9</v>
          </cell>
          <cell r="J75">
            <v>0</v>
          </cell>
          <cell r="K75">
            <v>171</v>
          </cell>
          <cell r="L75">
            <v>30</v>
          </cell>
          <cell r="M75">
            <v>201</v>
          </cell>
          <cell r="N75">
            <v>1365</v>
          </cell>
          <cell r="O75">
            <v>679</v>
          </cell>
          <cell r="P75">
            <v>2044</v>
          </cell>
          <cell r="Q75">
            <v>10</v>
          </cell>
          <cell r="R75">
            <v>11</v>
          </cell>
          <cell r="S75">
            <v>21</v>
          </cell>
          <cell r="T75">
            <v>34</v>
          </cell>
          <cell r="U75">
            <v>4151</v>
          </cell>
        </row>
        <row r="76">
          <cell r="D76">
            <v>46266</v>
          </cell>
          <cell r="E76">
            <v>1426</v>
          </cell>
          <cell r="F76">
            <v>225</v>
          </cell>
          <cell r="G76">
            <v>0</v>
          </cell>
          <cell r="H76">
            <v>9</v>
          </cell>
          <cell r="I76">
            <v>9</v>
          </cell>
          <cell r="J76">
            <v>1</v>
          </cell>
          <cell r="K76">
            <v>158</v>
          </cell>
          <cell r="L76">
            <v>28</v>
          </cell>
          <cell r="M76">
            <v>186</v>
          </cell>
          <cell r="N76">
            <v>1340</v>
          </cell>
          <cell r="O76">
            <v>658</v>
          </cell>
          <cell r="P76">
            <v>1998</v>
          </cell>
          <cell r="Q76">
            <v>8</v>
          </cell>
          <cell r="R76">
            <v>10</v>
          </cell>
          <cell r="S76">
            <v>18</v>
          </cell>
          <cell r="T76">
            <v>29</v>
          </cell>
          <cell r="U76">
            <v>3892</v>
          </cell>
        </row>
        <row r="77">
          <cell r="D77">
            <v>46296</v>
          </cell>
          <cell r="E77">
            <v>1027</v>
          </cell>
          <cell r="F77">
            <v>197</v>
          </cell>
          <cell r="G77">
            <v>0</v>
          </cell>
          <cell r="H77">
            <v>9</v>
          </cell>
          <cell r="I77">
            <v>9</v>
          </cell>
          <cell r="J77">
            <v>1</v>
          </cell>
          <cell r="K77">
            <v>122</v>
          </cell>
          <cell r="L77">
            <v>20</v>
          </cell>
          <cell r="M77">
            <v>142</v>
          </cell>
          <cell r="N77">
            <v>1181</v>
          </cell>
          <cell r="O77">
            <v>519</v>
          </cell>
          <cell r="P77">
            <v>1700</v>
          </cell>
          <cell r="Q77">
            <v>7</v>
          </cell>
          <cell r="R77">
            <v>8</v>
          </cell>
          <cell r="S77">
            <v>15</v>
          </cell>
          <cell r="T77">
            <v>30</v>
          </cell>
          <cell r="U77">
            <v>3121</v>
          </cell>
        </row>
        <row r="78">
          <cell r="D78">
            <v>46327</v>
          </cell>
          <cell r="E78">
            <v>921</v>
          </cell>
          <cell r="F78">
            <v>196</v>
          </cell>
          <cell r="G78">
            <v>0</v>
          </cell>
          <cell r="H78">
            <v>8</v>
          </cell>
          <cell r="I78">
            <v>8</v>
          </cell>
          <cell r="J78">
            <v>1</v>
          </cell>
          <cell r="K78">
            <v>101</v>
          </cell>
          <cell r="L78">
            <v>15</v>
          </cell>
          <cell r="M78">
            <v>116</v>
          </cell>
          <cell r="N78">
            <v>1122</v>
          </cell>
          <cell r="O78">
            <v>496</v>
          </cell>
          <cell r="P78">
            <v>1618</v>
          </cell>
          <cell r="Q78">
            <v>7</v>
          </cell>
          <cell r="R78">
            <v>10</v>
          </cell>
          <cell r="S78">
            <v>17</v>
          </cell>
          <cell r="T78">
            <v>30</v>
          </cell>
          <cell r="U78">
            <v>2907</v>
          </cell>
        </row>
        <row r="79">
          <cell r="D79">
            <v>46357</v>
          </cell>
          <cell r="E79">
            <v>1040</v>
          </cell>
          <cell r="F79">
            <v>219</v>
          </cell>
          <cell r="G79">
            <v>0</v>
          </cell>
          <cell r="H79">
            <v>10</v>
          </cell>
          <cell r="I79">
            <v>10</v>
          </cell>
          <cell r="J79">
            <v>1</v>
          </cell>
          <cell r="K79">
            <v>106</v>
          </cell>
          <cell r="L79">
            <v>21</v>
          </cell>
          <cell r="M79">
            <v>127</v>
          </cell>
          <cell r="N79">
            <v>1170</v>
          </cell>
          <cell r="O79">
            <v>540</v>
          </cell>
          <cell r="P79">
            <v>1710</v>
          </cell>
          <cell r="Q79">
            <v>15</v>
          </cell>
          <cell r="R79">
            <v>12</v>
          </cell>
          <cell r="S79">
            <v>27</v>
          </cell>
          <cell r="T79">
            <v>25</v>
          </cell>
          <cell r="U79">
            <v>3159</v>
          </cell>
        </row>
        <row r="80">
          <cell r="D80">
            <v>46388</v>
          </cell>
          <cell r="E80">
            <v>1091</v>
          </cell>
          <cell r="F80">
            <v>251</v>
          </cell>
          <cell r="G80">
            <v>1</v>
          </cell>
          <cell r="H80">
            <v>8</v>
          </cell>
          <cell r="I80">
            <v>9</v>
          </cell>
          <cell r="J80">
            <v>1</v>
          </cell>
          <cell r="K80">
            <v>114</v>
          </cell>
          <cell r="L80">
            <v>20</v>
          </cell>
          <cell r="M80">
            <v>134</v>
          </cell>
          <cell r="N80">
            <v>1236</v>
          </cell>
          <cell r="O80">
            <v>570</v>
          </cell>
          <cell r="P80">
            <v>1806</v>
          </cell>
          <cell r="Q80">
            <v>19</v>
          </cell>
          <cell r="R80">
            <v>15</v>
          </cell>
          <cell r="S80">
            <v>34</v>
          </cell>
          <cell r="T80">
            <v>23</v>
          </cell>
          <cell r="U80">
            <v>3349</v>
          </cell>
        </row>
        <row r="81">
          <cell r="D81">
            <v>46419</v>
          </cell>
          <cell r="E81">
            <v>1041</v>
          </cell>
          <cell r="F81">
            <v>265</v>
          </cell>
          <cell r="G81">
            <v>0</v>
          </cell>
          <cell r="H81">
            <v>10</v>
          </cell>
          <cell r="I81">
            <v>10</v>
          </cell>
          <cell r="J81">
            <v>1</v>
          </cell>
          <cell r="K81">
            <v>108</v>
          </cell>
          <cell r="L81">
            <v>19</v>
          </cell>
          <cell r="M81">
            <v>127</v>
          </cell>
          <cell r="N81">
            <v>1207</v>
          </cell>
          <cell r="O81">
            <v>564</v>
          </cell>
          <cell r="P81">
            <v>1771</v>
          </cell>
          <cell r="Q81">
            <v>24</v>
          </cell>
          <cell r="R81">
            <v>13</v>
          </cell>
          <cell r="S81">
            <v>37</v>
          </cell>
          <cell r="T81">
            <v>23</v>
          </cell>
          <cell r="U81">
            <v>3275</v>
          </cell>
        </row>
        <row r="82">
          <cell r="D82">
            <v>46447</v>
          </cell>
          <cell r="E82">
            <v>941</v>
          </cell>
          <cell r="F82">
            <v>237</v>
          </cell>
          <cell r="G82">
            <v>0</v>
          </cell>
          <cell r="H82">
            <v>10</v>
          </cell>
          <cell r="I82">
            <v>10</v>
          </cell>
          <cell r="J82">
            <v>1</v>
          </cell>
          <cell r="K82">
            <v>98</v>
          </cell>
          <cell r="L82">
            <v>20</v>
          </cell>
          <cell r="M82">
            <v>118</v>
          </cell>
          <cell r="N82">
            <v>1153</v>
          </cell>
          <cell r="O82">
            <v>528</v>
          </cell>
          <cell r="P82">
            <v>1681</v>
          </cell>
          <cell r="Q82">
            <v>18</v>
          </cell>
          <cell r="R82">
            <v>11</v>
          </cell>
          <cell r="S82">
            <v>29</v>
          </cell>
          <cell r="T82">
            <v>25</v>
          </cell>
          <cell r="U82">
            <v>3042</v>
          </cell>
        </row>
        <row r="83">
          <cell r="D83">
            <v>46478</v>
          </cell>
          <cell r="E83">
            <v>804</v>
          </cell>
          <cell r="F83">
            <v>208</v>
          </cell>
          <cell r="G83">
            <v>0</v>
          </cell>
          <cell r="H83">
            <v>9</v>
          </cell>
          <cell r="I83">
            <v>9</v>
          </cell>
          <cell r="J83">
            <v>1</v>
          </cell>
          <cell r="K83">
            <v>89</v>
          </cell>
          <cell r="L83">
            <v>18</v>
          </cell>
          <cell r="M83">
            <v>107</v>
          </cell>
          <cell r="N83">
            <v>1042</v>
          </cell>
          <cell r="O83">
            <v>473</v>
          </cell>
          <cell r="P83">
            <v>1515</v>
          </cell>
          <cell r="Q83">
            <v>14</v>
          </cell>
          <cell r="R83">
            <v>10</v>
          </cell>
          <cell r="S83">
            <v>24</v>
          </cell>
          <cell r="T83">
            <v>25</v>
          </cell>
          <cell r="U83">
            <v>2693</v>
          </cell>
        </row>
        <row r="84">
          <cell r="D84">
            <v>46508</v>
          </cell>
          <cell r="E84">
            <v>803</v>
          </cell>
          <cell r="F84">
            <v>190</v>
          </cell>
          <cell r="G84">
            <v>0</v>
          </cell>
          <cell r="H84">
            <v>8</v>
          </cell>
          <cell r="I84">
            <v>8</v>
          </cell>
          <cell r="J84">
            <v>1</v>
          </cell>
          <cell r="K84">
            <v>93</v>
          </cell>
          <cell r="L84">
            <v>16</v>
          </cell>
          <cell r="M84">
            <v>109</v>
          </cell>
          <cell r="N84">
            <v>1035</v>
          </cell>
          <cell r="O84">
            <v>449</v>
          </cell>
          <cell r="P84">
            <v>1484</v>
          </cell>
          <cell r="Q84">
            <v>7</v>
          </cell>
          <cell r="R84">
            <v>10</v>
          </cell>
          <cell r="S84">
            <v>17</v>
          </cell>
          <cell r="T84">
            <v>30</v>
          </cell>
          <cell r="U84">
            <v>2642</v>
          </cell>
        </row>
        <row r="85">
          <cell r="D85">
            <v>46539</v>
          </cell>
          <cell r="E85">
            <v>1056</v>
          </cell>
          <cell r="F85">
            <v>211</v>
          </cell>
          <cell r="G85">
            <v>0</v>
          </cell>
          <cell r="H85">
            <v>8</v>
          </cell>
          <cell r="I85">
            <v>8</v>
          </cell>
          <cell r="J85">
            <v>1</v>
          </cell>
          <cell r="K85">
            <v>117</v>
          </cell>
          <cell r="L85">
            <v>25</v>
          </cell>
          <cell r="M85">
            <v>142</v>
          </cell>
          <cell r="N85">
            <v>1215</v>
          </cell>
          <cell r="O85">
            <v>550</v>
          </cell>
          <cell r="P85">
            <v>1765</v>
          </cell>
          <cell r="Q85">
            <v>8</v>
          </cell>
          <cell r="R85">
            <v>11</v>
          </cell>
          <cell r="S85">
            <v>19</v>
          </cell>
          <cell r="T85">
            <v>31</v>
          </cell>
          <cell r="U85">
            <v>3233</v>
          </cell>
        </row>
        <row r="86">
          <cell r="D86">
            <v>46569</v>
          </cell>
          <cell r="E86">
            <v>1509</v>
          </cell>
          <cell r="F86">
            <v>226</v>
          </cell>
          <cell r="G86">
            <v>0</v>
          </cell>
          <cell r="H86">
            <v>9</v>
          </cell>
          <cell r="I86">
            <v>9</v>
          </cell>
          <cell r="J86">
            <v>1</v>
          </cell>
          <cell r="K86">
            <v>154</v>
          </cell>
          <cell r="L86">
            <v>26</v>
          </cell>
          <cell r="M86">
            <v>180</v>
          </cell>
          <cell r="N86">
            <v>1283</v>
          </cell>
          <cell r="O86">
            <v>647</v>
          </cell>
          <cell r="P86">
            <v>1930</v>
          </cell>
          <cell r="Q86">
            <v>9</v>
          </cell>
          <cell r="R86">
            <v>10</v>
          </cell>
          <cell r="S86">
            <v>19</v>
          </cell>
          <cell r="T86">
            <v>34</v>
          </cell>
          <cell r="U86">
            <v>3908</v>
          </cell>
        </row>
        <row r="87">
          <cell r="D87">
            <v>46600</v>
          </cell>
          <cell r="E87">
            <v>1582</v>
          </cell>
          <cell r="F87">
            <v>239</v>
          </cell>
          <cell r="G87">
            <v>0</v>
          </cell>
          <cell r="H87">
            <v>9</v>
          </cell>
          <cell r="I87">
            <v>9</v>
          </cell>
          <cell r="J87">
            <v>0</v>
          </cell>
          <cell r="K87">
            <v>168</v>
          </cell>
          <cell r="L87">
            <v>30</v>
          </cell>
          <cell r="M87">
            <v>198</v>
          </cell>
          <cell r="N87">
            <v>1333</v>
          </cell>
          <cell r="O87">
            <v>676</v>
          </cell>
          <cell r="P87">
            <v>2009</v>
          </cell>
          <cell r="Q87">
            <v>10</v>
          </cell>
          <cell r="R87">
            <v>11</v>
          </cell>
          <cell r="S87">
            <v>21</v>
          </cell>
          <cell r="T87">
            <v>34</v>
          </cell>
          <cell r="U87">
            <v>4092</v>
          </cell>
        </row>
        <row r="88">
          <cell r="D88">
            <v>46631</v>
          </cell>
          <cell r="E88">
            <v>1403</v>
          </cell>
          <cell r="F88">
            <v>227</v>
          </cell>
          <cell r="G88">
            <v>0</v>
          </cell>
          <cell r="H88">
            <v>9</v>
          </cell>
          <cell r="I88">
            <v>9</v>
          </cell>
          <cell r="J88">
            <v>1</v>
          </cell>
          <cell r="K88">
            <v>154</v>
          </cell>
          <cell r="L88">
            <v>29</v>
          </cell>
          <cell r="M88">
            <v>183</v>
          </cell>
          <cell r="N88">
            <v>1298</v>
          </cell>
          <cell r="O88">
            <v>654</v>
          </cell>
          <cell r="P88">
            <v>1952</v>
          </cell>
          <cell r="Q88">
            <v>8</v>
          </cell>
          <cell r="R88">
            <v>9</v>
          </cell>
          <cell r="S88">
            <v>17</v>
          </cell>
          <cell r="T88">
            <v>29</v>
          </cell>
          <cell r="U88">
            <v>3821</v>
          </cell>
        </row>
        <row r="89">
          <cell r="D89">
            <v>46661</v>
          </cell>
          <cell r="E89">
            <v>1034</v>
          </cell>
          <cell r="F89">
            <v>200</v>
          </cell>
          <cell r="G89">
            <v>0</v>
          </cell>
          <cell r="H89">
            <v>9</v>
          </cell>
          <cell r="I89">
            <v>9</v>
          </cell>
          <cell r="J89">
            <v>1</v>
          </cell>
          <cell r="K89">
            <v>121</v>
          </cell>
          <cell r="L89">
            <v>21</v>
          </cell>
          <cell r="M89">
            <v>142</v>
          </cell>
          <cell r="N89">
            <v>1164</v>
          </cell>
          <cell r="O89">
            <v>519</v>
          </cell>
          <cell r="P89">
            <v>1683</v>
          </cell>
          <cell r="Q89">
            <v>7</v>
          </cell>
          <cell r="R89">
            <v>8</v>
          </cell>
          <cell r="S89">
            <v>15</v>
          </cell>
          <cell r="T89">
            <v>30</v>
          </cell>
          <cell r="U89">
            <v>3114</v>
          </cell>
        </row>
        <row r="90">
          <cell r="D90">
            <v>46692</v>
          </cell>
          <cell r="E90">
            <v>933</v>
          </cell>
          <cell r="F90">
            <v>199</v>
          </cell>
          <cell r="G90">
            <v>0</v>
          </cell>
          <cell r="H90">
            <v>8</v>
          </cell>
          <cell r="I90">
            <v>8</v>
          </cell>
          <cell r="J90">
            <v>1</v>
          </cell>
          <cell r="K90">
            <v>100</v>
          </cell>
          <cell r="L90">
            <v>14</v>
          </cell>
          <cell r="M90">
            <v>114</v>
          </cell>
          <cell r="N90">
            <v>1112</v>
          </cell>
          <cell r="O90">
            <v>498</v>
          </cell>
          <cell r="P90">
            <v>1610</v>
          </cell>
          <cell r="Q90">
            <v>7</v>
          </cell>
          <cell r="R90">
            <v>9</v>
          </cell>
          <cell r="S90">
            <v>16</v>
          </cell>
          <cell r="T90">
            <v>30</v>
          </cell>
          <cell r="U90">
            <v>2911</v>
          </cell>
        </row>
        <row r="91">
          <cell r="D91">
            <v>46722</v>
          </cell>
          <cell r="E91">
            <v>1052</v>
          </cell>
          <cell r="F91">
            <v>222</v>
          </cell>
          <cell r="G91">
            <v>0</v>
          </cell>
          <cell r="H91">
            <v>10</v>
          </cell>
          <cell r="I91">
            <v>10</v>
          </cell>
          <cell r="J91">
            <v>1</v>
          </cell>
          <cell r="K91">
            <v>105</v>
          </cell>
          <cell r="L91">
            <v>22</v>
          </cell>
          <cell r="M91">
            <v>127</v>
          </cell>
          <cell r="N91">
            <v>1163</v>
          </cell>
          <cell r="O91">
            <v>544</v>
          </cell>
          <cell r="P91">
            <v>1707</v>
          </cell>
          <cell r="Q91">
            <v>15</v>
          </cell>
          <cell r="R91">
            <v>11</v>
          </cell>
          <cell r="S91">
            <v>26</v>
          </cell>
          <cell r="T91">
            <v>25</v>
          </cell>
          <cell r="U91">
            <v>3170</v>
          </cell>
        </row>
      </sheetData>
      <sheetData sheetId="1">
        <row r="46">
          <cell r="E46">
            <v>44197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</row>
        <row r="47">
          <cell r="E47">
            <v>44228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</row>
        <row r="48">
          <cell r="E48">
            <v>44256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</row>
        <row r="49">
          <cell r="E49">
            <v>44287</v>
          </cell>
          <cell r="F49">
            <v>10</v>
          </cell>
          <cell r="G49">
            <v>8</v>
          </cell>
          <cell r="H49">
            <v>18</v>
          </cell>
          <cell r="I49">
            <v>115</v>
          </cell>
          <cell r="J49">
            <v>380</v>
          </cell>
          <cell r="K49">
            <v>495</v>
          </cell>
        </row>
        <row r="50">
          <cell r="E50">
            <v>44317</v>
          </cell>
          <cell r="F50">
            <v>8</v>
          </cell>
          <cell r="G50">
            <v>8</v>
          </cell>
          <cell r="H50">
            <v>16</v>
          </cell>
          <cell r="I50">
            <v>105</v>
          </cell>
          <cell r="J50">
            <v>361</v>
          </cell>
          <cell r="K50">
            <v>466</v>
          </cell>
        </row>
        <row r="51">
          <cell r="E51">
            <v>44348</v>
          </cell>
          <cell r="F51">
            <v>12</v>
          </cell>
          <cell r="G51">
            <v>12</v>
          </cell>
          <cell r="H51">
            <v>24</v>
          </cell>
          <cell r="I51">
            <v>119</v>
          </cell>
          <cell r="J51">
            <v>457</v>
          </cell>
          <cell r="K51">
            <v>576</v>
          </cell>
        </row>
        <row r="52">
          <cell r="E52">
            <v>44378</v>
          </cell>
          <cell r="F52">
            <v>9</v>
          </cell>
          <cell r="G52">
            <v>15</v>
          </cell>
          <cell r="H52">
            <v>24</v>
          </cell>
          <cell r="I52">
            <v>130</v>
          </cell>
          <cell r="J52">
            <v>548</v>
          </cell>
          <cell r="K52">
            <v>678</v>
          </cell>
        </row>
        <row r="53">
          <cell r="E53">
            <v>44409</v>
          </cell>
          <cell r="F53">
            <v>11</v>
          </cell>
          <cell r="G53">
            <v>17</v>
          </cell>
          <cell r="H53">
            <v>28</v>
          </cell>
          <cell r="I53">
            <v>133</v>
          </cell>
          <cell r="J53">
            <v>573</v>
          </cell>
          <cell r="K53">
            <v>706</v>
          </cell>
        </row>
        <row r="54">
          <cell r="E54">
            <v>44440</v>
          </cell>
          <cell r="F54">
            <v>12</v>
          </cell>
          <cell r="G54">
            <v>14</v>
          </cell>
          <cell r="H54">
            <v>26</v>
          </cell>
          <cell r="I54">
            <v>128</v>
          </cell>
          <cell r="J54">
            <v>556</v>
          </cell>
          <cell r="K54">
            <v>684</v>
          </cell>
        </row>
        <row r="55">
          <cell r="E55">
            <v>44470</v>
          </cell>
          <cell r="F55">
            <v>8</v>
          </cell>
          <cell r="G55">
            <v>12</v>
          </cell>
          <cell r="H55">
            <v>20</v>
          </cell>
          <cell r="I55">
            <v>100</v>
          </cell>
          <cell r="J55">
            <v>446</v>
          </cell>
          <cell r="K55">
            <v>546</v>
          </cell>
        </row>
        <row r="56">
          <cell r="E56">
            <v>44501</v>
          </cell>
          <cell r="F56">
            <v>6</v>
          </cell>
          <cell r="G56">
            <v>8</v>
          </cell>
          <cell r="H56">
            <v>14</v>
          </cell>
          <cell r="I56">
            <v>94</v>
          </cell>
          <cell r="J56">
            <v>426</v>
          </cell>
          <cell r="K56">
            <v>520</v>
          </cell>
        </row>
        <row r="57">
          <cell r="E57">
            <v>44531</v>
          </cell>
          <cell r="F57">
            <v>11</v>
          </cell>
          <cell r="G57">
            <v>10</v>
          </cell>
          <cell r="H57">
            <v>21</v>
          </cell>
          <cell r="I57">
            <v>119</v>
          </cell>
          <cell r="J57">
            <v>443</v>
          </cell>
          <cell r="K57">
            <v>562</v>
          </cell>
        </row>
        <row r="58">
          <cell r="E58">
            <v>44562</v>
          </cell>
          <cell r="F58">
            <v>10</v>
          </cell>
          <cell r="G58">
            <v>10</v>
          </cell>
          <cell r="H58">
            <v>20</v>
          </cell>
          <cell r="I58">
            <v>116</v>
          </cell>
          <cell r="J58">
            <v>460</v>
          </cell>
          <cell r="K58">
            <v>576</v>
          </cell>
        </row>
        <row r="59">
          <cell r="E59">
            <v>44593</v>
          </cell>
          <cell r="F59">
            <v>9</v>
          </cell>
          <cell r="G59">
            <v>10</v>
          </cell>
          <cell r="H59">
            <v>19</v>
          </cell>
          <cell r="I59">
            <v>109</v>
          </cell>
          <cell r="J59">
            <v>466</v>
          </cell>
          <cell r="K59">
            <v>575</v>
          </cell>
        </row>
        <row r="60">
          <cell r="E60">
            <v>44621</v>
          </cell>
          <cell r="F60">
            <v>11</v>
          </cell>
          <cell r="G60">
            <v>9</v>
          </cell>
          <cell r="H60">
            <v>20</v>
          </cell>
          <cell r="I60">
            <v>116</v>
          </cell>
          <cell r="J60">
            <v>422</v>
          </cell>
          <cell r="K60">
            <v>538</v>
          </cell>
        </row>
        <row r="61">
          <cell r="E61">
            <v>44652</v>
          </cell>
          <cell r="F61">
            <v>11</v>
          </cell>
          <cell r="G61">
            <v>8</v>
          </cell>
          <cell r="H61">
            <v>19</v>
          </cell>
          <cell r="I61">
            <v>117</v>
          </cell>
          <cell r="J61">
            <v>386</v>
          </cell>
          <cell r="K61">
            <v>503</v>
          </cell>
        </row>
        <row r="62">
          <cell r="E62">
            <v>44682</v>
          </cell>
          <cell r="F62">
            <v>8</v>
          </cell>
          <cell r="G62">
            <v>8</v>
          </cell>
          <cell r="H62">
            <v>16</v>
          </cell>
          <cell r="I62">
            <v>104</v>
          </cell>
          <cell r="J62">
            <v>361</v>
          </cell>
          <cell r="K62">
            <v>465</v>
          </cell>
        </row>
        <row r="63">
          <cell r="E63">
            <v>44713</v>
          </cell>
          <cell r="F63">
            <v>12</v>
          </cell>
          <cell r="G63">
            <v>12</v>
          </cell>
          <cell r="H63">
            <v>24</v>
          </cell>
          <cell r="I63">
            <v>119</v>
          </cell>
          <cell r="J63">
            <v>457</v>
          </cell>
          <cell r="K63">
            <v>576</v>
          </cell>
        </row>
        <row r="64">
          <cell r="E64">
            <v>44743</v>
          </cell>
          <cell r="F64">
            <v>9</v>
          </cell>
          <cell r="G64">
            <v>14</v>
          </cell>
          <cell r="H64">
            <v>23</v>
          </cell>
          <cell r="I64">
            <v>129</v>
          </cell>
          <cell r="J64">
            <v>547</v>
          </cell>
          <cell r="K64">
            <v>676</v>
          </cell>
        </row>
        <row r="65">
          <cell r="E65">
            <v>44774</v>
          </cell>
          <cell r="F65">
            <v>11</v>
          </cell>
          <cell r="G65">
            <v>17</v>
          </cell>
          <cell r="H65">
            <v>28</v>
          </cell>
          <cell r="I65">
            <v>131</v>
          </cell>
          <cell r="J65">
            <v>568</v>
          </cell>
          <cell r="K65">
            <v>699</v>
          </cell>
        </row>
        <row r="66">
          <cell r="E66">
            <v>44805</v>
          </cell>
          <cell r="F66">
            <v>12</v>
          </cell>
          <cell r="G66">
            <v>14</v>
          </cell>
          <cell r="H66">
            <v>26</v>
          </cell>
          <cell r="I66">
            <v>127</v>
          </cell>
          <cell r="J66">
            <v>553</v>
          </cell>
          <cell r="K66">
            <v>680</v>
          </cell>
        </row>
        <row r="67">
          <cell r="E67">
            <v>44835</v>
          </cell>
          <cell r="F67">
            <v>8</v>
          </cell>
          <cell r="G67">
            <v>12</v>
          </cell>
          <cell r="H67">
            <v>20</v>
          </cell>
          <cell r="I67">
            <v>98</v>
          </cell>
          <cell r="J67">
            <v>441</v>
          </cell>
          <cell r="K67">
            <v>539</v>
          </cell>
        </row>
        <row r="68">
          <cell r="E68">
            <v>44866</v>
          </cell>
          <cell r="F68">
            <v>6</v>
          </cell>
          <cell r="G68">
            <v>9</v>
          </cell>
          <cell r="H68">
            <v>15</v>
          </cell>
          <cell r="I68">
            <v>93</v>
          </cell>
          <cell r="J68">
            <v>421</v>
          </cell>
          <cell r="K68">
            <v>514</v>
          </cell>
        </row>
        <row r="69">
          <cell r="E69">
            <v>44896</v>
          </cell>
          <cell r="F69">
            <v>11</v>
          </cell>
          <cell r="G69">
            <v>10</v>
          </cell>
          <cell r="H69">
            <v>21</v>
          </cell>
          <cell r="I69">
            <v>117</v>
          </cell>
          <cell r="J69">
            <v>434</v>
          </cell>
          <cell r="K69">
            <v>551</v>
          </cell>
        </row>
        <row r="70">
          <cell r="E70">
            <v>44927</v>
          </cell>
          <cell r="F70">
            <v>10</v>
          </cell>
          <cell r="G70">
            <v>9</v>
          </cell>
          <cell r="H70">
            <v>19</v>
          </cell>
          <cell r="I70">
            <v>115</v>
          </cell>
          <cell r="J70">
            <v>458</v>
          </cell>
          <cell r="K70">
            <v>573</v>
          </cell>
        </row>
        <row r="71">
          <cell r="E71">
            <v>44958</v>
          </cell>
          <cell r="F71">
            <v>9</v>
          </cell>
          <cell r="G71">
            <v>10</v>
          </cell>
          <cell r="H71">
            <v>19</v>
          </cell>
          <cell r="I71">
            <v>109</v>
          </cell>
          <cell r="J71">
            <v>464</v>
          </cell>
          <cell r="K71">
            <v>573</v>
          </cell>
        </row>
        <row r="72">
          <cell r="E72">
            <v>44986</v>
          </cell>
          <cell r="F72">
            <v>11</v>
          </cell>
          <cell r="G72">
            <v>9</v>
          </cell>
          <cell r="H72">
            <v>20</v>
          </cell>
          <cell r="I72">
            <v>115</v>
          </cell>
          <cell r="J72">
            <v>419</v>
          </cell>
          <cell r="K72">
            <v>534</v>
          </cell>
        </row>
        <row r="73">
          <cell r="E73">
            <v>45017</v>
          </cell>
          <cell r="F73">
            <v>10</v>
          </cell>
          <cell r="G73">
            <v>7</v>
          </cell>
          <cell r="H73">
            <v>17</v>
          </cell>
          <cell r="I73">
            <v>114</v>
          </cell>
          <cell r="J73">
            <v>376</v>
          </cell>
          <cell r="K73">
            <v>490</v>
          </cell>
        </row>
        <row r="74">
          <cell r="E74">
            <v>45047</v>
          </cell>
          <cell r="F74">
            <v>8</v>
          </cell>
          <cell r="G74">
            <v>8</v>
          </cell>
          <cell r="H74">
            <v>16</v>
          </cell>
          <cell r="I74">
            <v>105</v>
          </cell>
          <cell r="J74">
            <v>362</v>
          </cell>
          <cell r="K74">
            <v>467</v>
          </cell>
        </row>
        <row r="75">
          <cell r="E75">
            <v>45078</v>
          </cell>
          <cell r="F75">
            <v>12</v>
          </cell>
          <cell r="G75">
            <v>12</v>
          </cell>
          <cell r="H75">
            <v>24</v>
          </cell>
          <cell r="I75">
            <v>118</v>
          </cell>
          <cell r="J75">
            <v>453</v>
          </cell>
          <cell r="K75">
            <v>571</v>
          </cell>
        </row>
        <row r="76">
          <cell r="E76">
            <v>45108</v>
          </cell>
          <cell r="F76">
            <v>9</v>
          </cell>
          <cell r="G76">
            <v>14</v>
          </cell>
          <cell r="H76">
            <v>23</v>
          </cell>
          <cell r="I76">
            <v>128</v>
          </cell>
          <cell r="J76">
            <v>543</v>
          </cell>
          <cell r="K76">
            <v>671</v>
          </cell>
        </row>
        <row r="77">
          <cell r="E77">
            <v>45139</v>
          </cell>
          <cell r="F77">
            <v>11</v>
          </cell>
          <cell r="G77">
            <v>17</v>
          </cell>
          <cell r="H77">
            <v>28</v>
          </cell>
          <cell r="I77">
            <v>131</v>
          </cell>
          <cell r="J77">
            <v>565</v>
          </cell>
          <cell r="K77">
            <v>696</v>
          </cell>
        </row>
        <row r="78">
          <cell r="E78">
            <v>45170</v>
          </cell>
          <cell r="F78">
            <v>12</v>
          </cell>
          <cell r="G78">
            <v>14</v>
          </cell>
          <cell r="H78">
            <v>26</v>
          </cell>
          <cell r="I78">
            <v>126</v>
          </cell>
          <cell r="J78">
            <v>547</v>
          </cell>
          <cell r="K78">
            <v>673</v>
          </cell>
        </row>
        <row r="79">
          <cell r="E79">
            <v>45200</v>
          </cell>
          <cell r="F79">
            <v>8</v>
          </cell>
          <cell r="G79">
            <v>12</v>
          </cell>
          <cell r="H79">
            <v>20</v>
          </cell>
          <cell r="I79">
            <v>98</v>
          </cell>
          <cell r="J79">
            <v>439</v>
          </cell>
          <cell r="K79">
            <v>537</v>
          </cell>
        </row>
        <row r="80">
          <cell r="E80">
            <v>45231</v>
          </cell>
          <cell r="F80">
            <v>6</v>
          </cell>
          <cell r="G80">
            <v>8</v>
          </cell>
          <cell r="H80">
            <v>14</v>
          </cell>
          <cell r="I80">
            <v>92</v>
          </cell>
          <cell r="J80">
            <v>419</v>
          </cell>
          <cell r="K80">
            <v>511</v>
          </cell>
        </row>
        <row r="81">
          <cell r="E81">
            <v>45261</v>
          </cell>
          <cell r="F81">
            <v>11</v>
          </cell>
          <cell r="G81">
            <v>10</v>
          </cell>
          <cell r="H81">
            <v>21</v>
          </cell>
          <cell r="I81">
            <v>118</v>
          </cell>
          <cell r="J81">
            <v>437</v>
          </cell>
          <cell r="K81">
            <v>555</v>
          </cell>
        </row>
        <row r="82">
          <cell r="E82">
            <v>45292</v>
          </cell>
          <cell r="F82">
            <v>10</v>
          </cell>
          <cell r="G82">
            <v>10</v>
          </cell>
          <cell r="H82">
            <v>20</v>
          </cell>
          <cell r="I82">
            <v>116</v>
          </cell>
          <cell r="J82">
            <v>463</v>
          </cell>
          <cell r="K82">
            <v>579</v>
          </cell>
        </row>
        <row r="83">
          <cell r="E83">
            <v>45323</v>
          </cell>
          <cell r="F83">
            <v>9</v>
          </cell>
          <cell r="G83">
            <v>10</v>
          </cell>
          <cell r="H83">
            <v>19</v>
          </cell>
          <cell r="I83">
            <v>109</v>
          </cell>
          <cell r="J83">
            <v>464</v>
          </cell>
          <cell r="K83">
            <v>573</v>
          </cell>
        </row>
        <row r="84">
          <cell r="E84">
            <v>45352</v>
          </cell>
          <cell r="F84">
            <v>11</v>
          </cell>
          <cell r="G84">
            <v>9</v>
          </cell>
          <cell r="H84">
            <v>20</v>
          </cell>
          <cell r="I84">
            <v>116</v>
          </cell>
          <cell r="J84">
            <v>424</v>
          </cell>
          <cell r="K84">
            <v>540</v>
          </cell>
        </row>
        <row r="85">
          <cell r="E85">
            <v>45383</v>
          </cell>
          <cell r="F85">
            <v>11</v>
          </cell>
          <cell r="G85">
            <v>9</v>
          </cell>
          <cell r="H85">
            <v>20</v>
          </cell>
          <cell r="I85">
            <v>115</v>
          </cell>
          <cell r="J85">
            <v>379</v>
          </cell>
          <cell r="K85">
            <v>494</v>
          </cell>
        </row>
        <row r="86">
          <cell r="E86">
            <v>45413</v>
          </cell>
          <cell r="F86">
            <v>8</v>
          </cell>
          <cell r="G86">
            <v>8</v>
          </cell>
          <cell r="H86">
            <v>16</v>
          </cell>
          <cell r="I86">
            <v>106</v>
          </cell>
          <cell r="J86">
            <v>366</v>
          </cell>
          <cell r="K86">
            <v>472</v>
          </cell>
        </row>
        <row r="87">
          <cell r="E87">
            <v>45444</v>
          </cell>
          <cell r="F87">
            <v>12</v>
          </cell>
          <cell r="G87">
            <v>12</v>
          </cell>
          <cell r="H87">
            <v>24</v>
          </cell>
          <cell r="I87">
            <v>118</v>
          </cell>
          <cell r="J87">
            <v>452</v>
          </cell>
          <cell r="K87">
            <v>570</v>
          </cell>
        </row>
        <row r="88">
          <cell r="E88">
            <v>45474</v>
          </cell>
          <cell r="F88">
            <v>9</v>
          </cell>
          <cell r="G88">
            <v>15</v>
          </cell>
          <cell r="H88">
            <v>24</v>
          </cell>
          <cell r="I88">
            <v>128</v>
          </cell>
          <cell r="J88">
            <v>540</v>
          </cell>
          <cell r="K88">
            <v>668</v>
          </cell>
        </row>
        <row r="89">
          <cell r="E89">
            <v>45505</v>
          </cell>
          <cell r="F89">
            <v>11</v>
          </cell>
          <cell r="G89">
            <v>16</v>
          </cell>
          <cell r="H89">
            <v>27</v>
          </cell>
          <cell r="I89">
            <v>130</v>
          </cell>
          <cell r="J89">
            <v>563</v>
          </cell>
          <cell r="K89">
            <v>693</v>
          </cell>
        </row>
        <row r="90">
          <cell r="E90">
            <v>45536</v>
          </cell>
          <cell r="F90">
            <v>12</v>
          </cell>
          <cell r="G90">
            <v>14</v>
          </cell>
          <cell r="H90">
            <v>26</v>
          </cell>
          <cell r="I90">
            <v>126</v>
          </cell>
          <cell r="J90">
            <v>546</v>
          </cell>
          <cell r="K90">
            <v>672</v>
          </cell>
        </row>
        <row r="91">
          <cell r="E91">
            <v>45566</v>
          </cell>
          <cell r="F91">
            <v>8</v>
          </cell>
          <cell r="G91">
            <v>12</v>
          </cell>
          <cell r="H91">
            <v>20</v>
          </cell>
          <cell r="I91">
            <v>97</v>
          </cell>
          <cell r="J91">
            <v>434</v>
          </cell>
          <cell r="K91">
            <v>531</v>
          </cell>
        </row>
        <row r="92">
          <cell r="E92">
            <v>45597</v>
          </cell>
          <cell r="F92">
            <v>6</v>
          </cell>
          <cell r="G92">
            <v>8</v>
          </cell>
          <cell r="H92">
            <v>14</v>
          </cell>
          <cell r="I92">
            <v>91</v>
          </cell>
          <cell r="J92">
            <v>413</v>
          </cell>
          <cell r="K92">
            <v>504</v>
          </cell>
        </row>
        <row r="93">
          <cell r="E93">
            <v>45627</v>
          </cell>
          <cell r="F93">
            <v>11</v>
          </cell>
          <cell r="G93">
            <v>10</v>
          </cell>
          <cell r="H93">
            <v>21</v>
          </cell>
          <cell r="I93">
            <v>118</v>
          </cell>
          <cell r="J93">
            <v>439</v>
          </cell>
          <cell r="K93">
            <v>557</v>
          </cell>
        </row>
        <row r="94">
          <cell r="E94">
            <v>45658</v>
          </cell>
          <cell r="F94">
            <v>11</v>
          </cell>
          <cell r="G94">
            <v>10</v>
          </cell>
          <cell r="H94">
            <v>21</v>
          </cell>
          <cell r="I94">
            <v>115</v>
          </cell>
          <cell r="J94">
            <v>459</v>
          </cell>
          <cell r="K94">
            <v>574</v>
          </cell>
        </row>
        <row r="95">
          <cell r="E95">
            <v>45689</v>
          </cell>
          <cell r="F95">
            <v>9</v>
          </cell>
          <cell r="G95">
            <v>10</v>
          </cell>
          <cell r="H95">
            <v>19</v>
          </cell>
          <cell r="I95">
            <v>108</v>
          </cell>
          <cell r="J95">
            <v>461</v>
          </cell>
          <cell r="K95">
            <v>569</v>
          </cell>
        </row>
        <row r="96">
          <cell r="E96">
            <v>45717</v>
          </cell>
          <cell r="F96">
            <v>11</v>
          </cell>
          <cell r="G96">
            <v>9</v>
          </cell>
          <cell r="H96">
            <v>20</v>
          </cell>
          <cell r="I96">
            <v>114</v>
          </cell>
          <cell r="J96">
            <v>418</v>
          </cell>
          <cell r="K96">
            <v>532</v>
          </cell>
        </row>
        <row r="97">
          <cell r="E97">
            <v>45748</v>
          </cell>
          <cell r="F97">
            <v>11</v>
          </cell>
          <cell r="G97">
            <v>8</v>
          </cell>
          <cell r="H97">
            <v>19</v>
          </cell>
          <cell r="I97">
            <v>112</v>
          </cell>
          <cell r="J97">
            <v>371</v>
          </cell>
          <cell r="K97">
            <v>483</v>
          </cell>
        </row>
        <row r="98">
          <cell r="E98">
            <v>45778</v>
          </cell>
          <cell r="F98">
            <v>8</v>
          </cell>
          <cell r="G98">
            <v>8</v>
          </cell>
          <cell r="H98">
            <v>16</v>
          </cell>
          <cell r="I98">
            <v>104</v>
          </cell>
          <cell r="J98">
            <v>358</v>
          </cell>
          <cell r="K98">
            <v>462</v>
          </cell>
        </row>
        <row r="99">
          <cell r="E99">
            <v>45809</v>
          </cell>
          <cell r="F99">
            <v>12</v>
          </cell>
          <cell r="G99">
            <v>12</v>
          </cell>
          <cell r="H99">
            <v>24</v>
          </cell>
          <cell r="I99">
            <v>115</v>
          </cell>
          <cell r="J99">
            <v>443</v>
          </cell>
          <cell r="K99">
            <v>558</v>
          </cell>
        </row>
        <row r="100">
          <cell r="E100">
            <v>45839</v>
          </cell>
          <cell r="F100">
            <v>9</v>
          </cell>
          <cell r="G100">
            <v>15</v>
          </cell>
          <cell r="H100">
            <v>24</v>
          </cell>
          <cell r="I100">
            <v>126</v>
          </cell>
          <cell r="J100">
            <v>532</v>
          </cell>
          <cell r="K100">
            <v>658</v>
          </cell>
        </row>
        <row r="101">
          <cell r="E101">
            <v>45870</v>
          </cell>
          <cell r="F101">
            <v>11</v>
          </cell>
          <cell r="G101">
            <v>16</v>
          </cell>
          <cell r="H101">
            <v>27</v>
          </cell>
          <cell r="I101">
            <v>128</v>
          </cell>
          <cell r="J101">
            <v>555</v>
          </cell>
          <cell r="K101">
            <v>683</v>
          </cell>
        </row>
        <row r="102">
          <cell r="E102">
            <v>45901</v>
          </cell>
          <cell r="F102">
            <v>12</v>
          </cell>
          <cell r="G102">
            <v>14</v>
          </cell>
          <cell r="H102">
            <v>26</v>
          </cell>
          <cell r="I102">
            <v>124</v>
          </cell>
          <cell r="J102">
            <v>540</v>
          </cell>
          <cell r="K102">
            <v>664</v>
          </cell>
        </row>
        <row r="103">
          <cell r="E103">
            <v>45931</v>
          </cell>
          <cell r="F103">
            <v>8</v>
          </cell>
          <cell r="G103">
            <v>11</v>
          </cell>
          <cell r="H103">
            <v>19</v>
          </cell>
          <cell r="I103">
            <v>95</v>
          </cell>
          <cell r="J103">
            <v>427</v>
          </cell>
          <cell r="K103">
            <v>522</v>
          </cell>
        </row>
        <row r="104">
          <cell r="E104">
            <v>45962</v>
          </cell>
          <cell r="F104">
            <v>6</v>
          </cell>
          <cell r="G104">
            <v>8</v>
          </cell>
          <cell r="H104">
            <v>14</v>
          </cell>
          <cell r="I104">
            <v>90</v>
          </cell>
          <cell r="J104">
            <v>408</v>
          </cell>
          <cell r="K104">
            <v>498</v>
          </cell>
        </row>
        <row r="105">
          <cell r="E105">
            <v>45992</v>
          </cell>
          <cell r="F105">
            <v>11</v>
          </cell>
          <cell r="G105">
            <v>10</v>
          </cell>
          <cell r="H105">
            <v>21</v>
          </cell>
          <cell r="I105">
            <v>115</v>
          </cell>
          <cell r="J105">
            <v>430</v>
          </cell>
          <cell r="K105">
            <v>545</v>
          </cell>
        </row>
        <row r="106">
          <cell r="E106">
            <v>46023</v>
          </cell>
          <cell r="F106">
            <v>10</v>
          </cell>
          <cell r="G106">
            <v>10</v>
          </cell>
          <cell r="H106">
            <v>20</v>
          </cell>
          <cell r="I106">
            <v>113</v>
          </cell>
          <cell r="J106">
            <v>451</v>
          </cell>
          <cell r="K106">
            <v>564</v>
          </cell>
        </row>
        <row r="107">
          <cell r="E107">
            <v>46054</v>
          </cell>
          <cell r="F107">
            <v>9</v>
          </cell>
          <cell r="G107">
            <v>10</v>
          </cell>
          <cell r="H107">
            <v>19</v>
          </cell>
          <cell r="I107">
            <v>107</v>
          </cell>
          <cell r="J107">
            <v>454</v>
          </cell>
          <cell r="K107">
            <v>561</v>
          </cell>
        </row>
        <row r="108">
          <cell r="E108">
            <v>46082</v>
          </cell>
          <cell r="F108">
            <v>11</v>
          </cell>
          <cell r="G108">
            <v>9</v>
          </cell>
          <cell r="H108">
            <v>20</v>
          </cell>
          <cell r="I108">
            <v>113</v>
          </cell>
          <cell r="J108">
            <v>412</v>
          </cell>
          <cell r="K108">
            <v>525</v>
          </cell>
        </row>
        <row r="109">
          <cell r="E109">
            <v>46113</v>
          </cell>
          <cell r="F109">
            <v>11</v>
          </cell>
          <cell r="G109">
            <v>8</v>
          </cell>
          <cell r="H109">
            <v>19</v>
          </cell>
          <cell r="I109">
            <v>111</v>
          </cell>
          <cell r="J109">
            <v>368</v>
          </cell>
          <cell r="K109">
            <v>479</v>
          </cell>
        </row>
        <row r="110">
          <cell r="E110">
            <v>46143</v>
          </cell>
          <cell r="F110">
            <v>8</v>
          </cell>
          <cell r="G110">
            <v>8</v>
          </cell>
          <cell r="H110">
            <v>16</v>
          </cell>
          <cell r="I110">
            <v>103</v>
          </cell>
          <cell r="J110">
            <v>356</v>
          </cell>
          <cell r="K110">
            <v>459</v>
          </cell>
        </row>
        <row r="111">
          <cell r="E111">
            <v>46174</v>
          </cell>
          <cell r="F111">
            <v>12</v>
          </cell>
          <cell r="G111">
            <v>12</v>
          </cell>
          <cell r="H111">
            <v>24</v>
          </cell>
          <cell r="I111">
            <v>115</v>
          </cell>
          <cell r="J111">
            <v>440</v>
          </cell>
          <cell r="K111">
            <v>555</v>
          </cell>
        </row>
        <row r="112">
          <cell r="E112">
            <v>46204</v>
          </cell>
          <cell r="F112">
            <v>10</v>
          </cell>
          <cell r="G112">
            <v>16</v>
          </cell>
          <cell r="H112">
            <v>26</v>
          </cell>
          <cell r="I112">
            <v>125</v>
          </cell>
          <cell r="J112">
            <v>529</v>
          </cell>
          <cell r="K112">
            <v>654</v>
          </cell>
        </row>
        <row r="113">
          <cell r="E113">
            <v>46235</v>
          </cell>
          <cell r="F113">
            <v>12</v>
          </cell>
          <cell r="G113">
            <v>18</v>
          </cell>
          <cell r="H113">
            <v>30</v>
          </cell>
          <cell r="I113">
            <v>128</v>
          </cell>
          <cell r="J113">
            <v>551</v>
          </cell>
          <cell r="K113">
            <v>679</v>
          </cell>
        </row>
        <row r="114">
          <cell r="E114">
            <v>46266</v>
          </cell>
          <cell r="F114">
            <v>13</v>
          </cell>
          <cell r="G114">
            <v>15</v>
          </cell>
          <cell r="H114">
            <v>28</v>
          </cell>
          <cell r="I114">
            <v>123</v>
          </cell>
          <cell r="J114">
            <v>535</v>
          </cell>
          <cell r="K114">
            <v>658</v>
          </cell>
        </row>
        <row r="115">
          <cell r="E115">
            <v>46296</v>
          </cell>
          <cell r="F115">
            <v>8</v>
          </cell>
          <cell r="G115">
            <v>12</v>
          </cell>
          <cell r="H115">
            <v>20</v>
          </cell>
          <cell r="I115">
            <v>95</v>
          </cell>
          <cell r="J115">
            <v>424</v>
          </cell>
          <cell r="K115">
            <v>519</v>
          </cell>
        </row>
        <row r="116">
          <cell r="E116">
            <v>46327</v>
          </cell>
          <cell r="F116">
            <v>6</v>
          </cell>
          <cell r="G116">
            <v>9</v>
          </cell>
          <cell r="H116">
            <v>15</v>
          </cell>
          <cell r="I116">
            <v>90</v>
          </cell>
          <cell r="J116">
            <v>406</v>
          </cell>
          <cell r="K116">
            <v>496</v>
          </cell>
        </row>
        <row r="117">
          <cell r="E117">
            <v>46357</v>
          </cell>
          <cell r="F117">
            <v>11</v>
          </cell>
          <cell r="G117">
            <v>10</v>
          </cell>
          <cell r="H117">
            <v>21</v>
          </cell>
          <cell r="I117">
            <v>114</v>
          </cell>
          <cell r="J117">
            <v>426</v>
          </cell>
          <cell r="K117">
            <v>540</v>
          </cell>
        </row>
        <row r="118">
          <cell r="E118">
            <v>46388</v>
          </cell>
          <cell r="F118">
            <v>10</v>
          </cell>
          <cell r="G118">
            <v>10</v>
          </cell>
          <cell r="H118">
            <v>20</v>
          </cell>
          <cell r="I118">
            <v>115</v>
          </cell>
          <cell r="J118">
            <v>455</v>
          </cell>
          <cell r="K118">
            <v>570</v>
          </cell>
        </row>
        <row r="119">
          <cell r="E119">
            <v>46419</v>
          </cell>
          <cell r="F119">
            <v>9</v>
          </cell>
          <cell r="G119">
            <v>10</v>
          </cell>
          <cell r="H119">
            <v>19</v>
          </cell>
          <cell r="I119">
            <v>107</v>
          </cell>
          <cell r="J119">
            <v>457</v>
          </cell>
          <cell r="K119">
            <v>564</v>
          </cell>
        </row>
        <row r="120">
          <cell r="E120">
            <v>46447</v>
          </cell>
          <cell r="F120">
            <v>11</v>
          </cell>
          <cell r="G120">
            <v>9</v>
          </cell>
          <cell r="H120">
            <v>20</v>
          </cell>
          <cell r="I120">
            <v>114</v>
          </cell>
          <cell r="J120">
            <v>414</v>
          </cell>
          <cell r="K120">
            <v>528</v>
          </cell>
        </row>
        <row r="121">
          <cell r="E121">
            <v>46478</v>
          </cell>
          <cell r="F121">
            <v>10</v>
          </cell>
          <cell r="G121">
            <v>8</v>
          </cell>
          <cell r="H121">
            <v>18</v>
          </cell>
          <cell r="I121">
            <v>110</v>
          </cell>
          <cell r="J121">
            <v>363</v>
          </cell>
          <cell r="K121">
            <v>473</v>
          </cell>
        </row>
        <row r="122">
          <cell r="E122">
            <v>46508</v>
          </cell>
          <cell r="F122">
            <v>8</v>
          </cell>
          <cell r="G122">
            <v>8</v>
          </cell>
          <cell r="H122">
            <v>16</v>
          </cell>
          <cell r="I122">
            <v>101</v>
          </cell>
          <cell r="J122">
            <v>348</v>
          </cell>
          <cell r="K122">
            <v>449</v>
          </cell>
        </row>
        <row r="123">
          <cell r="E123">
            <v>46539</v>
          </cell>
          <cell r="F123">
            <v>13</v>
          </cell>
          <cell r="G123">
            <v>12</v>
          </cell>
          <cell r="H123">
            <v>25</v>
          </cell>
          <cell r="I123">
            <v>114</v>
          </cell>
          <cell r="J123">
            <v>436</v>
          </cell>
          <cell r="K123">
            <v>550</v>
          </cell>
        </row>
        <row r="124">
          <cell r="E124">
            <v>46569</v>
          </cell>
          <cell r="F124">
            <v>10</v>
          </cell>
          <cell r="G124">
            <v>16</v>
          </cell>
          <cell r="H124">
            <v>26</v>
          </cell>
          <cell r="I124">
            <v>124</v>
          </cell>
          <cell r="J124">
            <v>523</v>
          </cell>
          <cell r="K124">
            <v>647</v>
          </cell>
        </row>
        <row r="125">
          <cell r="E125">
            <v>46600</v>
          </cell>
          <cell r="F125">
            <v>12</v>
          </cell>
          <cell r="G125">
            <v>18</v>
          </cell>
          <cell r="H125">
            <v>30</v>
          </cell>
          <cell r="I125">
            <v>127</v>
          </cell>
          <cell r="J125">
            <v>549</v>
          </cell>
          <cell r="K125">
            <v>676</v>
          </cell>
        </row>
        <row r="126">
          <cell r="E126">
            <v>46631</v>
          </cell>
          <cell r="F126">
            <v>13</v>
          </cell>
          <cell r="G126">
            <v>16</v>
          </cell>
          <cell r="H126">
            <v>29</v>
          </cell>
          <cell r="I126">
            <v>122</v>
          </cell>
          <cell r="J126">
            <v>532</v>
          </cell>
          <cell r="K126">
            <v>654</v>
          </cell>
        </row>
        <row r="127">
          <cell r="E127">
            <v>46661</v>
          </cell>
          <cell r="F127">
            <v>9</v>
          </cell>
          <cell r="G127">
            <v>12</v>
          </cell>
          <cell r="H127">
            <v>21</v>
          </cell>
          <cell r="I127">
            <v>95</v>
          </cell>
          <cell r="J127">
            <v>424</v>
          </cell>
          <cell r="K127">
            <v>519</v>
          </cell>
        </row>
        <row r="128">
          <cell r="E128">
            <v>46692</v>
          </cell>
          <cell r="F128">
            <v>6</v>
          </cell>
          <cell r="G128">
            <v>8</v>
          </cell>
          <cell r="H128">
            <v>14</v>
          </cell>
          <cell r="I128">
            <v>90</v>
          </cell>
          <cell r="J128">
            <v>408</v>
          </cell>
          <cell r="K128">
            <v>498</v>
          </cell>
        </row>
        <row r="129">
          <cell r="E129">
            <v>46722</v>
          </cell>
          <cell r="F129">
            <v>11</v>
          </cell>
          <cell r="G129">
            <v>11</v>
          </cell>
          <cell r="H129">
            <v>22</v>
          </cell>
          <cell r="I129">
            <v>115</v>
          </cell>
          <cell r="J129">
            <v>429</v>
          </cell>
          <cell r="K129">
            <v>544</v>
          </cell>
        </row>
      </sheetData>
      <sheetData sheetId="2">
        <row r="8">
          <cell r="D8">
            <v>44197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</row>
        <row r="9">
          <cell r="D9">
            <v>44228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</row>
        <row r="10">
          <cell r="D10">
            <v>44256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</row>
        <row r="11">
          <cell r="D11">
            <v>44287</v>
          </cell>
          <cell r="E11">
            <v>3</v>
          </cell>
          <cell r="F11">
            <v>19</v>
          </cell>
          <cell r="G11">
            <v>22</v>
          </cell>
          <cell r="H11">
            <v>193</v>
          </cell>
          <cell r="I11">
            <v>36</v>
          </cell>
          <cell r="J11">
            <v>229</v>
          </cell>
          <cell r="K11">
            <v>3005</v>
          </cell>
          <cell r="L11">
            <v>1062</v>
          </cell>
          <cell r="M11">
            <v>4067</v>
          </cell>
          <cell r="N11">
            <v>27</v>
          </cell>
          <cell r="O11">
            <v>27</v>
          </cell>
          <cell r="P11">
            <v>54</v>
          </cell>
          <cell r="Q11">
            <v>4372</v>
          </cell>
        </row>
        <row r="12">
          <cell r="D12">
            <v>44317</v>
          </cell>
          <cell r="E12">
            <v>0</v>
          </cell>
          <cell r="F12">
            <v>17</v>
          </cell>
          <cell r="G12">
            <v>17</v>
          </cell>
          <cell r="H12">
            <v>229</v>
          </cell>
          <cell r="I12">
            <v>36</v>
          </cell>
          <cell r="J12">
            <v>265</v>
          </cell>
          <cell r="K12">
            <v>3354</v>
          </cell>
          <cell r="L12">
            <v>1066</v>
          </cell>
          <cell r="M12">
            <v>4420</v>
          </cell>
          <cell r="N12">
            <v>31</v>
          </cell>
          <cell r="O12">
            <v>24</v>
          </cell>
          <cell r="P12">
            <v>55</v>
          </cell>
          <cell r="Q12">
            <v>4757</v>
          </cell>
        </row>
        <row r="13">
          <cell r="D13">
            <v>44348</v>
          </cell>
          <cell r="E13">
            <v>0</v>
          </cell>
          <cell r="F13">
            <v>16</v>
          </cell>
          <cell r="G13">
            <v>16</v>
          </cell>
          <cell r="H13">
            <v>285</v>
          </cell>
          <cell r="I13">
            <v>53</v>
          </cell>
          <cell r="J13">
            <v>338</v>
          </cell>
          <cell r="K13">
            <v>3642</v>
          </cell>
          <cell r="L13">
            <v>1231</v>
          </cell>
          <cell r="M13">
            <v>4873</v>
          </cell>
          <cell r="N13">
            <v>21</v>
          </cell>
          <cell r="O13">
            <v>26</v>
          </cell>
          <cell r="P13">
            <v>47</v>
          </cell>
          <cell r="Q13">
            <v>5274</v>
          </cell>
        </row>
        <row r="14">
          <cell r="D14">
            <v>44378</v>
          </cell>
          <cell r="E14">
            <v>0</v>
          </cell>
          <cell r="F14">
            <v>19</v>
          </cell>
          <cell r="G14">
            <v>19</v>
          </cell>
          <cell r="H14">
            <v>355</v>
          </cell>
          <cell r="I14">
            <v>50</v>
          </cell>
          <cell r="J14">
            <v>405</v>
          </cell>
          <cell r="K14">
            <v>3779</v>
          </cell>
          <cell r="L14">
            <v>1441</v>
          </cell>
          <cell r="M14">
            <v>5220</v>
          </cell>
          <cell r="N14">
            <v>25</v>
          </cell>
          <cell r="O14">
            <v>23</v>
          </cell>
          <cell r="P14">
            <v>48</v>
          </cell>
          <cell r="Q14">
            <v>5692</v>
          </cell>
        </row>
        <row r="15">
          <cell r="D15">
            <v>44409</v>
          </cell>
          <cell r="E15">
            <v>0</v>
          </cell>
          <cell r="F15">
            <v>19</v>
          </cell>
          <cell r="G15">
            <v>19</v>
          </cell>
          <cell r="H15">
            <v>376</v>
          </cell>
          <cell r="I15">
            <v>57</v>
          </cell>
          <cell r="J15">
            <v>433</v>
          </cell>
          <cell r="K15">
            <v>3787</v>
          </cell>
          <cell r="L15">
            <v>1493</v>
          </cell>
          <cell r="M15">
            <v>5280</v>
          </cell>
          <cell r="N15">
            <v>23</v>
          </cell>
          <cell r="O15">
            <v>26</v>
          </cell>
          <cell r="P15">
            <v>49</v>
          </cell>
          <cell r="Q15">
            <v>5781</v>
          </cell>
        </row>
        <row r="16">
          <cell r="D16">
            <v>44440</v>
          </cell>
          <cell r="E16">
            <v>0</v>
          </cell>
          <cell r="F16">
            <v>18</v>
          </cell>
          <cell r="G16">
            <v>18</v>
          </cell>
          <cell r="H16">
            <v>363</v>
          </cell>
          <cell r="I16">
            <v>54</v>
          </cell>
          <cell r="J16">
            <v>417</v>
          </cell>
          <cell r="K16">
            <v>3679</v>
          </cell>
          <cell r="L16">
            <v>1449</v>
          </cell>
          <cell r="M16">
            <v>5128</v>
          </cell>
          <cell r="N16">
            <v>21</v>
          </cell>
          <cell r="O16">
            <v>23</v>
          </cell>
          <cell r="P16">
            <v>44</v>
          </cell>
          <cell r="Q16">
            <v>5607</v>
          </cell>
        </row>
        <row r="17">
          <cell r="D17">
            <v>44470</v>
          </cell>
          <cell r="E17">
            <v>0</v>
          </cell>
          <cell r="F17">
            <v>18</v>
          </cell>
          <cell r="G17">
            <v>18</v>
          </cell>
          <cell r="H17">
            <v>297</v>
          </cell>
          <cell r="I17">
            <v>44</v>
          </cell>
          <cell r="J17">
            <v>341</v>
          </cell>
          <cell r="K17">
            <v>3632</v>
          </cell>
          <cell r="L17">
            <v>1197</v>
          </cell>
          <cell r="M17">
            <v>4829</v>
          </cell>
          <cell r="N17">
            <v>18</v>
          </cell>
          <cell r="O17">
            <v>20</v>
          </cell>
          <cell r="P17">
            <v>38</v>
          </cell>
          <cell r="Q17">
            <v>5226</v>
          </cell>
        </row>
        <row r="18">
          <cell r="D18">
            <v>44501</v>
          </cell>
          <cell r="E18">
            <v>0</v>
          </cell>
          <cell r="F18">
            <v>16</v>
          </cell>
          <cell r="G18">
            <v>16</v>
          </cell>
          <cell r="H18">
            <v>231</v>
          </cell>
          <cell r="I18">
            <v>29</v>
          </cell>
          <cell r="J18">
            <v>260</v>
          </cell>
          <cell r="K18">
            <v>3417</v>
          </cell>
          <cell r="L18">
            <v>1128</v>
          </cell>
          <cell r="M18">
            <v>4545</v>
          </cell>
          <cell r="N18">
            <v>23</v>
          </cell>
          <cell r="O18">
            <v>26</v>
          </cell>
          <cell r="P18">
            <v>49</v>
          </cell>
          <cell r="Q18">
            <v>4870</v>
          </cell>
        </row>
        <row r="19">
          <cell r="D19">
            <v>44531</v>
          </cell>
          <cell r="E19">
            <v>0</v>
          </cell>
          <cell r="F19">
            <v>20</v>
          </cell>
          <cell r="G19">
            <v>20</v>
          </cell>
          <cell r="H19">
            <v>211</v>
          </cell>
          <cell r="I19">
            <v>37</v>
          </cell>
          <cell r="J19">
            <v>248</v>
          </cell>
          <cell r="K19">
            <v>3095</v>
          </cell>
          <cell r="L19">
            <v>1085</v>
          </cell>
          <cell r="M19">
            <v>4180</v>
          </cell>
          <cell r="N19">
            <v>41</v>
          </cell>
          <cell r="O19">
            <v>27</v>
          </cell>
          <cell r="P19">
            <v>68</v>
          </cell>
          <cell r="Q19">
            <v>4516</v>
          </cell>
        </row>
        <row r="20">
          <cell r="D20">
            <v>44562</v>
          </cell>
          <cell r="E20">
            <v>2</v>
          </cell>
          <cell r="F20">
            <v>15</v>
          </cell>
          <cell r="G20">
            <v>17</v>
          </cell>
          <cell r="H20">
            <v>221</v>
          </cell>
          <cell r="I20">
            <v>37</v>
          </cell>
          <cell r="J20">
            <v>258</v>
          </cell>
          <cell r="K20">
            <v>3191</v>
          </cell>
          <cell r="L20">
            <v>1079</v>
          </cell>
          <cell r="M20">
            <v>4270</v>
          </cell>
          <cell r="N20">
            <v>46</v>
          </cell>
          <cell r="O20">
            <v>32</v>
          </cell>
          <cell r="P20">
            <v>78</v>
          </cell>
          <cell r="Q20">
            <v>4623</v>
          </cell>
        </row>
        <row r="21">
          <cell r="D21">
            <v>44593</v>
          </cell>
          <cell r="E21">
            <v>0</v>
          </cell>
          <cell r="F21">
            <v>24</v>
          </cell>
          <cell r="G21">
            <v>24</v>
          </cell>
          <cell r="H21">
            <v>228</v>
          </cell>
          <cell r="I21">
            <v>35</v>
          </cell>
          <cell r="J21">
            <v>263</v>
          </cell>
          <cell r="K21">
            <v>3144</v>
          </cell>
          <cell r="L21">
            <v>1111</v>
          </cell>
          <cell r="M21">
            <v>4255</v>
          </cell>
          <cell r="N21">
            <v>62</v>
          </cell>
          <cell r="O21">
            <v>30</v>
          </cell>
          <cell r="P21">
            <v>92</v>
          </cell>
          <cell r="Q21">
            <v>4634</v>
          </cell>
        </row>
        <row r="22">
          <cell r="D22">
            <v>44621</v>
          </cell>
          <cell r="E22">
            <v>0</v>
          </cell>
          <cell r="F22">
            <v>21</v>
          </cell>
          <cell r="G22">
            <v>21</v>
          </cell>
          <cell r="H22">
            <v>205</v>
          </cell>
          <cell r="I22">
            <v>38</v>
          </cell>
          <cell r="J22">
            <v>243</v>
          </cell>
          <cell r="K22">
            <v>3158</v>
          </cell>
          <cell r="L22">
            <v>1046</v>
          </cell>
          <cell r="M22">
            <v>4204</v>
          </cell>
          <cell r="N22">
            <v>46</v>
          </cell>
          <cell r="O22">
            <v>26</v>
          </cell>
          <cell r="P22">
            <v>72</v>
          </cell>
          <cell r="Q22">
            <v>4540</v>
          </cell>
        </row>
        <row r="23">
          <cell r="D23">
            <v>44652</v>
          </cell>
          <cell r="E23">
            <v>0</v>
          </cell>
          <cell r="F23">
            <v>21</v>
          </cell>
          <cell r="G23">
            <v>21</v>
          </cell>
          <cell r="H23">
            <v>196</v>
          </cell>
          <cell r="I23">
            <v>35</v>
          </cell>
          <cell r="J23">
            <v>231</v>
          </cell>
          <cell r="K23">
            <v>3286</v>
          </cell>
          <cell r="L23">
            <v>1044</v>
          </cell>
          <cell r="M23">
            <v>4330</v>
          </cell>
          <cell r="N23">
            <v>28</v>
          </cell>
          <cell r="O23">
            <v>26</v>
          </cell>
          <cell r="P23">
            <v>54</v>
          </cell>
          <cell r="Q23">
            <v>4636</v>
          </cell>
        </row>
        <row r="24">
          <cell r="D24">
            <v>44682</v>
          </cell>
          <cell r="E24">
            <v>0</v>
          </cell>
          <cell r="F24">
            <v>16</v>
          </cell>
          <cell r="G24">
            <v>16</v>
          </cell>
          <cell r="H24">
            <v>230</v>
          </cell>
          <cell r="I24">
            <v>35</v>
          </cell>
          <cell r="J24">
            <v>265</v>
          </cell>
          <cell r="K24">
            <v>3640</v>
          </cell>
          <cell r="L24">
            <v>1034</v>
          </cell>
          <cell r="M24">
            <v>4674</v>
          </cell>
          <cell r="N24">
            <v>24</v>
          </cell>
          <cell r="O24">
            <v>23</v>
          </cell>
          <cell r="P24">
            <v>47</v>
          </cell>
          <cell r="Q24">
            <v>5002</v>
          </cell>
        </row>
        <row r="25">
          <cell r="D25">
            <v>44713</v>
          </cell>
          <cell r="E25">
            <v>0</v>
          </cell>
          <cell r="F25">
            <v>16</v>
          </cell>
          <cell r="G25">
            <v>16</v>
          </cell>
          <cell r="H25">
            <v>285</v>
          </cell>
          <cell r="I25">
            <v>53</v>
          </cell>
          <cell r="J25">
            <v>338</v>
          </cell>
          <cell r="K25">
            <v>3921</v>
          </cell>
          <cell r="L25">
            <v>1229</v>
          </cell>
          <cell r="M25">
            <v>5150</v>
          </cell>
          <cell r="N25">
            <v>21</v>
          </cell>
          <cell r="O25">
            <v>27</v>
          </cell>
          <cell r="P25">
            <v>48</v>
          </cell>
          <cell r="Q25">
            <v>5552</v>
          </cell>
        </row>
        <row r="26">
          <cell r="D26">
            <v>44743</v>
          </cell>
          <cell r="E26">
            <v>0</v>
          </cell>
          <cell r="F26">
            <v>19</v>
          </cell>
          <cell r="G26">
            <v>19</v>
          </cell>
          <cell r="H26">
            <v>360</v>
          </cell>
          <cell r="I26">
            <v>48</v>
          </cell>
          <cell r="J26">
            <v>408</v>
          </cell>
          <cell r="K26">
            <v>3894</v>
          </cell>
          <cell r="L26">
            <v>1428</v>
          </cell>
          <cell r="M26">
            <v>5322</v>
          </cell>
          <cell r="N26">
            <v>22</v>
          </cell>
          <cell r="O26">
            <v>23</v>
          </cell>
          <cell r="P26">
            <v>45</v>
          </cell>
          <cell r="Q26">
            <v>5794</v>
          </cell>
        </row>
        <row r="27">
          <cell r="D27">
            <v>44774</v>
          </cell>
          <cell r="E27">
            <v>0</v>
          </cell>
          <cell r="F27">
            <v>19</v>
          </cell>
          <cell r="G27">
            <v>19</v>
          </cell>
          <cell r="H27">
            <v>377</v>
          </cell>
          <cell r="I27">
            <v>57</v>
          </cell>
          <cell r="J27">
            <v>434</v>
          </cell>
          <cell r="K27">
            <v>3888</v>
          </cell>
          <cell r="L27">
            <v>1490</v>
          </cell>
          <cell r="M27">
            <v>5378</v>
          </cell>
          <cell r="N27">
            <v>23</v>
          </cell>
          <cell r="O27">
            <v>24</v>
          </cell>
          <cell r="P27">
            <v>47</v>
          </cell>
          <cell r="Q27">
            <v>5878</v>
          </cell>
        </row>
        <row r="28">
          <cell r="D28">
            <v>44805</v>
          </cell>
          <cell r="E28">
            <v>0</v>
          </cell>
          <cell r="F28">
            <v>18</v>
          </cell>
          <cell r="G28">
            <v>18</v>
          </cell>
          <cell r="H28">
            <v>367</v>
          </cell>
          <cell r="I28">
            <v>53</v>
          </cell>
          <cell r="J28">
            <v>420</v>
          </cell>
          <cell r="K28">
            <v>3784</v>
          </cell>
          <cell r="L28">
            <v>1438</v>
          </cell>
          <cell r="M28">
            <v>5222</v>
          </cell>
          <cell r="N28">
            <v>19</v>
          </cell>
          <cell r="O28">
            <v>23</v>
          </cell>
          <cell r="P28">
            <v>42</v>
          </cell>
          <cell r="Q28">
            <v>5702</v>
          </cell>
        </row>
        <row r="29">
          <cell r="D29">
            <v>44835</v>
          </cell>
          <cell r="E29">
            <v>0</v>
          </cell>
          <cell r="F29">
            <v>18</v>
          </cell>
          <cell r="G29">
            <v>18</v>
          </cell>
          <cell r="H29">
            <v>299</v>
          </cell>
          <cell r="I29">
            <v>44</v>
          </cell>
          <cell r="J29">
            <v>343</v>
          </cell>
          <cell r="K29">
            <v>3636</v>
          </cell>
          <cell r="L29">
            <v>1175</v>
          </cell>
          <cell r="M29">
            <v>4811</v>
          </cell>
          <cell r="N29">
            <v>18</v>
          </cell>
          <cell r="O29">
            <v>18</v>
          </cell>
          <cell r="P29">
            <v>36</v>
          </cell>
          <cell r="Q29">
            <v>5208</v>
          </cell>
        </row>
        <row r="30">
          <cell r="D30">
            <v>44866</v>
          </cell>
          <cell r="E30">
            <v>0</v>
          </cell>
          <cell r="F30">
            <v>16</v>
          </cell>
          <cell r="G30">
            <v>16</v>
          </cell>
          <cell r="H30">
            <v>230</v>
          </cell>
          <cell r="I30">
            <v>31</v>
          </cell>
          <cell r="J30">
            <v>261</v>
          </cell>
          <cell r="K30">
            <v>3423</v>
          </cell>
          <cell r="L30">
            <v>1111</v>
          </cell>
          <cell r="M30">
            <v>4534</v>
          </cell>
          <cell r="N30">
            <v>21</v>
          </cell>
          <cell r="O30">
            <v>26</v>
          </cell>
          <cell r="P30">
            <v>47</v>
          </cell>
          <cell r="Q30">
            <v>4858</v>
          </cell>
        </row>
        <row r="31">
          <cell r="D31">
            <v>44896</v>
          </cell>
          <cell r="E31">
            <v>0</v>
          </cell>
          <cell r="F31">
            <v>20</v>
          </cell>
          <cell r="G31">
            <v>20</v>
          </cell>
          <cell r="H31">
            <v>211</v>
          </cell>
          <cell r="I31">
            <v>37</v>
          </cell>
          <cell r="J31">
            <v>248</v>
          </cell>
          <cell r="K31">
            <v>3092</v>
          </cell>
          <cell r="L31">
            <v>1071</v>
          </cell>
          <cell r="M31">
            <v>4163</v>
          </cell>
          <cell r="N31">
            <v>39</v>
          </cell>
          <cell r="O31">
            <v>27</v>
          </cell>
          <cell r="P31">
            <v>66</v>
          </cell>
          <cell r="Q31">
            <v>4497</v>
          </cell>
        </row>
        <row r="32">
          <cell r="D32">
            <v>44927</v>
          </cell>
          <cell r="E32">
            <v>2</v>
          </cell>
          <cell r="F32">
            <v>15</v>
          </cell>
          <cell r="G32">
            <v>17</v>
          </cell>
          <cell r="H32">
            <v>220</v>
          </cell>
          <cell r="I32">
            <v>35</v>
          </cell>
          <cell r="J32">
            <v>255</v>
          </cell>
          <cell r="K32">
            <v>3259</v>
          </cell>
          <cell r="L32">
            <v>1065</v>
          </cell>
          <cell r="M32">
            <v>4324</v>
          </cell>
          <cell r="N32">
            <v>43</v>
          </cell>
          <cell r="O32">
            <v>30</v>
          </cell>
          <cell r="P32">
            <v>73</v>
          </cell>
          <cell r="Q32">
            <v>4669</v>
          </cell>
        </row>
        <row r="33">
          <cell r="D33">
            <v>44958</v>
          </cell>
          <cell r="E33">
            <v>0</v>
          </cell>
          <cell r="F33">
            <v>24</v>
          </cell>
          <cell r="G33">
            <v>24</v>
          </cell>
          <cell r="H33">
            <v>226</v>
          </cell>
          <cell r="I33">
            <v>35</v>
          </cell>
          <cell r="J33">
            <v>261</v>
          </cell>
          <cell r="K33">
            <v>3204</v>
          </cell>
          <cell r="L33">
            <v>1106</v>
          </cell>
          <cell r="M33">
            <v>4310</v>
          </cell>
          <cell r="N33">
            <v>58</v>
          </cell>
          <cell r="O33">
            <v>28</v>
          </cell>
          <cell r="P33">
            <v>86</v>
          </cell>
          <cell r="Q33">
            <v>4681</v>
          </cell>
        </row>
        <row r="34">
          <cell r="D34">
            <v>44986</v>
          </cell>
          <cell r="E34">
            <v>0</v>
          </cell>
          <cell r="F34">
            <v>21</v>
          </cell>
          <cell r="G34">
            <v>21</v>
          </cell>
          <cell r="H34">
            <v>201</v>
          </cell>
          <cell r="I34">
            <v>38</v>
          </cell>
          <cell r="J34">
            <v>239</v>
          </cell>
          <cell r="K34">
            <v>3210</v>
          </cell>
          <cell r="L34">
            <v>1034</v>
          </cell>
          <cell r="M34">
            <v>4244</v>
          </cell>
          <cell r="N34">
            <v>41</v>
          </cell>
          <cell r="O34">
            <v>26</v>
          </cell>
          <cell r="P34">
            <v>67</v>
          </cell>
          <cell r="Q34">
            <v>4571</v>
          </cell>
        </row>
        <row r="35">
          <cell r="D35">
            <v>45017</v>
          </cell>
          <cell r="E35">
            <v>0</v>
          </cell>
          <cell r="F35">
            <v>22</v>
          </cell>
          <cell r="G35">
            <v>22</v>
          </cell>
          <cell r="H35">
            <v>192</v>
          </cell>
          <cell r="I35">
            <v>33</v>
          </cell>
          <cell r="J35">
            <v>225</v>
          </cell>
          <cell r="K35">
            <v>3135</v>
          </cell>
          <cell r="L35">
            <v>1052</v>
          </cell>
          <cell r="M35">
            <v>4187</v>
          </cell>
          <cell r="N35">
            <v>27</v>
          </cell>
          <cell r="O35">
            <v>24</v>
          </cell>
          <cell r="P35">
            <v>51</v>
          </cell>
          <cell r="Q35">
            <v>4485</v>
          </cell>
        </row>
        <row r="36">
          <cell r="D36">
            <v>45047</v>
          </cell>
          <cell r="E36">
            <v>0</v>
          </cell>
          <cell r="F36">
            <v>17</v>
          </cell>
          <cell r="G36">
            <v>17</v>
          </cell>
          <cell r="H36">
            <v>225</v>
          </cell>
          <cell r="I36">
            <v>36</v>
          </cell>
          <cell r="J36">
            <v>261</v>
          </cell>
          <cell r="K36">
            <v>3484</v>
          </cell>
          <cell r="L36">
            <v>1060</v>
          </cell>
          <cell r="M36">
            <v>4544</v>
          </cell>
          <cell r="N36">
            <v>25</v>
          </cell>
          <cell r="O36">
            <v>24</v>
          </cell>
          <cell r="P36">
            <v>49</v>
          </cell>
          <cell r="Q36">
            <v>4871</v>
          </cell>
        </row>
        <row r="37">
          <cell r="D37">
            <v>45078</v>
          </cell>
          <cell r="E37">
            <v>0</v>
          </cell>
          <cell r="F37">
            <v>16</v>
          </cell>
          <cell r="G37">
            <v>16</v>
          </cell>
          <cell r="H37">
            <v>279</v>
          </cell>
          <cell r="I37">
            <v>53</v>
          </cell>
          <cell r="J37">
            <v>332</v>
          </cell>
          <cell r="K37">
            <v>3784</v>
          </cell>
          <cell r="L37">
            <v>1217</v>
          </cell>
          <cell r="M37">
            <v>5001</v>
          </cell>
          <cell r="N37">
            <v>19</v>
          </cell>
          <cell r="O37">
            <v>27</v>
          </cell>
          <cell r="P37">
            <v>46</v>
          </cell>
          <cell r="Q37">
            <v>5395</v>
          </cell>
        </row>
        <row r="38">
          <cell r="D38">
            <v>45108</v>
          </cell>
          <cell r="E38">
            <v>0</v>
          </cell>
          <cell r="F38">
            <v>19</v>
          </cell>
          <cell r="G38">
            <v>19</v>
          </cell>
          <cell r="H38">
            <v>353</v>
          </cell>
          <cell r="I38">
            <v>48</v>
          </cell>
          <cell r="J38">
            <v>401</v>
          </cell>
          <cell r="K38">
            <v>3800</v>
          </cell>
          <cell r="L38">
            <v>1421</v>
          </cell>
          <cell r="M38">
            <v>5221</v>
          </cell>
          <cell r="N38">
            <v>22</v>
          </cell>
          <cell r="O38">
            <v>21</v>
          </cell>
          <cell r="P38">
            <v>43</v>
          </cell>
          <cell r="Q38">
            <v>5684</v>
          </cell>
        </row>
        <row r="39">
          <cell r="D39">
            <v>45139</v>
          </cell>
          <cell r="E39">
            <v>0</v>
          </cell>
          <cell r="F39">
            <v>19</v>
          </cell>
          <cell r="G39">
            <v>19</v>
          </cell>
          <cell r="H39">
            <v>373</v>
          </cell>
          <cell r="I39">
            <v>57</v>
          </cell>
          <cell r="J39">
            <v>430</v>
          </cell>
          <cell r="K39">
            <v>3802</v>
          </cell>
          <cell r="L39">
            <v>1478</v>
          </cell>
          <cell r="M39">
            <v>5280</v>
          </cell>
          <cell r="N39">
            <v>21</v>
          </cell>
          <cell r="O39">
            <v>24</v>
          </cell>
          <cell r="P39">
            <v>45</v>
          </cell>
          <cell r="Q39">
            <v>5774</v>
          </cell>
        </row>
        <row r="40">
          <cell r="D40">
            <v>45170</v>
          </cell>
          <cell r="E40">
            <v>0</v>
          </cell>
          <cell r="F40">
            <v>18</v>
          </cell>
          <cell r="G40">
            <v>18</v>
          </cell>
          <cell r="H40">
            <v>361</v>
          </cell>
          <cell r="I40">
            <v>53</v>
          </cell>
          <cell r="J40">
            <v>414</v>
          </cell>
          <cell r="K40">
            <v>3695</v>
          </cell>
          <cell r="L40">
            <v>1423</v>
          </cell>
          <cell r="M40">
            <v>5118</v>
          </cell>
          <cell r="N40">
            <v>19</v>
          </cell>
          <cell r="O40">
            <v>23</v>
          </cell>
          <cell r="P40">
            <v>42</v>
          </cell>
          <cell r="Q40">
            <v>5592</v>
          </cell>
        </row>
        <row r="41">
          <cell r="D41">
            <v>45200</v>
          </cell>
          <cell r="E41">
            <v>0</v>
          </cell>
          <cell r="F41">
            <v>18</v>
          </cell>
          <cell r="G41">
            <v>18</v>
          </cell>
          <cell r="H41">
            <v>296</v>
          </cell>
          <cell r="I41">
            <v>44</v>
          </cell>
          <cell r="J41">
            <v>340</v>
          </cell>
          <cell r="K41">
            <v>3616</v>
          </cell>
          <cell r="L41">
            <v>1171</v>
          </cell>
          <cell r="M41">
            <v>4787</v>
          </cell>
          <cell r="N41">
            <v>18</v>
          </cell>
          <cell r="O41">
            <v>18</v>
          </cell>
          <cell r="P41">
            <v>36</v>
          </cell>
          <cell r="Q41">
            <v>5181</v>
          </cell>
        </row>
        <row r="42">
          <cell r="D42">
            <v>45231</v>
          </cell>
          <cell r="E42">
            <v>0</v>
          </cell>
          <cell r="F42">
            <v>16</v>
          </cell>
          <cell r="G42">
            <v>16</v>
          </cell>
          <cell r="H42">
            <v>229</v>
          </cell>
          <cell r="I42">
            <v>29</v>
          </cell>
          <cell r="J42">
            <v>258</v>
          </cell>
          <cell r="K42">
            <v>3404</v>
          </cell>
          <cell r="L42">
            <v>1102</v>
          </cell>
          <cell r="M42">
            <v>4506</v>
          </cell>
          <cell r="N42">
            <v>21</v>
          </cell>
          <cell r="O42">
            <v>26</v>
          </cell>
          <cell r="P42">
            <v>47</v>
          </cell>
          <cell r="Q42">
            <v>4827</v>
          </cell>
        </row>
        <row r="43">
          <cell r="D43">
            <v>45261</v>
          </cell>
          <cell r="E43">
            <v>0</v>
          </cell>
          <cell r="F43">
            <v>20</v>
          </cell>
          <cell r="G43">
            <v>20</v>
          </cell>
          <cell r="H43">
            <v>208</v>
          </cell>
          <cell r="I43">
            <v>37</v>
          </cell>
          <cell r="J43">
            <v>245</v>
          </cell>
          <cell r="K43">
            <v>3077</v>
          </cell>
          <cell r="L43">
            <v>1074</v>
          </cell>
          <cell r="M43">
            <v>4151</v>
          </cell>
          <cell r="N43">
            <v>36</v>
          </cell>
          <cell r="O43">
            <v>27</v>
          </cell>
          <cell r="P43">
            <v>63</v>
          </cell>
          <cell r="Q43">
            <v>4479</v>
          </cell>
        </row>
        <row r="44">
          <cell r="D44">
            <v>45292</v>
          </cell>
          <cell r="E44">
            <v>2</v>
          </cell>
          <cell r="F44">
            <v>15</v>
          </cell>
          <cell r="G44">
            <v>17</v>
          </cell>
          <cell r="H44">
            <v>219</v>
          </cell>
          <cell r="I44">
            <v>37</v>
          </cell>
          <cell r="J44">
            <v>256</v>
          </cell>
          <cell r="K44">
            <v>3190</v>
          </cell>
          <cell r="L44">
            <v>1073</v>
          </cell>
          <cell r="M44">
            <v>4263</v>
          </cell>
          <cell r="N44">
            <v>41</v>
          </cell>
          <cell r="O44">
            <v>30</v>
          </cell>
          <cell r="P44">
            <v>71</v>
          </cell>
          <cell r="Q44">
            <v>4607</v>
          </cell>
        </row>
        <row r="45">
          <cell r="D45">
            <v>45323</v>
          </cell>
          <cell r="E45">
            <v>0</v>
          </cell>
          <cell r="F45">
            <v>24</v>
          </cell>
          <cell r="G45">
            <v>24</v>
          </cell>
          <cell r="H45">
            <v>225</v>
          </cell>
          <cell r="I45">
            <v>35</v>
          </cell>
          <cell r="J45">
            <v>260</v>
          </cell>
          <cell r="K45">
            <v>3129</v>
          </cell>
          <cell r="L45">
            <v>1102</v>
          </cell>
          <cell r="M45">
            <v>4231</v>
          </cell>
          <cell r="N45">
            <v>58</v>
          </cell>
          <cell r="O45">
            <v>28</v>
          </cell>
          <cell r="P45">
            <v>86</v>
          </cell>
          <cell r="Q45">
            <v>4601</v>
          </cell>
        </row>
        <row r="46">
          <cell r="D46">
            <v>45352</v>
          </cell>
          <cell r="E46">
            <v>0</v>
          </cell>
          <cell r="F46">
            <v>21</v>
          </cell>
          <cell r="G46">
            <v>21</v>
          </cell>
          <cell r="H46">
            <v>202</v>
          </cell>
          <cell r="I46">
            <v>38</v>
          </cell>
          <cell r="J46">
            <v>240</v>
          </cell>
          <cell r="K46">
            <v>3135</v>
          </cell>
          <cell r="L46">
            <v>1042</v>
          </cell>
          <cell r="M46">
            <v>4177</v>
          </cell>
          <cell r="N46">
            <v>41</v>
          </cell>
          <cell r="O46">
            <v>26</v>
          </cell>
          <cell r="P46">
            <v>67</v>
          </cell>
          <cell r="Q46">
            <v>4505</v>
          </cell>
        </row>
        <row r="47">
          <cell r="D47">
            <v>45383</v>
          </cell>
          <cell r="E47">
            <v>0</v>
          </cell>
          <cell r="F47">
            <v>21</v>
          </cell>
          <cell r="G47">
            <v>21</v>
          </cell>
          <cell r="H47">
            <v>189</v>
          </cell>
          <cell r="I47">
            <v>38</v>
          </cell>
          <cell r="J47">
            <v>227</v>
          </cell>
          <cell r="K47">
            <v>3155</v>
          </cell>
          <cell r="L47">
            <v>1026</v>
          </cell>
          <cell r="M47">
            <v>4181</v>
          </cell>
          <cell r="N47">
            <v>26</v>
          </cell>
          <cell r="O47">
            <v>24</v>
          </cell>
          <cell r="P47">
            <v>50</v>
          </cell>
          <cell r="Q47">
            <v>4479</v>
          </cell>
        </row>
        <row r="48">
          <cell r="D48">
            <v>45413</v>
          </cell>
          <cell r="E48">
            <v>0</v>
          </cell>
          <cell r="F48">
            <v>16</v>
          </cell>
          <cell r="G48">
            <v>16</v>
          </cell>
          <cell r="H48">
            <v>226</v>
          </cell>
          <cell r="I48">
            <v>34</v>
          </cell>
          <cell r="J48">
            <v>260</v>
          </cell>
          <cell r="K48">
            <v>3493</v>
          </cell>
          <cell r="L48">
            <v>1040</v>
          </cell>
          <cell r="M48">
            <v>4533</v>
          </cell>
          <cell r="N48">
            <v>24</v>
          </cell>
          <cell r="O48">
            <v>23</v>
          </cell>
          <cell r="P48">
            <v>47</v>
          </cell>
          <cell r="Q48">
            <v>4856</v>
          </cell>
        </row>
        <row r="49">
          <cell r="D49">
            <v>45444</v>
          </cell>
          <cell r="E49">
            <v>0</v>
          </cell>
          <cell r="F49">
            <v>16</v>
          </cell>
          <cell r="G49">
            <v>16</v>
          </cell>
          <cell r="H49">
            <v>278</v>
          </cell>
          <cell r="I49">
            <v>53</v>
          </cell>
          <cell r="J49">
            <v>331</v>
          </cell>
          <cell r="K49">
            <v>3772</v>
          </cell>
          <cell r="L49">
            <v>1219</v>
          </cell>
          <cell r="M49">
            <v>4991</v>
          </cell>
          <cell r="N49">
            <v>19</v>
          </cell>
          <cell r="O49">
            <v>27</v>
          </cell>
          <cell r="P49">
            <v>46</v>
          </cell>
          <cell r="Q49">
            <v>5384</v>
          </cell>
        </row>
        <row r="50">
          <cell r="D50">
            <v>45474</v>
          </cell>
          <cell r="E50">
            <v>0</v>
          </cell>
          <cell r="F50">
            <v>19</v>
          </cell>
          <cell r="G50">
            <v>19</v>
          </cell>
          <cell r="H50">
            <v>351</v>
          </cell>
          <cell r="I50">
            <v>50</v>
          </cell>
          <cell r="J50">
            <v>401</v>
          </cell>
          <cell r="K50">
            <v>3727</v>
          </cell>
          <cell r="L50">
            <v>1409</v>
          </cell>
          <cell r="M50">
            <v>5136</v>
          </cell>
          <cell r="N50">
            <v>22</v>
          </cell>
          <cell r="O50">
            <v>21</v>
          </cell>
          <cell r="P50">
            <v>43</v>
          </cell>
          <cell r="Q50">
            <v>5599</v>
          </cell>
        </row>
        <row r="51">
          <cell r="D51">
            <v>45505</v>
          </cell>
          <cell r="E51">
            <v>0</v>
          </cell>
          <cell r="F51">
            <v>19</v>
          </cell>
          <cell r="G51">
            <v>19</v>
          </cell>
          <cell r="H51">
            <v>376</v>
          </cell>
          <cell r="I51">
            <v>55</v>
          </cell>
          <cell r="J51">
            <v>431</v>
          </cell>
          <cell r="K51">
            <v>3734</v>
          </cell>
          <cell r="L51">
            <v>1476</v>
          </cell>
          <cell r="M51">
            <v>5210</v>
          </cell>
          <cell r="N51">
            <v>21</v>
          </cell>
          <cell r="O51">
            <v>24</v>
          </cell>
          <cell r="P51">
            <v>45</v>
          </cell>
          <cell r="Q51">
            <v>5705</v>
          </cell>
        </row>
        <row r="52">
          <cell r="D52">
            <v>45536</v>
          </cell>
          <cell r="E52">
            <v>0</v>
          </cell>
          <cell r="F52">
            <v>18</v>
          </cell>
          <cell r="G52">
            <v>18</v>
          </cell>
          <cell r="H52">
            <v>365</v>
          </cell>
          <cell r="I52">
            <v>53</v>
          </cell>
          <cell r="J52">
            <v>418</v>
          </cell>
          <cell r="K52">
            <v>3628</v>
          </cell>
          <cell r="L52">
            <v>1417</v>
          </cell>
          <cell r="M52">
            <v>5045</v>
          </cell>
          <cell r="N52">
            <v>19</v>
          </cell>
          <cell r="O52">
            <v>21</v>
          </cell>
          <cell r="P52">
            <v>40</v>
          </cell>
          <cell r="Q52">
            <v>5521</v>
          </cell>
        </row>
        <row r="53">
          <cell r="D53">
            <v>45566</v>
          </cell>
          <cell r="E53">
            <v>0</v>
          </cell>
          <cell r="F53">
            <v>18</v>
          </cell>
          <cell r="G53">
            <v>18</v>
          </cell>
          <cell r="H53">
            <v>297</v>
          </cell>
          <cell r="I53">
            <v>44</v>
          </cell>
          <cell r="J53">
            <v>341</v>
          </cell>
          <cell r="K53">
            <v>3489</v>
          </cell>
          <cell r="L53">
            <v>1167</v>
          </cell>
          <cell r="M53">
            <v>4656</v>
          </cell>
          <cell r="N53">
            <v>18</v>
          </cell>
          <cell r="O53">
            <v>18</v>
          </cell>
          <cell r="P53">
            <v>36</v>
          </cell>
          <cell r="Q53">
            <v>5051</v>
          </cell>
        </row>
        <row r="54">
          <cell r="D54">
            <v>45597</v>
          </cell>
          <cell r="E54">
            <v>0</v>
          </cell>
          <cell r="F54">
            <v>16</v>
          </cell>
          <cell r="G54">
            <v>16</v>
          </cell>
          <cell r="H54">
            <v>229</v>
          </cell>
          <cell r="I54">
            <v>28</v>
          </cell>
          <cell r="J54">
            <v>257</v>
          </cell>
          <cell r="K54">
            <v>3282</v>
          </cell>
          <cell r="L54">
            <v>1105</v>
          </cell>
          <cell r="M54">
            <v>4387</v>
          </cell>
          <cell r="N54">
            <v>18</v>
          </cell>
          <cell r="O54">
            <v>27</v>
          </cell>
          <cell r="P54">
            <v>45</v>
          </cell>
          <cell r="Q54">
            <v>4705</v>
          </cell>
        </row>
        <row r="55">
          <cell r="D55">
            <v>45627</v>
          </cell>
          <cell r="E55">
            <v>0</v>
          </cell>
          <cell r="F55">
            <v>19</v>
          </cell>
          <cell r="G55">
            <v>19</v>
          </cell>
          <cell r="H55">
            <v>210</v>
          </cell>
          <cell r="I55">
            <v>35</v>
          </cell>
          <cell r="J55">
            <v>245</v>
          </cell>
          <cell r="K55">
            <v>3028</v>
          </cell>
          <cell r="L55">
            <v>1022</v>
          </cell>
          <cell r="M55">
            <v>4050</v>
          </cell>
          <cell r="N55">
            <v>35</v>
          </cell>
          <cell r="O55">
            <v>26</v>
          </cell>
          <cell r="P55">
            <v>61</v>
          </cell>
          <cell r="Q55">
            <v>4375</v>
          </cell>
        </row>
        <row r="56">
          <cell r="D56">
            <v>45658</v>
          </cell>
          <cell r="E56">
            <v>2</v>
          </cell>
          <cell r="F56">
            <v>15</v>
          </cell>
          <cell r="G56">
            <v>17</v>
          </cell>
          <cell r="H56">
            <v>217</v>
          </cell>
          <cell r="I56">
            <v>39</v>
          </cell>
          <cell r="J56">
            <v>256</v>
          </cell>
          <cell r="K56">
            <v>3160</v>
          </cell>
          <cell r="L56">
            <v>1052</v>
          </cell>
          <cell r="M56">
            <v>4212</v>
          </cell>
          <cell r="N56">
            <v>41</v>
          </cell>
          <cell r="O56">
            <v>29</v>
          </cell>
          <cell r="P56">
            <v>70</v>
          </cell>
          <cell r="Q56">
            <v>4555</v>
          </cell>
        </row>
        <row r="57">
          <cell r="D57">
            <v>45689</v>
          </cell>
          <cell r="E57">
            <v>0</v>
          </cell>
          <cell r="F57">
            <v>24</v>
          </cell>
          <cell r="G57">
            <v>24</v>
          </cell>
          <cell r="H57">
            <v>227</v>
          </cell>
          <cell r="I57">
            <v>35</v>
          </cell>
          <cell r="J57">
            <v>262</v>
          </cell>
          <cell r="K57">
            <v>3099</v>
          </cell>
          <cell r="L57">
            <v>1076</v>
          </cell>
          <cell r="M57">
            <v>4175</v>
          </cell>
          <cell r="N57">
            <v>52</v>
          </cell>
          <cell r="O57">
            <v>27</v>
          </cell>
          <cell r="P57">
            <v>79</v>
          </cell>
          <cell r="Q57">
            <v>4540</v>
          </cell>
        </row>
        <row r="58">
          <cell r="D58">
            <v>45717</v>
          </cell>
          <cell r="E58">
            <v>0</v>
          </cell>
          <cell r="F58">
            <v>22</v>
          </cell>
          <cell r="G58">
            <v>22</v>
          </cell>
          <cell r="H58">
            <v>201</v>
          </cell>
          <cell r="I58">
            <v>38</v>
          </cell>
          <cell r="J58">
            <v>239</v>
          </cell>
          <cell r="K58">
            <v>3072</v>
          </cell>
          <cell r="L58">
            <v>1039</v>
          </cell>
          <cell r="M58">
            <v>4111</v>
          </cell>
          <cell r="N58">
            <v>42</v>
          </cell>
          <cell r="O58">
            <v>24</v>
          </cell>
          <cell r="P58">
            <v>66</v>
          </cell>
          <cell r="Q58">
            <v>4438</v>
          </cell>
        </row>
        <row r="59">
          <cell r="D59">
            <v>45748</v>
          </cell>
          <cell r="E59">
            <v>0</v>
          </cell>
          <cell r="F59">
            <v>21</v>
          </cell>
          <cell r="G59">
            <v>21</v>
          </cell>
          <cell r="H59">
            <v>190</v>
          </cell>
          <cell r="I59">
            <v>36</v>
          </cell>
          <cell r="J59">
            <v>226</v>
          </cell>
          <cell r="K59">
            <v>3034</v>
          </cell>
          <cell r="L59">
            <v>1002</v>
          </cell>
          <cell r="M59">
            <v>4036</v>
          </cell>
          <cell r="N59">
            <v>26</v>
          </cell>
          <cell r="O59">
            <v>24</v>
          </cell>
          <cell r="P59">
            <v>50</v>
          </cell>
          <cell r="Q59">
            <v>4333</v>
          </cell>
        </row>
        <row r="60">
          <cell r="D60">
            <v>45778</v>
          </cell>
          <cell r="E60">
            <v>0</v>
          </cell>
          <cell r="F60">
            <v>16</v>
          </cell>
          <cell r="G60">
            <v>16</v>
          </cell>
          <cell r="H60">
            <v>227</v>
          </cell>
          <cell r="I60">
            <v>33</v>
          </cell>
          <cell r="J60">
            <v>260</v>
          </cell>
          <cell r="K60">
            <v>3362</v>
          </cell>
          <cell r="L60">
            <v>1008</v>
          </cell>
          <cell r="M60">
            <v>4370</v>
          </cell>
          <cell r="N60">
            <v>21</v>
          </cell>
          <cell r="O60">
            <v>23</v>
          </cell>
          <cell r="P60">
            <v>44</v>
          </cell>
          <cell r="Q60">
            <v>4690</v>
          </cell>
        </row>
        <row r="61">
          <cell r="D61">
            <v>45809</v>
          </cell>
          <cell r="E61">
            <v>0</v>
          </cell>
          <cell r="F61">
            <v>16</v>
          </cell>
          <cell r="G61">
            <v>16</v>
          </cell>
          <cell r="H61">
            <v>280</v>
          </cell>
          <cell r="I61">
            <v>53</v>
          </cell>
          <cell r="J61">
            <v>333</v>
          </cell>
          <cell r="K61">
            <v>3619</v>
          </cell>
          <cell r="L61">
            <v>1198</v>
          </cell>
          <cell r="M61">
            <v>4817</v>
          </cell>
          <cell r="N61">
            <v>19</v>
          </cell>
          <cell r="O61">
            <v>24</v>
          </cell>
          <cell r="P61">
            <v>43</v>
          </cell>
          <cell r="Q61">
            <v>5209</v>
          </cell>
        </row>
        <row r="62">
          <cell r="D62">
            <v>45839</v>
          </cell>
          <cell r="E62">
            <v>0</v>
          </cell>
          <cell r="F62">
            <v>19</v>
          </cell>
          <cell r="G62">
            <v>19</v>
          </cell>
          <cell r="H62">
            <v>351</v>
          </cell>
          <cell r="I62">
            <v>49</v>
          </cell>
          <cell r="J62">
            <v>400</v>
          </cell>
          <cell r="K62">
            <v>3639</v>
          </cell>
          <cell r="L62">
            <v>1390</v>
          </cell>
          <cell r="M62">
            <v>5029</v>
          </cell>
          <cell r="N62">
            <v>19</v>
          </cell>
          <cell r="O62">
            <v>21</v>
          </cell>
          <cell r="P62">
            <v>40</v>
          </cell>
          <cell r="Q62">
            <v>5488</v>
          </cell>
        </row>
        <row r="63">
          <cell r="D63">
            <v>45870</v>
          </cell>
          <cell r="E63">
            <v>0</v>
          </cell>
          <cell r="F63">
            <v>19</v>
          </cell>
          <cell r="G63">
            <v>19</v>
          </cell>
          <cell r="H63">
            <v>376</v>
          </cell>
          <cell r="I63">
            <v>54</v>
          </cell>
          <cell r="J63">
            <v>430</v>
          </cell>
          <cell r="K63">
            <v>3635</v>
          </cell>
          <cell r="L63">
            <v>1452</v>
          </cell>
          <cell r="M63">
            <v>5087</v>
          </cell>
          <cell r="N63">
            <v>21</v>
          </cell>
          <cell r="O63">
            <v>24</v>
          </cell>
          <cell r="P63">
            <v>45</v>
          </cell>
          <cell r="Q63">
            <v>5581</v>
          </cell>
        </row>
        <row r="64">
          <cell r="D64">
            <v>45901</v>
          </cell>
          <cell r="E64">
            <v>0</v>
          </cell>
          <cell r="F64">
            <v>18</v>
          </cell>
          <cell r="G64">
            <v>18</v>
          </cell>
          <cell r="H64">
            <v>363</v>
          </cell>
          <cell r="I64">
            <v>52</v>
          </cell>
          <cell r="J64">
            <v>415</v>
          </cell>
          <cell r="K64">
            <v>3565</v>
          </cell>
          <cell r="L64">
            <v>1384</v>
          </cell>
          <cell r="M64">
            <v>4949</v>
          </cell>
          <cell r="N64">
            <v>19</v>
          </cell>
          <cell r="O64">
            <v>21</v>
          </cell>
          <cell r="P64">
            <v>40</v>
          </cell>
          <cell r="Q64">
            <v>5422</v>
          </cell>
        </row>
        <row r="65">
          <cell r="D65">
            <v>45931</v>
          </cell>
          <cell r="E65">
            <v>0</v>
          </cell>
          <cell r="F65">
            <v>18</v>
          </cell>
          <cell r="G65">
            <v>18</v>
          </cell>
          <cell r="H65">
            <v>295</v>
          </cell>
          <cell r="I65">
            <v>41</v>
          </cell>
          <cell r="J65">
            <v>336</v>
          </cell>
          <cell r="K65">
            <v>3421</v>
          </cell>
          <cell r="L65">
            <v>1153</v>
          </cell>
          <cell r="M65">
            <v>4574</v>
          </cell>
          <cell r="N65">
            <v>16</v>
          </cell>
          <cell r="O65">
            <v>18</v>
          </cell>
          <cell r="P65">
            <v>34</v>
          </cell>
          <cell r="Q65">
            <v>4962</v>
          </cell>
        </row>
        <row r="66">
          <cell r="D66">
            <v>45962</v>
          </cell>
          <cell r="E66">
            <v>0</v>
          </cell>
          <cell r="F66">
            <v>16</v>
          </cell>
          <cell r="G66">
            <v>16</v>
          </cell>
          <cell r="H66">
            <v>228</v>
          </cell>
          <cell r="I66">
            <v>28</v>
          </cell>
          <cell r="J66">
            <v>256</v>
          </cell>
          <cell r="K66">
            <v>3245</v>
          </cell>
          <cell r="L66">
            <v>1075</v>
          </cell>
          <cell r="M66">
            <v>4320</v>
          </cell>
          <cell r="N66">
            <v>18</v>
          </cell>
          <cell r="O66">
            <v>26</v>
          </cell>
          <cell r="P66">
            <v>44</v>
          </cell>
          <cell r="Q66">
            <v>4636</v>
          </cell>
        </row>
        <row r="67">
          <cell r="D67">
            <v>45992</v>
          </cell>
          <cell r="E67">
            <v>0</v>
          </cell>
          <cell r="F67">
            <v>20</v>
          </cell>
          <cell r="G67">
            <v>20</v>
          </cell>
          <cell r="H67">
            <v>209</v>
          </cell>
          <cell r="I67">
            <v>35</v>
          </cell>
          <cell r="J67">
            <v>244</v>
          </cell>
          <cell r="K67">
            <v>2951</v>
          </cell>
          <cell r="L67">
            <v>1039</v>
          </cell>
          <cell r="M67">
            <v>3990</v>
          </cell>
          <cell r="N67">
            <v>36</v>
          </cell>
          <cell r="O67">
            <v>28</v>
          </cell>
          <cell r="P67">
            <v>64</v>
          </cell>
          <cell r="Q67">
            <v>4318</v>
          </cell>
        </row>
        <row r="68">
          <cell r="D68">
            <v>46023</v>
          </cell>
          <cell r="E68">
            <v>2</v>
          </cell>
          <cell r="F68">
            <v>15</v>
          </cell>
          <cell r="G68">
            <v>17</v>
          </cell>
          <cell r="H68">
            <v>218</v>
          </cell>
          <cell r="I68">
            <v>36</v>
          </cell>
          <cell r="J68">
            <v>254</v>
          </cell>
          <cell r="K68">
            <v>3047</v>
          </cell>
          <cell r="L68">
            <v>1052</v>
          </cell>
          <cell r="M68">
            <v>4099</v>
          </cell>
          <cell r="N68">
            <v>40</v>
          </cell>
          <cell r="O68">
            <v>30</v>
          </cell>
          <cell r="P68">
            <v>70</v>
          </cell>
          <cell r="Q68">
            <v>4440</v>
          </cell>
        </row>
        <row r="69">
          <cell r="D69">
            <v>46054</v>
          </cell>
          <cell r="E69">
            <v>0</v>
          </cell>
          <cell r="F69">
            <v>24</v>
          </cell>
          <cell r="G69">
            <v>24</v>
          </cell>
          <cell r="H69">
            <v>227</v>
          </cell>
          <cell r="I69">
            <v>34</v>
          </cell>
          <cell r="J69">
            <v>261</v>
          </cell>
          <cell r="K69">
            <v>3008</v>
          </cell>
          <cell r="L69">
            <v>1062</v>
          </cell>
          <cell r="M69">
            <v>4070</v>
          </cell>
          <cell r="N69">
            <v>53</v>
          </cell>
          <cell r="O69">
            <v>28</v>
          </cell>
          <cell r="P69">
            <v>81</v>
          </cell>
          <cell r="Q69">
            <v>4436</v>
          </cell>
        </row>
        <row r="70">
          <cell r="D70">
            <v>46082</v>
          </cell>
          <cell r="E70">
            <v>0</v>
          </cell>
          <cell r="F70">
            <v>22</v>
          </cell>
          <cell r="G70">
            <v>22</v>
          </cell>
          <cell r="H70">
            <v>201</v>
          </cell>
          <cell r="I70">
            <v>37</v>
          </cell>
          <cell r="J70">
            <v>238</v>
          </cell>
          <cell r="K70">
            <v>2969</v>
          </cell>
          <cell r="L70">
            <v>1022</v>
          </cell>
          <cell r="M70">
            <v>3991</v>
          </cell>
          <cell r="N70">
            <v>42</v>
          </cell>
          <cell r="O70">
            <v>24</v>
          </cell>
          <cell r="P70">
            <v>66</v>
          </cell>
          <cell r="Q70">
            <v>4317</v>
          </cell>
        </row>
        <row r="71">
          <cell r="D71">
            <v>46113</v>
          </cell>
          <cell r="E71">
            <v>0</v>
          </cell>
          <cell r="F71">
            <v>21</v>
          </cell>
          <cell r="G71">
            <v>21</v>
          </cell>
          <cell r="H71">
            <v>190</v>
          </cell>
          <cell r="I71">
            <v>36</v>
          </cell>
          <cell r="J71">
            <v>226</v>
          </cell>
          <cell r="K71">
            <v>3009</v>
          </cell>
          <cell r="L71">
            <v>995</v>
          </cell>
          <cell r="M71">
            <v>4004</v>
          </cell>
          <cell r="N71">
            <v>24</v>
          </cell>
          <cell r="O71">
            <v>24</v>
          </cell>
          <cell r="P71">
            <v>48</v>
          </cell>
          <cell r="Q71">
            <v>4299</v>
          </cell>
        </row>
        <row r="72">
          <cell r="D72">
            <v>46143</v>
          </cell>
          <cell r="E72">
            <v>0</v>
          </cell>
          <cell r="F72">
            <v>16</v>
          </cell>
          <cell r="G72">
            <v>16</v>
          </cell>
          <cell r="H72">
            <v>228</v>
          </cell>
          <cell r="I72">
            <v>33</v>
          </cell>
          <cell r="J72">
            <v>261</v>
          </cell>
          <cell r="K72">
            <v>3340</v>
          </cell>
          <cell r="L72">
            <v>998</v>
          </cell>
          <cell r="M72">
            <v>4338</v>
          </cell>
          <cell r="N72">
            <v>21</v>
          </cell>
          <cell r="O72">
            <v>23</v>
          </cell>
          <cell r="P72">
            <v>44</v>
          </cell>
          <cell r="Q72">
            <v>4659</v>
          </cell>
        </row>
        <row r="73">
          <cell r="D73">
            <v>46174</v>
          </cell>
          <cell r="E73">
            <v>0</v>
          </cell>
          <cell r="F73">
            <v>16</v>
          </cell>
          <cell r="G73">
            <v>16</v>
          </cell>
          <cell r="H73">
            <v>278</v>
          </cell>
          <cell r="I73">
            <v>53</v>
          </cell>
          <cell r="J73">
            <v>331</v>
          </cell>
          <cell r="K73">
            <v>3582</v>
          </cell>
          <cell r="L73">
            <v>1196</v>
          </cell>
          <cell r="M73">
            <v>4778</v>
          </cell>
          <cell r="N73">
            <v>19</v>
          </cell>
          <cell r="O73">
            <v>24</v>
          </cell>
          <cell r="P73">
            <v>43</v>
          </cell>
          <cell r="Q73">
            <v>5168</v>
          </cell>
        </row>
        <row r="74">
          <cell r="D74">
            <v>46204</v>
          </cell>
          <cell r="E74">
            <v>0</v>
          </cell>
          <cell r="F74">
            <v>19</v>
          </cell>
          <cell r="G74">
            <v>19</v>
          </cell>
          <cell r="H74">
            <v>353</v>
          </cell>
          <cell r="I74">
            <v>51</v>
          </cell>
          <cell r="J74">
            <v>404</v>
          </cell>
          <cell r="K74">
            <v>3547</v>
          </cell>
          <cell r="L74">
            <v>1379</v>
          </cell>
          <cell r="M74">
            <v>4926</v>
          </cell>
          <cell r="N74">
            <v>19</v>
          </cell>
          <cell r="O74">
            <v>21</v>
          </cell>
          <cell r="P74">
            <v>40</v>
          </cell>
          <cell r="Q74">
            <v>5389</v>
          </cell>
        </row>
        <row r="75">
          <cell r="D75">
            <v>46235</v>
          </cell>
          <cell r="E75">
            <v>0</v>
          </cell>
          <cell r="F75">
            <v>19</v>
          </cell>
          <cell r="G75">
            <v>19</v>
          </cell>
          <cell r="H75">
            <v>374</v>
          </cell>
          <cell r="I75">
            <v>58</v>
          </cell>
          <cell r="J75">
            <v>432</v>
          </cell>
          <cell r="K75">
            <v>3559</v>
          </cell>
          <cell r="L75">
            <v>1444</v>
          </cell>
          <cell r="M75">
            <v>5003</v>
          </cell>
          <cell r="N75">
            <v>21</v>
          </cell>
          <cell r="O75">
            <v>22</v>
          </cell>
          <cell r="P75">
            <v>43</v>
          </cell>
          <cell r="Q75">
            <v>5497</v>
          </cell>
        </row>
        <row r="76">
          <cell r="D76">
            <v>46266</v>
          </cell>
          <cell r="E76">
            <v>0</v>
          </cell>
          <cell r="F76">
            <v>18</v>
          </cell>
          <cell r="G76">
            <v>18</v>
          </cell>
          <cell r="H76">
            <v>362</v>
          </cell>
          <cell r="I76">
            <v>55</v>
          </cell>
          <cell r="J76">
            <v>417</v>
          </cell>
          <cell r="K76">
            <v>3469</v>
          </cell>
          <cell r="L76">
            <v>1391</v>
          </cell>
          <cell r="M76">
            <v>4860</v>
          </cell>
          <cell r="N76">
            <v>19</v>
          </cell>
          <cell r="O76">
            <v>21</v>
          </cell>
          <cell r="P76">
            <v>40</v>
          </cell>
          <cell r="Q76">
            <v>5335</v>
          </cell>
        </row>
        <row r="77">
          <cell r="D77">
            <v>46296</v>
          </cell>
          <cell r="E77">
            <v>0</v>
          </cell>
          <cell r="F77">
            <v>18</v>
          </cell>
          <cell r="G77">
            <v>18</v>
          </cell>
          <cell r="H77">
            <v>294</v>
          </cell>
          <cell r="I77">
            <v>42</v>
          </cell>
          <cell r="J77">
            <v>336</v>
          </cell>
          <cell r="K77">
            <v>3335</v>
          </cell>
          <cell r="L77">
            <v>1128</v>
          </cell>
          <cell r="M77">
            <v>4463</v>
          </cell>
          <cell r="N77">
            <v>16</v>
          </cell>
          <cell r="O77">
            <v>18</v>
          </cell>
          <cell r="P77">
            <v>34</v>
          </cell>
          <cell r="Q77">
            <v>4851</v>
          </cell>
        </row>
        <row r="78">
          <cell r="D78">
            <v>46327</v>
          </cell>
          <cell r="E78">
            <v>0</v>
          </cell>
          <cell r="F78">
            <v>16</v>
          </cell>
          <cell r="G78">
            <v>16</v>
          </cell>
          <cell r="H78">
            <v>228</v>
          </cell>
          <cell r="I78">
            <v>30</v>
          </cell>
          <cell r="J78">
            <v>258</v>
          </cell>
          <cell r="K78">
            <v>3151</v>
          </cell>
          <cell r="L78">
            <v>1066</v>
          </cell>
          <cell r="M78">
            <v>4217</v>
          </cell>
          <cell r="N78">
            <v>18</v>
          </cell>
          <cell r="O78">
            <v>26</v>
          </cell>
          <cell r="P78">
            <v>44</v>
          </cell>
          <cell r="Q78">
            <v>4535</v>
          </cell>
        </row>
        <row r="79">
          <cell r="D79">
            <v>46357</v>
          </cell>
          <cell r="E79">
            <v>0</v>
          </cell>
          <cell r="F79">
            <v>20</v>
          </cell>
          <cell r="G79">
            <v>20</v>
          </cell>
          <cell r="H79">
            <v>208</v>
          </cell>
          <cell r="I79">
            <v>36</v>
          </cell>
          <cell r="J79">
            <v>244</v>
          </cell>
          <cell r="K79">
            <v>2863</v>
          </cell>
          <cell r="L79">
            <v>1033</v>
          </cell>
          <cell r="M79">
            <v>3896</v>
          </cell>
          <cell r="N79">
            <v>34</v>
          </cell>
          <cell r="O79">
            <v>28</v>
          </cell>
          <cell r="P79">
            <v>62</v>
          </cell>
          <cell r="Q79">
            <v>4222</v>
          </cell>
        </row>
        <row r="80">
          <cell r="D80">
            <v>46388</v>
          </cell>
          <cell r="E80">
            <v>2</v>
          </cell>
          <cell r="F80">
            <v>15</v>
          </cell>
          <cell r="G80">
            <v>17</v>
          </cell>
          <cell r="H80">
            <v>216</v>
          </cell>
          <cell r="I80">
            <v>36</v>
          </cell>
          <cell r="J80">
            <v>252</v>
          </cell>
          <cell r="K80">
            <v>3013</v>
          </cell>
          <cell r="L80">
            <v>1057</v>
          </cell>
          <cell r="M80">
            <v>4070</v>
          </cell>
          <cell r="N80">
            <v>39</v>
          </cell>
          <cell r="O80">
            <v>31</v>
          </cell>
          <cell r="P80">
            <v>70</v>
          </cell>
          <cell r="Q80">
            <v>4409</v>
          </cell>
        </row>
        <row r="81">
          <cell r="D81">
            <v>46419</v>
          </cell>
          <cell r="E81">
            <v>0</v>
          </cell>
          <cell r="F81">
            <v>24</v>
          </cell>
          <cell r="G81">
            <v>24</v>
          </cell>
          <cell r="H81">
            <v>223</v>
          </cell>
          <cell r="I81">
            <v>34</v>
          </cell>
          <cell r="J81">
            <v>257</v>
          </cell>
          <cell r="K81">
            <v>2955</v>
          </cell>
          <cell r="L81">
            <v>1070</v>
          </cell>
          <cell r="M81">
            <v>4025</v>
          </cell>
          <cell r="N81">
            <v>51</v>
          </cell>
          <cell r="O81">
            <v>26</v>
          </cell>
          <cell r="P81">
            <v>77</v>
          </cell>
          <cell r="Q81">
            <v>4383</v>
          </cell>
        </row>
        <row r="82">
          <cell r="D82">
            <v>46447</v>
          </cell>
          <cell r="E82">
            <v>0</v>
          </cell>
          <cell r="F82">
            <v>22</v>
          </cell>
          <cell r="G82">
            <v>22</v>
          </cell>
          <cell r="H82">
            <v>197</v>
          </cell>
          <cell r="I82">
            <v>37</v>
          </cell>
          <cell r="J82">
            <v>234</v>
          </cell>
          <cell r="K82">
            <v>2919</v>
          </cell>
          <cell r="L82">
            <v>1029</v>
          </cell>
          <cell r="M82">
            <v>3948</v>
          </cell>
          <cell r="N82">
            <v>40</v>
          </cell>
          <cell r="O82">
            <v>24</v>
          </cell>
          <cell r="P82">
            <v>64</v>
          </cell>
          <cell r="Q82">
            <v>4268</v>
          </cell>
        </row>
        <row r="83">
          <cell r="D83">
            <v>46478</v>
          </cell>
          <cell r="E83">
            <v>0</v>
          </cell>
          <cell r="F83">
            <v>22</v>
          </cell>
          <cell r="G83">
            <v>22</v>
          </cell>
          <cell r="H83">
            <v>186</v>
          </cell>
          <cell r="I83">
            <v>34</v>
          </cell>
          <cell r="J83">
            <v>220</v>
          </cell>
          <cell r="K83">
            <v>2832</v>
          </cell>
          <cell r="L83">
            <v>1007</v>
          </cell>
          <cell r="M83">
            <v>3839</v>
          </cell>
          <cell r="N83">
            <v>25</v>
          </cell>
          <cell r="O83">
            <v>24</v>
          </cell>
          <cell r="P83">
            <v>49</v>
          </cell>
          <cell r="Q83">
            <v>4130</v>
          </cell>
        </row>
        <row r="84">
          <cell r="D84">
            <v>46508</v>
          </cell>
          <cell r="E84">
            <v>0</v>
          </cell>
          <cell r="F84">
            <v>17</v>
          </cell>
          <cell r="G84">
            <v>17</v>
          </cell>
          <cell r="H84">
            <v>222</v>
          </cell>
          <cell r="I84">
            <v>35</v>
          </cell>
          <cell r="J84">
            <v>257</v>
          </cell>
          <cell r="K84">
            <v>3143</v>
          </cell>
          <cell r="L84">
            <v>1015</v>
          </cell>
          <cell r="M84">
            <v>4158</v>
          </cell>
          <cell r="N84">
            <v>22</v>
          </cell>
          <cell r="O84">
            <v>24</v>
          </cell>
          <cell r="P84">
            <v>46</v>
          </cell>
          <cell r="Q84">
            <v>4478</v>
          </cell>
        </row>
        <row r="85">
          <cell r="D85">
            <v>46539</v>
          </cell>
          <cell r="E85">
            <v>0</v>
          </cell>
          <cell r="F85">
            <v>16</v>
          </cell>
          <cell r="G85">
            <v>16</v>
          </cell>
          <cell r="H85">
            <v>275</v>
          </cell>
          <cell r="I85">
            <v>53</v>
          </cell>
          <cell r="J85">
            <v>328</v>
          </cell>
          <cell r="K85">
            <v>3424</v>
          </cell>
          <cell r="L85">
            <v>1169</v>
          </cell>
          <cell r="M85">
            <v>4593</v>
          </cell>
          <cell r="N85">
            <v>19</v>
          </cell>
          <cell r="O85">
            <v>24</v>
          </cell>
          <cell r="P85">
            <v>43</v>
          </cell>
          <cell r="Q85">
            <v>4980</v>
          </cell>
        </row>
        <row r="86">
          <cell r="D86">
            <v>46569</v>
          </cell>
          <cell r="E86">
            <v>0</v>
          </cell>
          <cell r="F86">
            <v>19</v>
          </cell>
          <cell r="G86">
            <v>19</v>
          </cell>
          <cell r="H86">
            <v>345</v>
          </cell>
          <cell r="I86">
            <v>51</v>
          </cell>
          <cell r="J86">
            <v>396</v>
          </cell>
          <cell r="K86">
            <v>3432</v>
          </cell>
          <cell r="L86">
            <v>1370</v>
          </cell>
          <cell r="M86">
            <v>4802</v>
          </cell>
          <cell r="N86">
            <v>19</v>
          </cell>
          <cell r="O86">
            <v>21</v>
          </cell>
          <cell r="P86">
            <v>40</v>
          </cell>
          <cell r="Q86">
            <v>5257</v>
          </cell>
        </row>
        <row r="87">
          <cell r="D87">
            <v>46600</v>
          </cell>
          <cell r="E87">
            <v>0</v>
          </cell>
          <cell r="F87">
            <v>19</v>
          </cell>
          <cell r="G87">
            <v>19</v>
          </cell>
          <cell r="H87">
            <v>366</v>
          </cell>
          <cell r="I87">
            <v>58</v>
          </cell>
          <cell r="J87">
            <v>424</v>
          </cell>
          <cell r="K87">
            <v>3455</v>
          </cell>
          <cell r="L87">
            <v>1426</v>
          </cell>
          <cell r="M87">
            <v>4881</v>
          </cell>
          <cell r="N87">
            <v>21</v>
          </cell>
          <cell r="O87">
            <v>22</v>
          </cell>
          <cell r="P87">
            <v>43</v>
          </cell>
          <cell r="Q87">
            <v>5367</v>
          </cell>
        </row>
        <row r="88">
          <cell r="D88">
            <v>46631</v>
          </cell>
          <cell r="E88">
            <v>0</v>
          </cell>
          <cell r="F88">
            <v>18</v>
          </cell>
          <cell r="G88">
            <v>18</v>
          </cell>
          <cell r="H88">
            <v>353</v>
          </cell>
          <cell r="I88">
            <v>57</v>
          </cell>
          <cell r="J88">
            <v>410</v>
          </cell>
          <cell r="K88">
            <v>3358</v>
          </cell>
          <cell r="L88">
            <v>1381</v>
          </cell>
          <cell r="M88">
            <v>4739</v>
          </cell>
          <cell r="N88">
            <v>19</v>
          </cell>
          <cell r="O88">
            <v>19</v>
          </cell>
          <cell r="P88">
            <v>38</v>
          </cell>
          <cell r="Q88">
            <v>5205</v>
          </cell>
        </row>
        <row r="89">
          <cell r="D89">
            <v>46661</v>
          </cell>
          <cell r="E89">
            <v>0</v>
          </cell>
          <cell r="F89">
            <v>18</v>
          </cell>
          <cell r="G89">
            <v>18</v>
          </cell>
          <cell r="H89">
            <v>292</v>
          </cell>
          <cell r="I89">
            <v>44</v>
          </cell>
          <cell r="J89">
            <v>336</v>
          </cell>
          <cell r="K89">
            <v>3279</v>
          </cell>
          <cell r="L89">
            <v>1126</v>
          </cell>
          <cell r="M89">
            <v>4405</v>
          </cell>
          <cell r="N89">
            <v>16</v>
          </cell>
          <cell r="O89">
            <v>18</v>
          </cell>
          <cell r="P89">
            <v>34</v>
          </cell>
          <cell r="Q89">
            <v>4793</v>
          </cell>
        </row>
        <row r="90">
          <cell r="D90">
            <v>46692</v>
          </cell>
          <cell r="E90">
            <v>0</v>
          </cell>
          <cell r="F90">
            <v>16</v>
          </cell>
          <cell r="G90">
            <v>16</v>
          </cell>
          <cell r="H90">
            <v>225</v>
          </cell>
          <cell r="I90">
            <v>28</v>
          </cell>
          <cell r="J90">
            <v>253</v>
          </cell>
          <cell r="K90">
            <v>3125</v>
          </cell>
          <cell r="L90">
            <v>1068</v>
          </cell>
          <cell r="M90">
            <v>4193</v>
          </cell>
          <cell r="N90">
            <v>18</v>
          </cell>
          <cell r="O90">
            <v>24</v>
          </cell>
          <cell r="P90">
            <v>42</v>
          </cell>
          <cell r="Q90">
            <v>4504</v>
          </cell>
        </row>
        <row r="91">
          <cell r="D91">
            <v>46722</v>
          </cell>
          <cell r="E91">
            <v>0</v>
          </cell>
          <cell r="F91">
            <v>20</v>
          </cell>
          <cell r="G91">
            <v>20</v>
          </cell>
          <cell r="H91">
            <v>206</v>
          </cell>
          <cell r="I91">
            <v>37</v>
          </cell>
          <cell r="J91">
            <v>243</v>
          </cell>
          <cell r="K91">
            <v>2837</v>
          </cell>
          <cell r="L91">
            <v>1038</v>
          </cell>
          <cell r="M91">
            <v>3875</v>
          </cell>
          <cell r="N91">
            <v>34</v>
          </cell>
          <cell r="O91">
            <v>26</v>
          </cell>
          <cell r="P91">
            <v>60</v>
          </cell>
          <cell r="Q91">
            <v>4198</v>
          </cell>
        </row>
      </sheetData>
      <sheetData sheetId="3">
        <row r="46">
          <cell r="E46">
            <v>44197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</row>
        <row r="47">
          <cell r="E47">
            <v>44228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</row>
        <row r="48">
          <cell r="E48">
            <v>44256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</row>
        <row r="49">
          <cell r="E49">
            <v>44287</v>
          </cell>
          <cell r="F49">
            <v>22</v>
          </cell>
          <cell r="G49">
            <v>14</v>
          </cell>
          <cell r="H49">
            <v>36</v>
          </cell>
          <cell r="I49">
            <v>229</v>
          </cell>
          <cell r="J49">
            <v>833</v>
          </cell>
          <cell r="K49">
            <v>1062</v>
          </cell>
        </row>
        <row r="50">
          <cell r="E50">
            <v>44317</v>
          </cell>
          <cell r="F50">
            <v>20</v>
          </cell>
          <cell r="G50">
            <v>16</v>
          </cell>
          <cell r="H50">
            <v>36</v>
          </cell>
          <cell r="I50">
            <v>224</v>
          </cell>
          <cell r="J50">
            <v>842</v>
          </cell>
          <cell r="K50">
            <v>1066</v>
          </cell>
        </row>
        <row r="51">
          <cell r="E51">
            <v>44348</v>
          </cell>
          <cell r="F51">
            <v>27</v>
          </cell>
          <cell r="G51">
            <v>26</v>
          </cell>
          <cell r="H51">
            <v>53</v>
          </cell>
          <cell r="I51">
            <v>228</v>
          </cell>
          <cell r="J51">
            <v>1003</v>
          </cell>
          <cell r="K51">
            <v>1231</v>
          </cell>
        </row>
        <row r="52">
          <cell r="E52">
            <v>44378</v>
          </cell>
          <cell r="F52">
            <v>19</v>
          </cell>
          <cell r="G52">
            <v>31</v>
          </cell>
          <cell r="H52">
            <v>50</v>
          </cell>
          <cell r="I52">
            <v>251</v>
          </cell>
          <cell r="J52">
            <v>1190</v>
          </cell>
          <cell r="K52">
            <v>1441</v>
          </cell>
        </row>
        <row r="53">
          <cell r="E53">
            <v>44409</v>
          </cell>
          <cell r="F53">
            <v>23</v>
          </cell>
          <cell r="G53">
            <v>34</v>
          </cell>
          <cell r="H53">
            <v>57</v>
          </cell>
          <cell r="I53">
            <v>253</v>
          </cell>
          <cell r="J53">
            <v>1240</v>
          </cell>
          <cell r="K53">
            <v>1493</v>
          </cell>
        </row>
        <row r="54">
          <cell r="E54">
            <v>44440</v>
          </cell>
          <cell r="F54">
            <v>25</v>
          </cell>
          <cell r="G54">
            <v>29</v>
          </cell>
          <cell r="H54">
            <v>54</v>
          </cell>
          <cell r="I54">
            <v>239</v>
          </cell>
          <cell r="J54">
            <v>1210</v>
          </cell>
          <cell r="K54">
            <v>1449</v>
          </cell>
        </row>
        <row r="55">
          <cell r="E55">
            <v>44470</v>
          </cell>
          <cell r="F55">
            <v>19</v>
          </cell>
          <cell r="G55">
            <v>25</v>
          </cell>
          <cell r="H55">
            <v>44</v>
          </cell>
          <cell r="I55">
            <v>198</v>
          </cell>
          <cell r="J55">
            <v>999</v>
          </cell>
          <cell r="K55">
            <v>1197</v>
          </cell>
        </row>
        <row r="56">
          <cell r="E56">
            <v>44501</v>
          </cell>
          <cell r="F56">
            <v>13</v>
          </cell>
          <cell r="G56">
            <v>16</v>
          </cell>
          <cell r="H56">
            <v>29</v>
          </cell>
          <cell r="I56">
            <v>186</v>
          </cell>
          <cell r="J56">
            <v>942</v>
          </cell>
          <cell r="K56">
            <v>1128</v>
          </cell>
        </row>
        <row r="57">
          <cell r="E57">
            <v>44531</v>
          </cell>
          <cell r="F57">
            <v>21</v>
          </cell>
          <cell r="G57">
            <v>16</v>
          </cell>
          <cell r="H57">
            <v>37</v>
          </cell>
          <cell r="I57">
            <v>217</v>
          </cell>
          <cell r="J57">
            <v>868</v>
          </cell>
          <cell r="K57">
            <v>1085</v>
          </cell>
        </row>
        <row r="58">
          <cell r="E58">
            <v>44562</v>
          </cell>
          <cell r="F58">
            <v>20</v>
          </cell>
          <cell r="G58">
            <v>17</v>
          </cell>
          <cell r="H58">
            <v>37</v>
          </cell>
          <cell r="I58">
            <v>193</v>
          </cell>
          <cell r="J58">
            <v>886</v>
          </cell>
          <cell r="K58">
            <v>1079</v>
          </cell>
        </row>
        <row r="59">
          <cell r="E59">
            <v>44593</v>
          </cell>
          <cell r="F59">
            <v>17</v>
          </cell>
          <cell r="G59">
            <v>18</v>
          </cell>
          <cell r="H59">
            <v>35</v>
          </cell>
          <cell r="I59">
            <v>198</v>
          </cell>
          <cell r="J59">
            <v>913</v>
          </cell>
          <cell r="K59">
            <v>1111</v>
          </cell>
        </row>
        <row r="60">
          <cell r="E60">
            <v>44621</v>
          </cell>
          <cell r="F60">
            <v>21</v>
          </cell>
          <cell r="G60">
            <v>17</v>
          </cell>
          <cell r="H60">
            <v>38</v>
          </cell>
          <cell r="I60">
            <v>210</v>
          </cell>
          <cell r="J60">
            <v>836</v>
          </cell>
          <cell r="K60">
            <v>1046</v>
          </cell>
        </row>
        <row r="61">
          <cell r="E61">
            <v>44652</v>
          </cell>
          <cell r="F61">
            <v>21</v>
          </cell>
          <cell r="G61">
            <v>14</v>
          </cell>
          <cell r="H61">
            <v>35</v>
          </cell>
          <cell r="I61">
            <v>226</v>
          </cell>
          <cell r="J61">
            <v>818</v>
          </cell>
          <cell r="K61">
            <v>1044</v>
          </cell>
        </row>
        <row r="62">
          <cell r="E62">
            <v>44682</v>
          </cell>
          <cell r="F62">
            <v>20</v>
          </cell>
          <cell r="G62">
            <v>15</v>
          </cell>
          <cell r="H62">
            <v>35</v>
          </cell>
          <cell r="I62">
            <v>217</v>
          </cell>
          <cell r="J62">
            <v>817</v>
          </cell>
          <cell r="K62">
            <v>1034</v>
          </cell>
        </row>
        <row r="63">
          <cell r="E63">
            <v>44713</v>
          </cell>
          <cell r="F63">
            <v>27</v>
          </cell>
          <cell r="G63">
            <v>26</v>
          </cell>
          <cell r="H63">
            <v>53</v>
          </cell>
          <cell r="I63">
            <v>228</v>
          </cell>
          <cell r="J63">
            <v>1001</v>
          </cell>
          <cell r="K63">
            <v>1229</v>
          </cell>
        </row>
        <row r="64">
          <cell r="E64">
            <v>44743</v>
          </cell>
          <cell r="F64">
            <v>18</v>
          </cell>
          <cell r="G64">
            <v>30</v>
          </cell>
          <cell r="H64">
            <v>48</v>
          </cell>
          <cell r="I64">
            <v>249</v>
          </cell>
          <cell r="J64">
            <v>1179</v>
          </cell>
          <cell r="K64">
            <v>1428</v>
          </cell>
        </row>
        <row r="65">
          <cell r="E65">
            <v>44774</v>
          </cell>
          <cell r="F65">
            <v>23</v>
          </cell>
          <cell r="G65">
            <v>34</v>
          </cell>
          <cell r="H65">
            <v>57</v>
          </cell>
          <cell r="I65">
            <v>252</v>
          </cell>
          <cell r="J65">
            <v>1238</v>
          </cell>
          <cell r="K65">
            <v>1490</v>
          </cell>
        </row>
        <row r="66">
          <cell r="E66">
            <v>44805</v>
          </cell>
          <cell r="F66">
            <v>24</v>
          </cell>
          <cell r="G66">
            <v>29</v>
          </cell>
          <cell r="H66">
            <v>53</v>
          </cell>
          <cell r="I66">
            <v>237</v>
          </cell>
          <cell r="J66">
            <v>1201</v>
          </cell>
          <cell r="K66">
            <v>1438</v>
          </cell>
        </row>
        <row r="67">
          <cell r="E67">
            <v>44835</v>
          </cell>
          <cell r="F67">
            <v>19</v>
          </cell>
          <cell r="G67">
            <v>25</v>
          </cell>
          <cell r="H67">
            <v>44</v>
          </cell>
          <cell r="I67">
            <v>195</v>
          </cell>
          <cell r="J67">
            <v>980</v>
          </cell>
          <cell r="K67">
            <v>1175</v>
          </cell>
        </row>
        <row r="68">
          <cell r="E68">
            <v>44866</v>
          </cell>
          <cell r="F68">
            <v>14</v>
          </cell>
          <cell r="G68">
            <v>17</v>
          </cell>
          <cell r="H68">
            <v>31</v>
          </cell>
          <cell r="I68">
            <v>184</v>
          </cell>
          <cell r="J68">
            <v>927</v>
          </cell>
          <cell r="K68">
            <v>1111</v>
          </cell>
        </row>
        <row r="69">
          <cell r="E69">
            <v>44896</v>
          </cell>
          <cell r="F69">
            <v>21</v>
          </cell>
          <cell r="G69">
            <v>16</v>
          </cell>
          <cell r="H69">
            <v>37</v>
          </cell>
          <cell r="I69">
            <v>214</v>
          </cell>
          <cell r="J69">
            <v>857</v>
          </cell>
          <cell r="K69">
            <v>1071</v>
          </cell>
        </row>
        <row r="70">
          <cell r="E70">
            <v>44927</v>
          </cell>
          <cell r="F70">
            <v>19</v>
          </cell>
          <cell r="G70">
            <v>16</v>
          </cell>
          <cell r="H70">
            <v>35</v>
          </cell>
          <cell r="I70">
            <v>191</v>
          </cell>
          <cell r="J70">
            <v>874</v>
          </cell>
          <cell r="K70">
            <v>1065</v>
          </cell>
        </row>
        <row r="71">
          <cell r="E71">
            <v>44958</v>
          </cell>
          <cell r="F71">
            <v>17</v>
          </cell>
          <cell r="G71">
            <v>18</v>
          </cell>
          <cell r="H71">
            <v>35</v>
          </cell>
          <cell r="I71">
            <v>197</v>
          </cell>
          <cell r="J71">
            <v>909</v>
          </cell>
          <cell r="K71">
            <v>1106</v>
          </cell>
        </row>
        <row r="72">
          <cell r="E72">
            <v>44986</v>
          </cell>
          <cell r="F72">
            <v>21</v>
          </cell>
          <cell r="G72">
            <v>17</v>
          </cell>
          <cell r="H72">
            <v>38</v>
          </cell>
          <cell r="I72">
            <v>208</v>
          </cell>
          <cell r="J72">
            <v>826</v>
          </cell>
          <cell r="K72">
            <v>1034</v>
          </cell>
        </row>
        <row r="73">
          <cell r="E73">
            <v>45017</v>
          </cell>
          <cell r="F73">
            <v>20</v>
          </cell>
          <cell r="G73">
            <v>13</v>
          </cell>
          <cell r="H73">
            <v>33</v>
          </cell>
          <cell r="I73">
            <v>227</v>
          </cell>
          <cell r="J73">
            <v>825</v>
          </cell>
          <cell r="K73">
            <v>1052</v>
          </cell>
        </row>
        <row r="74">
          <cell r="E74">
            <v>45047</v>
          </cell>
          <cell r="F74">
            <v>20</v>
          </cell>
          <cell r="G74">
            <v>16</v>
          </cell>
          <cell r="H74">
            <v>36</v>
          </cell>
          <cell r="I74">
            <v>223</v>
          </cell>
          <cell r="J74">
            <v>837</v>
          </cell>
          <cell r="K74">
            <v>1060</v>
          </cell>
        </row>
        <row r="75">
          <cell r="E75">
            <v>45078</v>
          </cell>
          <cell r="F75">
            <v>27</v>
          </cell>
          <cell r="G75">
            <v>26</v>
          </cell>
          <cell r="H75">
            <v>53</v>
          </cell>
          <cell r="I75">
            <v>225</v>
          </cell>
          <cell r="J75">
            <v>992</v>
          </cell>
          <cell r="K75">
            <v>1217</v>
          </cell>
        </row>
        <row r="76">
          <cell r="E76">
            <v>45108</v>
          </cell>
          <cell r="F76">
            <v>18</v>
          </cell>
          <cell r="G76">
            <v>30</v>
          </cell>
          <cell r="H76">
            <v>48</v>
          </cell>
          <cell r="I76">
            <v>247</v>
          </cell>
          <cell r="J76">
            <v>1174</v>
          </cell>
          <cell r="K76">
            <v>1421</v>
          </cell>
        </row>
        <row r="77">
          <cell r="E77">
            <v>45139</v>
          </cell>
          <cell r="F77">
            <v>23</v>
          </cell>
          <cell r="G77">
            <v>34</v>
          </cell>
          <cell r="H77">
            <v>57</v>
          </cell>
          <cell r="I77">
            <v>250</v>
          </cell>
          <cell r="J77">
            <v>1228</v>
          </cell>
          <cell r="K77">
            <v>1478</v>
          </cell>
        </row>
        <row r="78">
          <cell r="E78">
            <v>45170</v>
          </cell>
          <cell r="F78">
            <v>24</v>
          </cell>
          <cell r="G78">
            <v>29</v>
          </cell>
          <cell r="H78">
            <v>53</v>
          </cell>
          <cell r="I78">
            <v>234</v>
          </cell>
          <cell r="J78">
            <v>1189</v>
          </cell>
          <cell r="K78">
            <v>1423</v>
          </cell>
        </row>
        <row r="79">
          <cell r="E79">
            <v>45200</v>
          </cell>
          <cell r="F79">
            <v>19</v>
          </cell>
          <cell r="G79">
            <v>25</v>
          </cell>
          <cell r="H79">
            <v>44</v>
          </cell>
          <cell r="I79">
            <v>194</v>
          </cell>
          <cell r="J79">
            <v>977</v>
          </cell>
          <cell r="K79">
            <v>1171</v>
          </cell>
        </row>
        <row r="80">
          <cell r="E80">
            <v>45231</v>
          </cell>
          <cell r="F80">
            <v>13</v>
          </cell>
          <cell r="G80">
            <v>16</v>
          </cell>
          <cell r="H80">
            <v>29</v>
          </cell>
          <cell r="I80">
            <v>182</v>
          </cell>
          <cell r="J80">
            <v>920</v>
          </cell>
          <cell r="K80">
            <v>1102</v>
          </cell>
        </row>
        <row r="81">
          <cell r="E81">
            <v>45261</v>
          </cell>
          <cell r="F81">
            <v>21</v>
          </cell>
          <cell r="G81">
            <v>16</v>
          </cell>
          <cell r="H81">
            <v>37</v>
          </cell>
          <cell r="I81">
            <v>215</v>
          </cell>
          <cell r="J81">
            <v>859</v>
          </cell>
          <cell r="K81">
            <v>1074</v>
          </cell>
        </row>
        <row r="82">
          <cell r="E82">
            <v>45292</v>
          </cell>
          <cell r="F82">
            <v>20</v>
          </cell>
          <cell r="G82">
            <v>17</v>
          </cell>
          <cell r="H82">
            <v>37</v>
          </cell>
          <cell r="I82">
            <v>192</v>
          </cell>
          <cell r="J82">
            <v>881</v>
          </cell>
          <cell r="K82">
            <v>1073</v>
          </cell>
        </row>
        <row r="83">
          <cell r="E83">
            <v>45323</v>
          </cell>
          <cell r="F83">
            <v>17</v>
          </cell>
          <cell r="G83">
            <v>18</v>
          </cell>
          <cell r="H83">
            <v>35</v>
          </cell>
          <cell r="I83">
            <v>196</v>
          </cell>
          <cell r="J83">
            <v>906</v>
          </cell>
          <cell r="K83">
            <v>1102</v>
          </cell>
        </row>
        <row r="84">
          <cell r="E84">
            <v>45352</v>
          </cell>
          <cell r="F84">
            <v>21</v>
          </cell>
          <cell r="G84">
            <v>17</v>
          </cell>
          <cell r="H84">
            <v>38</v>
          </cell>
          <cell r="I84">
            <v>209</v>
          </cell>
          <cell r="J84">
            <v>833</v>
          </cell>
          <cell r="K84">
            <v>1042</v>
          </cell>
        </row>
        <row r="85">
          <cell r="E85">
            <v>45383</v>
          </cell>
          <cell r="F85">
            <v>23</v>
          </cell>
          <cell r="G85">
            <v>15</v>
          </cell>
          <cell r="H85">
            <v>38</v>
          </cell>
          <cell r="I85">
            <v>222</v>
          </cell>
          <cell r="J85">
            <v>804</v>
          </cell>
          <cell r="K85">
            <v>1026</v>
          </cell>
        </row>
        <row r="86">
          <cell r="E86">
            <v>45413</v>
          </cell>
          <cell r="F86">
            <v>19</v>
          </cell>
          <cell r="G86">
            <v>15</v>
          </cell>
          <cell r="H86">
            <v>34</v>
          </cell>
          <cell r="I86">
            <v>219</v>
          </cell>
          <cell r="J86">
            <v>821</v>
          </cell>
          <cell r="K86">
            <v>1040</v>
          </cell>
        </row>
        <row r="87">
          <cell r="E87">
            <v>45444</v>
          </cell>
          <cell r="F87">
            <v>27</v>
          </cell>
          <cell r="G87">
            <v>26</v>
          </cell>
          <cell r="H87">
            <v>53</v>
          </cell>
          <cell r="I87">
            <v>226</v>
          </cell>
          <cell r="J87">
            <v>993</v>
          </cell>
          <cell r="K87">
            <v>1219</v>
          </cell>
        </row>
        <row r="88">
          <cell r="E88">
            <v>45474</v>
          </cell>
          <cell r="F88">
            <v>19</v>
          </cell>
          <cell r="G88">
            <v>31</v>
          </cell>
          <cell r="H88">
            <v>50</v>
          </cell>
          <cell r="I88">
            <v>245</v>
          </cell>
          <cell r="J88">
            <v>1164</v>
          </cell>
          <cell r="K88">
            <v>1409</v>
          </cell>
        </row>
        <row r="89">
          <cell r="E89">
            <v>45505</v>
          </cell>
          <cell r="F89">
            <v>22</v>
          </cell>
          <cell r="G89">
            <v>33</v>
          </cell>
          <cell r="H89">
            <v>55</v>
          </cell>
          <cell r="I89">
            <v>250</v>
          </cell>
          <cell r="J89">
            <v>1226</v>
          </cell>
          <cell r="K89">
            <v>1476</v>
          </cell>
        </row>
        <row r="90">
          <cell r="E90">
            <v>45536</v>
          </cell>
          <cell r="F90">
            <v>24</v>
          </cell>
          <cell r="G90">
            <v>29</v>
          </cell>
          <cell r="H90">
            <v>53</v>
          </cell>
          <cell r="I90">
            <v>233</v>
          </cell>
          <cell r="J90">
            <v>1184</v>
          </cell>
          <cell r="K90">
            <v>1417</v>
          </cell>
        </row>
        <row r="91">
          <cell r="E91">
            <v>45566</v>
          </cell>
          <cell r="F91">
            <v>19</v>
          </cell>
          <cell r="G91">
            <v>25</v>
          </cell>
          <cell r="H91">
            <v>44</v>
          </cell>
          <cell r="I91">
            <v>193</v>
          </cell>
          <cell r="J91">
            <v>974</v>
          </cell>
          <cell r="K91">
            <v>1167</v>
          </cell>
        </row>
        <row r="92">
          <cell r="E92">
            <v>45597</v>
          </cell>
          <cell r="F92">
            <v>13</v>
          </cell>
          <cell r="G92">
            <v>15</v>
          </cell>
          <cell r="H92">
            <v>28</v>
          </cell>
          <cell r="I92">
            <v>183</v>
          </cell>
          <cell r="J92">
            <v>922</v>
          </cell>
          <cell r="K92">
            <v>1105</v>
          </cell>
        </row>
        <row r="93">
          <cell r="E93">
            <v>45627</v>
          </cell>
          <cell r="F93">
            <v>20</v>
          </cell>
          <cell r="G93">
            <v>15</v>
          </cell>
          <cell r="H93">
            <v>35</v>
          </cell>
          <cell r="I93">
            <v>205</v>
          </cell>
          <cell r="J93">
            <v>817</v>
          </cell>
          <cell r="K93">
            <v>1022</v>
          </cell>
        </row>
        <row r="94">
          <cell r="E94">
            <v>45658</v>
          </cell>
          <cell r="F94">
            <v>21</v>
          </cell>
          <cell r="G94">
            <v>18</v>
          </cell>
          <cell r="H94">
            <v>39</v>
          </cell>
          <cell r="I94">
            <v>189</v>
          </cell>
          <cell r="J94">
            <v>863</v>
          </cell>
          <cell r="K94">
            <v>1052</v>
          </cell>
        </row>
        <row r="95">
          <cell r="E95">
            <v>45689</v>
          </cell>
          <cell r="F95">
            <v>17</v>
          </cell>
          <cell r="G95">
            <v>18</v>
          </cell>
          <cell r="H95">
            <v>35</v>
          </cell>
          <cell r="I95">
            <v>192</v>
          </cell>
          <cell r="J95">
            <v>884</v>
          </cell>
          <cell r="K95">
            <v>1076</v>
          </cell>
        </row>
        <row r="96">
          <cell r="E96">
            <v>45717</v>
          </cell>
          <cell r="F96">
            <v>21</v>
          </cell>
          <cell r="G96">
            <v>17</v>
          </cell>
          <cell r="H96">
            <v>38</v>
          </cell>
          <cell r="I96">
            <v>209</v>
          </cell>
          <cell r="J96">
            <v>830</v>
          </cell>
          <cell r="K96">
            <v>1039</v>
          </cell>
        </row>
        <row r="97">
          <cell r="E97">
            <v>45748</v>
          </cell>
          <cell r="F97">
            <v>22</v>
          </cell>
          <cell r="G97">
            <v>14</v>
          </cell>
          <cell r="H97">
            <v>36</v>
          </cell>
          <cell r="I97">
            <v>216</v>
          </cell>
          <cell r="J97">
            <v>786</v>
          </cell>
          <cell r="K97">
            <v>1002</v>
          </cell>
        </row>
        <row r="98">
          <cell r="E98">
            <v>45778</v>
          </cell>
          <cell r="F98">
            <v>19</v>
          </cell>
          <cell r="G98">
            <v>14</v>
          </cell>
          <cell r="H98">
            <v>33</v>
          </cell>
          <cell r="I98">
            <v>212</v>
          </cell>
          <cell r="J98">
            <v>796</v>
          </cell>
          <cell r="K98">
            <v>1008</v>
          </cell>
        </row>
        <row r="99">
          <cell r="E99">
            <v>45809</v>
          </cell>
          <cell r="F99">
            <v>27</v>
          </cell>
          <cell r="G99">
            <v>26</v>
          </cell>
          <cell r="H99">
            <v>53</v>
          </cell>
          <cell r="I99">
            <v>222</v>
          </cell>
          <cell r="J99">
            <v>976</v>
          </cell>
          <cell r="K99">
            <v>1198</v>
          </cell>
        </row>
        <row r="100">
          <cell r="E100">
            <v>45839</v>
          </cell>
          <cell r="F100">
            <v>19</v>
          </cell>
          <cell r="G100">
            <v>30</v>
          </cell>
          <cell r="H100">
            <v>49</v>
          </cell>
          <cell r="I100">
            <v>242</v>
          </cell>
          <cell r="J100">
            <v>1148</v>
          </cell>
          <cell r="K100">
            <v>1390</v>
          </cell>
        </row>
        <row r="101">
          <cell r="E101">
            <v>45870</v>
          </cell>
          <cell r="F101">
            <v>22</v>
          </cell>
          <cell r="G101">
            <v>32</v>
          </cell>
          <cell r="H101">
            <v>54</v>
          </cell>
          <cell r="I101">
            <v>246</v>
          </cell>
          <cell r="J101">
            <v>1206</v>
          </cell>
          <cell r="K101">
            <v>1452</v>
          </cell>
        </row>
        <row r="102">
          <cell r="E102">
            <v>45901</v>
          </cell>
          <cell r="F102">
            <v>24</v>
          </cell>
          <cell r="G102">
            <v>28</v>
          </cell>
          <cell r="H102">
            <v>52</v>
          </cell>
          <cell r="I102">
            <v>228</v>
          </cell>
          <cell r="J102">
            <v>1156</v>
          </cell>
          <cell r="K102">
            <v>1384</v>
          </cell>
        </row>
        <row r="103">
          <cell r="E103">
            <v>45931</v>
          </cell>
          <cell r="F103">
            <v>18</v>
          </cell>
          <cell r="G103">
            <v>23</v>
          </cell>
          <cell r="H103">
            <v>41</v>
          </cell>
          <cell r="I103">
            <v>191</v>
          </cell>
          <cell r="J103">
            <v>962</v>
          </cell>
          <cell r="K103">
            <v>1153</v>
          </cell>
        </row>
        <row r="104">
          <cell r="E104">
            <v>45962</v>
          </cell>
          <cell r="F104">
            <v>13</v>
          </cell>
          <cell r="G104">
            <v>15</v>
          </cell>
          <cell r="H104">
            <v>28</v>
          </cell>
          <cell r="I104">
            <v>178</v>
          </cell>
          <cell r="J104">
            <v>897</v>
          </cell>
          <cell r="K104">
            <v>1075</v>
          </cell>
        </row>
        <row r="105">
          <cell r="E105">
            <v>45992</v>
          </cell>
          <cell r="F105">
            <v>20</v>
          </cell>
          <cell r="G105">
            <v>15</v>
          </cell>
          <cell r="H105">
            <v>35</v>
          </cell>
          <cell r="I105">
            <v>208</v>
          </cell>
          <cell r="J105">
            <v>831</v>
          </cell>
          <cell r="K105">
            <v>1039</v>
          </cell>
        </row>
        <row r="106">
          <cell r="E106">
            <v>46023</v>
          </cell>
          <cell r="F106">
            <v>20</v>
          </cell>
          <cell r="G106">
            <v>16</v>
          </cell>
          <cell r="H106">
            <v>36</v>
          </cell>
          <cell r="I106">
            <v>189</v>
          </cell>
          <cell r="J106">
            <v>863</v>
          </cell>
          <cell r="K106">
            <v>1052</v>
          </cell>
        </row>
        <row r="107">
          <cell r="E107">
            <v>46054</v>
          </cell>
          <cell r="F107">
            <v>16</v>
          </cell>
          <cell r="G107">
            <v>18</v>
          </cell>
          <cell r="H107">
            <v>34</v>
          </cell>
          <cell r="I107">
            <v>189</v>
          </cell>
          <cell r="J107">
            <v>873</v>
          </cell>
          <cell r="K107">
            <v>1062</v>
          </cell>
        </row>
        <row r="108">
          <cell r="E108">
            <v>46082</v>
          </cell>
          <cell r="F108">
            <v>21</v>
          </cell>
          <cell r="G108">
            <v>16</v>
          </cell>
          <cell r="H108">
            <v>37</v>
          </cell>
          <cell r="I108">
            <v>205</v>
          </cell>
          <cell r="J108">
            <v>817</v>
          </cell>
          <cell r="K108">
            <v>1022</v>
          </cell>
        </row>
        <row r="109">
          <cell r="E109">
            <v>46113</v>
          </cell>
          <cell r="F109">
            <v>22</v>
          </cell>
          <cell r="G109">
            <v>14</v>
          </cell>
          <cell r="H109">
            <v>36</v>
          </cell>
          <cell r="I109">
            <v>215</v>
          </cell>
          <cell r="J109">
            <v>780</v>
          </cell>
          <cell r="K109">
            <v>995</v>
          </cell>
        </row>
        <row r="110">
          <cell r="E110">
            <v>46143</v>
          </cell>
          <cell r="F110">
            <v>19</v>
          </cell>
          <cell r="G110">
            <v>14</v>
          </cell>
          <cell r="H110">
            <v>33</v>
          </cell>
          <cell r="I110">
            <v>210</v>
          </cell>
          <cell r="J110">
            <v>788</v>
          </cell>
          <cell r="K110">
            <v>998</v>
          </cell>
        </row>
        <row r="111">
          <cell r="E111">
            <v>46174</v>
          </cell>
          <cell r="F111">
            <v>27</v>
          </cell>
          <cell r="G111">
            <v>26</v>
          </cell>
          <cell r="H111">
            <v>53</v>
          </cell>
          <cell r="I111">
            <v>222</v>
          </cell>
          <cell r="J111">
            <v>974</v>
          </cell>
          <cell r="K111">
            <v>1196</v>
          </cell>
        </row>
        <row r="112">
          <cell r="E112">
            <v>46204</v>
          </cell>
          <cell r="F112">
            <v>19</v>
          </cell>
          <cell r="G112">
            <v>32</v>
          </cell>
          <cell r="H112">
            <v>51</v>
          </cell>
          <cell r="I112">
            <v>240</v>
          </cell>
          <cell r="J112">
            <v>1139</v>
          </cell>
          <cell r="K112">
            <v>1379</v>
          </cell>
        </row>
        <row r="113">
          <cell r="E113">
            <v>46235</v>
          </cell>
          <cell r="F113">
            <v>23</v>
          </cell>
          <cell r="G113">
            <v>35</v>
          </cell>
          <cell r="H113">
            <v>58</v>
          </cell>
          <cell r="I113">
            <v>244</v>
          </cell>
          <cell r="J113">
            <v>1200</v>
          </cell>
          <cell r="K113">
            <v>1444</v>
          </cell>
        </row>
        <row r="114">
          <cell r="E114">
            <v>46266</v>
          </cell>
          <cell r="F114">
            <v>25</v>
          </cell>
          <cell r="G114">
            <v>30</v>
          </cell>
          <cell r="H114">
            <v>55</v>
          </cell>
          <cell r="I114">
            <v>229</v>
          </cell>
          <cell r="J114">
            <v>1162</v>
          </cell>
          <cell r="K114">
            <v>1391</v>
          </cell>
        </row>
        <row r="115">
          <cell r="E115">
            <v>46296</v>
          </cell>
          <cell r="F115">
            <v>18</v>
          </cell>
          <cell r="G115">
            <v>24</v>
          </cell>
          <cell r="H115">
            <v>42</v>
          </cell>
          <cell r="I115">
            <v>187</v>
          </cell>
          <cell r="J115">
            <v>941</v>
          </cell>
          <cell r="K115">
            <v>1128</v>
          </cell>
        </row>
        <row r="116">
          <cell r="E116">
            <v>46327</v>
          </cell>
          <cell r="F116">
            <v>14</v>
          </cell>
          <cell r="G116">
            <v>16</v>
          </cell>
          <cell r="H116">
            <v>30</v>
          </cell>
          <cell r="I116">
            <v>176</v>
          </cell>
          <cell r="J116">
            <v>890</v>
          </cell>
          <cell r="K116">
            <v>1066</v>
          </cell>
        </row>
        <row r="117">
          <cell r="E117">
            <v>46357</v>
          </cell>
          <cell r="F117">
            <v>20</v>
          </cell>
          <cell r="G117">
            <v>16</v>
          </cell>
          <cell r="H117">
            <v>36</v>
          </cell>
          <cell r="I117">
            <v>207</v>
          </cell>
          <cell r="J117">
            <v>826</v>
          </cell>
          <cell r="K117">
            <v>1033</v>
          </cell>
        </row>
        <row r="118">
          <cell r="E118">
            <v>46388</v>
          </cell>
          <cell r="F118">
            <v>20</v>
          </cell>
          <cell r="G118">
            <v>16</v>
          </cell>
          <cell r="H118">
            <v>36</v>
          </cell>
          <cell r="I118">
            <v>189</v>
          </cell>
          <cell r="J118">
            <v>868</v>
          </cell>
          <cell r="K118">
            <v>1057</v>
          </cell>
        </row>
        <row r="119">
          <cell r="E119">
            <v>46419</v>
          </cell>
          <cell r="F119">
            <v>16</v>
          </cell>
          <cell r="G119">
            <v>18</v>
          </cell>
          <cell r="H119">
            <v>34</v>
          </cell>
          <cell r="I119">
            <v>191</v>
          </cell>
          <cell r="J119">
            <v>879</v>
          </cell>
          <cell r="K119">
            <v>1070</v>
          </cell>
        </row>
        <row r="120">
          <cell r="E120">
            <v>46447</v>
          </cell>
          <cell r="F120">
            <v>21</v>
          </cell>
          <cell r="G120">
            <v>16</v>
          </cell>
          <cell r="H120">
            <v>37</v>
          </cell>
          <cell r="I120">
            <v>207</v>
          </cell>
          <cell r="J120">
            <v>822</v>
          </cell>
          <cell r="K120">
            <v>1029</v>
          </cell>
        </row>
        <row r="121">
          <cell r="E121">
            <v>46478</v>
          </cell>
          <cell r="F121">
            <v>20</v>
          </cell>
          <cell r="G121">
            <v>14</v>
          </cell>
          <cell r="H121">
            <v>34</v>
          </cell>
          <cell r="I121">
            <v>218</v>
          </cell>
          <cell r="J121">
            <v>789</v>
          </cell>
          <cell r="K121">
            <v>1007</v>
          </cell>
        </row>
        <row r="122">
          <cell r="E122">
            <v>46508</v>
          </cell>
          <cell r="F122">
            <v>20</v>
          </cell>
          <cell r="G122">
            <v>15</v>
          </cell>
          <cell r="H122">
            <v>35</v>
          </cell>
          <cell r="I122">
            <v>213</v>
          </cell>
          <cell r="J122">
            <v>802</v>
          </cell>
          <cell r="K122">
            <v>1015</v>
          </cell>
        </row>
        <row r="123">
          <cell r="E123">
            <v>46539</v>
          </cell>
          <cell r="F123">
            <v>27</v>
          </cell>
          <cell r="G123">
            <v>26</v>
          </cell>
          <cell r="H123">
            <v>53</v>
          </cell>
          <cell r="I123">
            <v>217</v>
          </cell>
          <cell r="J123">
            <v>952</v>
          </cell>
          <cell r="K123">
            <v>1169</v>
          </cell>
        </row>
        <row r="124">
          <cell r="E124">
            <v>46569</v>
          </cell>
          <cell r="F124">
            <v>19</v>
          </cell>
          <cell r="G124">
            <v>32</v>
          </cell>
          <cell r="H124">
            <v>51</v>
          </cell>
          <cell r="I124">
            <v>239</v>
          </cell>
          <cell r="J124">
            <v>1131</v>
          </cell>
          <cell r="K124">
            <v>1370</v>
          </cell>
        </row>
        <row r="125">
          <cell r="E125">
            <v>46600</v>
          </cell>
          <cell r="F125">
            <v>23</v>
          </cell>
          <cell r="G125">
            <v>35</v>
          </cell>
          <cell r="H125">
            <v>58</v>
          </cell>
          <cell r="I125">
            <v>241</v>
          </cell>
          <cell r="J125">
            <v>1185</v>
          </cell>
          <cell r="K125">
            <v>1426</v>
          </cell>
        </row>
        <row r="126">
          <cell r="E126">
            <v>46631</v>
          </cell>
          <cell r="F126">
            <v>26</v>
          </cell>
          <cell r="G126">
            <v>31</v>
          </cell>
          <cell r="H126">
            <v>57</v>
          </cell>
          <cell r="I126">
            <v>227</v>
          </cell>
          <cell r="J126">
            <v>1154</v>
          </cell>
          <cell r="K126">
            <v>1381</v>
          </cell>
        </row>
        <row r="127">
          <cell r="E127">
            <v>46661</v>
          </cell>
          <cell r="F127">
            <v>19</v>
          </cell>
          <cell r="G127">
            <v>25</v>
          </cell>
          <cell r="H127">
            <v>44</v>
          </cell>
          <cell r="I127">
            <v>187</v>
          </cell>
          <cell r="J127">
            <v>939</v>
          </cell>
          <cell r="K127">
            <v>1126</v>
          </cell>
        </row>
        <row r="128">
          <cell r="E128">
            <v>46692</v>
          </cell>
          <cell r="F128">
            <v>13</v>
          </cell>
          <cell r="G128">
            <v>15</v>
          </cell>
          <cell r="H128">
            <v>28</v>
          </cell>
          <cell r="I128">
            <v>177</v>
          </cell>
          <cell r="J128">
            <v>891</v>
          </cell>
          <cell r="K128">
            <v>1068</v>
          </cell>
        </row>
        <row r="129">
          <cell r="E129">
            <v>46722</v>
          </cell>
          <cell r="F129">
            <v>21</v>
          </cell>
          <cell r="G129">
            <v>16</v>
          </cell>
          <cell r="H129">
            <v>37</v>
          </cell>
          <cell r="I129">
            <v>208</v>
          </cell>
          <cell r="J129">
            <v>830</v>
          </cell>
          <cell r="K129">
            <v>1038</v>
          </cell>
        </row>
      </sheetData>
      <sheetData sheetId="4"/>
      <sheetData sheetId="5"/>
      <sheetData sheetId="6">
        <row r="8">
          <cell r="D8">
            <v>44197</v>
          </cell>
        </row>
        <row r="9">
          <cell r="D9">
            <v>44228</v>
          </cell>
        </row>
        <row r="10">
          <cell r="D10">
            <v>44256</v>
          </cell>
        </row>
        <row r="11">
          <cell r="D11">
            <v>44287</v>
          </cell>
          <cell r="E11">
            <v>637521</v>
          </cell>
        </row>
        <row r="12">
          <cell r="D12">
            <v>44317</v>
          </cell>
          <cell r="E12">
            <v>546947</v>
          </cell>
        </row>
        <row r="13">
          <cell r="D13">
            <v>44348</v>
          </cell>
          <cell r="E13">
            <v>565481</v>
          </cell>
        </row>
        <row r="14">
          <cell r="D14">
            <v>44378</v>
          </cell>
          <cell r="E14">
            <v>516839</v>
          </cell>
        </row>
        <row r="15">
          <cell r="D15">
            <v>44409</v>
          </cell>
          <cell r="E15">
            <v>473620</v>
          </cell>
        </row>
        <row r="16">
          <cell r="D16">
            <v>44440</v>
          </cell>
          <cell r="E16">
            <v>544006</v>
          </cell>
        </row>
        <row r="17">
          <cell r="D17">
            <v>44470</v>
          </cell>
          <cell r="E17">
            <v>583994</v>
          </cell>
        </row>
        <row r="18">
          <cell r="D18">
            <v>44501</v>
          </cell>
          <cell r="E18">
            <v>674869</v>
          </cell>
        </row>
        <row r="19">
          <cell r="D19">
            <v>44531</v>
          </cell>
          <cell r="E19">
            <v>712313</v>
          </cell>
        </row>
        <row r="20">
          <cell r="D20">
            <v>44562</v>
          </cell>
          <cell r="E20">
            <v>763490</v>
          </cell>
        </row>
        <row r="21">
          <cell r="D21">
            <v>44593</v>
          </cell>
          <cell r="E21">
            <v>746959</v>
          </cell>
        </row>
        <row r="22">
          <cell r="D22">
            <v>44621</v>
          </cell>
          <cell r="E22">
            <v>633006</v>
          </cell>
        </row>
        <row r="23">
          <cell r="D23">
            <v>44652</v>
          </cell>
          <cell r="E23">
            <v>637521</v>
          </cell>
        </row>
        <row r="24">
          <cell r="D24">
            <v>44682</v>
          </cell>
          <cell r="E24">
            <v>546947</v>
          </cell>
        </row>
        <row r="25">
          <cell r="D25">
            <v>44713</v>
          </cell>
          <cell r="E25">
            <v>565481</v>
          </cell>
        </row>
        <row r="26">
          <cell r="D26">
            <v>44743</v>
          </cell>
          <cell r="E26">
            <v>516839</v>
          </cell>
        </row>
        <row r="27">
          <cell r="D27">
            <v>44774</v>
          </cell>
          <cell r="E27">
            <v>473620</v>
          </cell>
        </row>
        <row r="28">
          <cell r="D28">
            <v>44805</v>
          </cell>
          <cell r="E28">
            <v>544006</v>
          </cell>
        </row>
        <row r="29">
          <cell r="D29">
            <v>44835</v>
          </cell>
          <cell r="E29">
            <v>583994</v>
          </cell>
        </row>
        <row r="30">
          <cell r="D30">
            <v>44866</v>
          </cell>
          <cell r="E30">
            <v>674869</v>
          </cell>
        </row>
        <row r="31">
          <cell r="D31">
            <v>44896</v>
          </cell>
          <cell r="E31">
            <v>712313</v>
          </cell>
        </row>
        <row r="32">
          <cell r="D32">
            <v>44927</v>
          </cell>
          <cell r="E32">
            <v>763490</v>
          </cell>
        </row>
        <row r="33">
          <cell r="D33">
            <v>44958</v>
          </cell>
          <cell r="E33">
            <v>746959</v>
          </cell>
        </row>
        <row r="34">
          <cell r="D34">
            <v>44986</v>
          </cell>
          <cell r="E34">
            <v>633006</v>
          </cell>
        </row>
        <row r="35">
          <cell r="D35">
            <v>45017</v>
          </cell>
          <cell r="E35">
            <v>637521</v>
          </cell>
        </row>
        <row r="36">
          <cell r="D36">
            <v>45047</v>
          </cell>
          <cell r="E36">
            <v>546947</v>
          </cell>
        </row>
        <row r="37">
          <cell r="D37">
            <v>45078</v>
          </cell>
          <cell r="E37">
            <v>565481</v>
          </cell>
        </row>
        <row r="38">
          <cell r="D38">
            <v>45108</v>
          </cell>
          <cell r="E38">
            <v>516839</v>
          </cell>
        </row>
        <row r="39">
          <cell r="D39">
            <v>45139</v>
          </cell>
          <cell r="E39">
            <v>473620</v>
          </cell>
        </row>
        <row r="40">
          <cell r="D40">
            <v>45170</v>
          </cell>
          <cell r="E40">
            <v>544006</v>
          </cell>
        </row>
        <row r="41">
          <cell r="D41">
            <v>45200</v>
          </cell>
          <cell r="E41">
            <v>583994</v>
          </cell>
        </row>
        <row r="42">
          <cell r="D42">
            <v>45231</v>
          </cell>
          <cell r="E42">
            <v>674869</v>
          </cell>
        </row>
        <row r="43">
          <cell r="D43">
            <v>45261</v>
          </cell>
          <cell r="E43">
            <v>712313</v>
          </cell>
        </row>
        <row r="44">
          <cell r="D44">
            <v>45292</v>
          </cell>
          <cell r="E44">
            <v>763490</v>
          </cell>
        </row>
        <row r="45">
          <cell r="D45">
            <v>45323</v>
          </cell>
          <cell r="E45">
            <v>746959</v>
          </cell>
        </row>
        <row r="46">
          <cell r="D46">
            <v>45352</v>
          </cell>
          <cell r="E46">
            <v>633006</v>
          </cell>
        </row>
        <row r="47">
          <cell r="D47">
            <v>45383</v>
          </cell>
          <cell r="E47">
            <v>637521</v>
          </cell>
        </row>
        <row r="48">
          <cell r="D48">
            <v>45413</v>
          </cell>
          <cell r="E48">
            <v>546947</v>
          </cell>
        </row>
        <row r="49">
          <cell r="D49">
            <v>45444</v>
          </cell>
          <cell r="E49">
            <v>565481</v>
          </cell>
        </row>
        <row r="50">
          <cell r="D50">
            <v>45474</v>
          </cell>
          <cell r="E50">
            <v>516839</v>
          </cell>
        </row>
        <row r="51">
          <cell r="D51">
            <v>45505</v>
          </cell>
          <cell r="E51">
            <v>473620</v>
          </cell>
        </row>
        <row r="52">
          <cell r="D52">
            <v>45536</v>
          </cell>
          <cell r="E52">
            <v>544006</v>
          </cell>
        </row>
        <row r="53">
          <cell r="D53">
            <v>45566</v>
          </cell>
          <cell r="E53">
            <v>583994</v>
          </cell>
        </row>
        <row r="54">
          <cell r="D54">
            <v>45597</v>
          </cell>
          <cell r="E54">
            <v>674869</v>
          </cell>
        </row>
        <row r="55">
          <cell r="D55">
            <v>45627</v>
          </cell>
          <cell r="E55">
            <v>712313</v>
          </cell>
        </row>
        <row r="56">
          <cell r="D56">
            <v>45658</v>
          </cell>
          <cell r="E56">
            <v>763490</v>
          </cell>
        </row>
        <row r="57">
          <cell r="D57">
            <v>45689</v>
          </cell>
          <cell r="E57">
            <v>746959</v>
          </cell>
        </row>
        <row r="58">
          <cell r="D58">
            <v>45717</v>
          </cell>
          <cell r="E58">
            <v>633006</v>
          </cell>
        </row>
        <row r="59">
          <cell r="D59">
            <v>45748</v>
          </cell>
          <cell r="E59">
            <v>637521</v>
          </cell>
        </row>
        <row r="60">
          <cell r="D60">
            <v>45778</v>
          </cell>
          <cell r="E60">
            <v>546947</v>
          </cell>
        </row>
        <row r="61">
          <cell r="D61">
            <v>45809</v>
          </cell>
          <cell r="E61">
            <v>565481</v>
          </cell>
        </row>
        <row r="62">
          <cell r="D62">
            <v>45839</v>
          </cell>
          <cell r="E62">
            <v>516839</v>
          </cell>
        </row>
        <row r="63">
          <cell r="D63">
            <v>45870</v>
          </cell>
          <cell r="E63">
            <v>473620</v>
          </cell>
        </row>
        <row r="64">
          <cell r="D64">
            <v>45901</v>
          </cell>
          <cell r="E64">
            <v>544006</v>
          </cell>
        </row>
        <row r="65">
          <cell r="D65">
            <v>45931</v>
          </cell>
          <cell r="E65">
            <v>583994</v>
          </cell>
        </row>
        <row r="66">
          <cell r="D66">
            <v>45962</v>
          </cell>
          <cell r="E66">
            <v>674869</v>
          </cell>
        </row>
        <row r="67">
          <cell r="D67">
            <v>45992</v>
          </cell>
          <cell r="E67">
            <v>712313</v>
          </cell>
        </row>
        <row r="68">
          <cell r="D68">
            <v>46023</v>
          </cell>
          <cell r="E68">
            <v>763490</v>
          </cell>
        </row>
        <row r="69">
          <cell r="D69">
            <v>46054</v>
          </cell>
          <cell r="E69">
            <v>746959</v>
          </cell>
        </row>
        <row r="70">
          <cell r="D70">
            <v>46082</v>
          </cell>
          <cell r="E70">
            <v>633006</v>
          </cell>
        </row>
        <row r="71">
          <cell r="D71">
            <v>46113</v>
          </cell>
          <cell r="E71">
            <v>637521</v>
          </cell>
        </row>
        <row r="72">
          <cell r="D72">
            <v>46143</v>
          </cell>
          <cell r="E72">
            <v>546947</v>
          </cell>
        </row>
        <row r="73">
          <cell r="D73">
            <v>46174</v>
          </cell>
          <cell r="E73">
            <v>565481</v>
          </cell>
        </row>
        <row r="74">
          <cell r="D74">
            <v>46204</v>
          </cell>
          <cell r="E74">
            <v>516839</v>
          </cell>
        </row>
        <row r="75">
          <cell r="D75">
            <v>46235</v>
          </cell>
          <cell r="E75">
            <v>473620</v>
          </cell>
        </row>
        <row r="76">
          <cell r="D76">
            <v>46266</v>
          </cell>
          <cell r="E76">
            <v>544006</v>
          </cell>
        </row>
        <row r="77">
          <cell r="D77">
            <v>46296</v>
          </cell>
          <cell r="E77">
            <v>583994</v>
          </cell>
        </row>
        <row r="78">
          <cell r="D78">
            <v>46327</v>
          </cell>
          <cell r="E78">
            <v>674869</v>
          </cell>
        </row>
        <row r="79">
          <cell r="D79">
            <v>46357</v>
          </cell>
          <cell r="E79">
            <v>712313</v>
          </cell>
        </row>
        <row r="80">
          <cell r="D80">
            <v>46388</v>
          </cell>
          <cell r="E80">
            <v>763490</v>
          </cell>
        </row>
        <row r="81">
          <cell r="D81">
            <v>46419</v>
          </cell>
          <cell r="E81">
            <v>746959</v>
          </cell>
        </row>
        <row r="82">
          <cell r="D82">
            <v>46447</v>
          </cell>
          <cell r="E82">
            <v>633006</v>
          </cell>
        </row>
        <row r="83">
          <cell r="D83">
            <v>46478</v>
          </cell>
          <cell r="E83">
            <v>637521</v>
          </cell>
        </row>
        <row r="84">
          <cell r="D84">
            <v>46508</v>
          </cell>
          <cell r="E84">
            <v>546947</v>
          </cell>
        </row>
        <row r="85">
          <cell r="D85">
            <v>46539</v>
          </cell>
          <cell r="E85">
            <v>565481</v>
          </cell>
        </row>
        <row r="86">
          <cell r="D86">
            <v>46569</v>
          </cell>
          <cell r="E86">
            <v>516839</v>
          </cell>
        </row>
        <row r="87">
          <cell r="D87">
            <v>46600</v>
          </cell>
          <cell r="E87">
            <v>473620</v>
          </cell>
        </row>
        <row r="88">
          <cell r="D88">
            <v>46631</v>
          </cell>
          <cell r="E88">
            <v>544006</v>
          </cell>
        </row>
        <row r="89">
          <cell r="D89">
            <v>46661</v>
          </cell>
          <cell r="E89">
            <v>583994</v>
          </cell>
        </row>
        <row r="90">
          <cell r="D90">
            <v>46692</v>
          </cell>
          <cell r="E90">
            <v>674869</v>
          </cell>
        </row>
        <row r="91">
          <cell r="D91">
            <v>46722</v>
          </cell>
          <cell r="E91">
            <v>712313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20 CUS Data"/>
      <sheetName val="2019 CUS Data"/>
    </sheetNames>
    <sheetDataSet>
      <sheetData sheetId="0">
        <row r="3">
          <cell r="L3">
            <v>8.3751999999999993E-2</v>
          </cell>
          <cell r="M3">
            <v>0.18550000000000003</v>
          </cell>
        </row>
        <row r="4">
          <cell r="L4">
            <v>8.5337999999999997E-2</v>
          </cell>
          <cell r="M4">
            <v>0.20030000000000001</v>
          </cell>
        </row>
        <row r="5">
          <cell r="L5">
            <v>8.1435999999999995E-2</v>
          </cell>
          <cell r="M5">
            <v>0.17710000000000001</v>
          </cell>
        </row>
        <row r="6">
          <cell r="L6">
            <v>6.8989999999999996E-2</v>
          </cell>
          <cell r="M6">
            <v>0.1595</v>
          </cell>
        </row>
        <row r="7">
          <cell r="L7">
            <v>6.8611999999999992E-2</v>
          </cell>
          <cell r="M7">
            <v>0.16439999999999999</v>
          </cell>
        </row>
        <row r="8">
          <cell r="L8">
            <v>5.8074000000000001E-2</v>
          </cell>
          <cell r="M8">
            <v>0.15889999999999999</v>
          </cell>
        </row>
        <row r="9">
          <cell r="L9">
            <v>5.3106E-2</v>
          </cell>
          <cell r="M9">
            <v>0.12590000000000001</v>
          </cell>
        </row>
        <row r="10">
          <cell r="L10">
            <v>4.9803E-2</v>
          </cell>
          <cell r="M10">
            <v>0.1268</v>
          </cell>
        </row>
        <row r="11">
          <cell r="L11">
            <v>4.8340000000000001E-2</v>
          </cell>
          <cell r="M11">
            <v>0.13539999999999999</v>
          </cell>
        </row>
        <row r="12">
          <cell r="L12">
            <v>4.5691999999999997E-2</v>
          </cell>
          <cell r="M12">
            <v>0.1338</v>
          </cell>
        </row>
        <row r="13">
          <cell r="L13">
            <v>5.3835000000000001E-2</v>
          </cell>
          <cell r="M13">
            <v>0.1477</v>
          </cell>
        </row>
        <row r="14">
          <cell r="L14">
            <v>6.1690000000000002E-2</v>
          </cell>
          <cell r="M14">
            <v>0.1862</v>
          </cell>
        </row>
        <row r="30">
          <cell r="L30">
            <v>1.0825666666666667</v>
          </cell>
          <cell r="M30">
            <v>14.066333333333331</v>
          </cell>
        </row>
      </sheetData>
      <sheetData sheetId="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les Forecast"/>
      <sheetName val="Data - Update this tab only"/>
      <sheetName val="Demand Forecast"/>
      <sheetName val="Revenue Forecast"/>
    </sheetNames>
    <sheetDataSet>
      <sheetData sheetId="0">
        <row r="14">
          <cell r="M14">
            <v>4</v>
          </cell>
        </row>
        <row r="15">
          <cell r="M15">
            <v>1</v>
          </cell>
        </row>
        <row r="16">
          <cell r="M16">
            <v>1.3049999999999997</v>
          </cell>
        </row>
        <row r="17">
          <cell r="M17">
            <v>3.2119999999999997</v>
          </cell>
        </row>
        <row r="18">
          <cell r="M18">
            <v>1.3499999999999996</v>
          </cell>
        </row>
        <row r="19">
          <cell r="M19">
            <v>3</v>
          </cell>
        </row>
        <row r="20">
          <cell r="C20">
            <v>0</v>
          </cell>
          <cell r="D20">
            <v>1</v>
          </cell>
          <cell r="E20">
            <v>3</v>
          </cell>
          <cell r="G20">
            <v>0</v>
          </cell>
          <cell r="H20">
            <v>2</v>
          </cell>
          <cell r="I20">
            <v>19</v>
          </cell>
          <cell r="M20">
            <v>3</v>
          </cell>
        </row>
        <row r="21">
          <cell r="C21">
            <v>0</v>
          </cell>
          <cell r="D21">
            <v>1</v>
          </cell>
          <cell r="E21">
            <v>3</v>
          </cell>
          <cell r="G21">
            <v>0</v>
          </cell>
          <cell r="H21">
            <v>2</v>
          </cell>
          <cell r="I21">
            <v>16</v>
          </cell>
          <cell r="M21">
            <v>1.713000000000001</v>
          </cell>
        </row>
        <row r="25">
          <cell r="C25">
            <v>0</v>
          </cell>
          <cell r="D25">
            <v>1</v>
          </cell>
          <cell r="E25">
            <v>2</v>
          </cell>
          <cell r="G25">
            <v>0</v>
          </cell>
          <cell r="H25">
            <v>2</v>
          </cell>
          <cell r="I25">
            <v>15</v>
          </cell>
          <cell r="M25">
            <v>0</v>
          </cell>
        </row>
        <row r="26">
          <cell r="C26">
            <v>0</v>
          </cell>
          <cell r="D26">
            <v>1</v>
          </cell>
          <cell r="E26">
            <v>2</v>
          </cell>
          <cell r="G26">
            <v>0</v>
          </cell>
          <cell r="H26">
            <v>2</v>
          </cell>
          <cell r="I26">
            <v>14</v>
          </cell>
          <cell r="M26">
            <v>2.665</v>
          </cell>
        </row>
        <row r="27">
          <cell r="C27">
            <v>0</v>
          </cell>
          <cell r="D27">
            <v>1</v>
          </cell>
          <cell r="E27">
            <v>1</v>
          </cell>
          <cell r="G27">
            <v>0</v>
          </cell>
          <cell r="H27">
            <v>2</v>
          </cell>
          <cell r="I27">
            <v>15</v>
          </cell>
          <cell r="M27">
            <v>8.429000000000002</v>
          </cell>
        </row>
        <row r="28">
          <cell r="C28">
            <v>0</v>
          </cell>
          <cell r="D28">
            <v>1</v>
          </cell>
          <cell r="E28">
            <v>2</v>
          </cell>
          <cell r="G28">
            <v>0</v>
          </cell>
          <cell r="H28">
            <v>2</v>
          </cell>
          <cell r="I28">
            <v>17</v>
          </cell>
          <cell r="M28">
            <v>1.5780000000000012</v>
          </cell>
        </row>
        <row r="29">
          <cell r="C29">
            <v>0</v>
          </cell>
          <cell r="D29">
            <v>1</v>
          </cell>
          <cell r="E29">
            <v>2</v>
          </cell>
          <cell r="G29">
            <v>0</v>
          </cell>
          <cell r="H29">
            <v>2</v>
          </cell>
          <cell r="I29">
            <v>19</v>
          </cell>
          <cell r="K29">
            <v>4</v>
          </cell>
        </row>
        <row r="30">
          <cell r="C30">
            <v>0</v>
          </cell>
          <cell r="D30">
            <v>1</v>
          </cell>
          <cell r="E30">
            <v>4</v>
          </cell>
          <cell r="G30">
            <v>0</v>
          </cell>
          <cell r="H30">
            <v>2</v>
          </cell>
          <cell r="I30">
            <v>21</v>
          </cell>
          <cell r="K30">
            <v>1</v>
          </cell>
        </row>
        <row r="31">
          <cell r="C31">
            <v>0</v>
          </cell>
          <cell r="D31">
            <v>1</v>
          </cell>
          <cell r="E31">
            <v>2</v>
          </cell>
          <cell r="G31">
            <v>0</v>
          </cell>
          <cell r="H31">
            <v>3</v>
          </cell>
          <cell r="I31">
            <v>26</v>
          </cell>
          <cell r="K31">
            <v>0</v>
          </cell>
        </row>
        <row r="32">
          <cell r="C32">
            <v>0</v>
          </cell>
          <cell r="D32">
            <v>1</v>
          </cell>
          <cell r="E32">
            <v>3</v>
          </cell>
          <cell r="G32">
            <v>0</v>
          </cell>
          <cell r="H32">
            <v>3</v>
          </cell>
          <cell r="I32">
            <v>25</v>
          </cell>
          <cell r="K32">
            <v>0</v>
          </cell>
        </row>
        <row r="33">
          <cell r="C33">
            <v>0</v>
          </cell>
          <cell r="D33">
            <v>1</v>
          </cell>
          <cell r="E33">
            <v>3</v>
          </cell>
          <cell r="G33">
            <v>0</v>
          </cell>
          <cell r="H33">
            <v>2</v>
          </cell>
          <cell r="I33">
            <v>21</v>
          </cell>
          <cell r="K33">
            <v>0</v>
          </cell>
        </row>
        <row r="34">
          <cell r="C34">
            <v>0</v>
          </cell>
          <cell r="D34">
            <v>1</v>
          </cell>
          <cell r="E34">
            <v>3</v>
          </cell>
          <cell r="G34">
            <v>0</v>
          </cell>
          <cell r="H34">
            <v>2</v>
          </cell>
          <cell r="I34">
            <v>19</v>
          </cell>
          <cell r="K34">
            <v>3</v>
          </cell>
        </row>
        <row r="35">
          <cell r="C35">
            <v>0</v>
          </cell>
          <cell r="D35">
            <v>1</v>
          </cell>
          <cell r="E35">
            <v>3</v>
          </cell>
          <cell r="G35">
            <v>0</v>
          </cell>
          <cell r="H35">
            <v>2</v>
          </cell>
          <cell r="I35">
            <v>20</v>
          </cell>
          <cell r="K35">
            <v>3</v>
          </cell>
        </row>
        <row r="36">
          <cell r="C36">
            <v>0</v>
          </cell>
          <cell r="D36">
            <v>1</v>
          </cell>
          <cell r="E36">
            <v>3</v>
          </cell>
          <cell r="G36">
            <v>0</v>
          </cell>
          <cell r="H36">
            <v>2</v>
          </cell>
          <cell r="I36">
            <v>18</v>
          </cell>
          <cell r="K36">
            <v>0</v>
          </cell>
        </row>
      </sheetData>
      <sheetData sheetId="1"/>
      <sheetData sheetId="2">
        <row r="10">
          <cell r="B10">
            <v>44197</v>
          </cell>
          <cell r="D10">
            <v>0</v>
          </cell>
          <cell r="E10">
            <v>0</v>
          </cell>
          <cell r="F10">
            <v>0</v>
          </cell>
          <cell r="H10">
            <v>0</v>
          </cell>
          <cell r="I10">
            <v>0</v>
          </cell>
          <cell r="J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B11">
            <v>44228</v>
          </cell>
          <cell r="D11">
            <v>0</v>
          </cell>
          <cell r="E11">
            <v>0</v>
          </cell>
          <cell r="F11">
            <v>0</v>
          </cell>
          <cell r="H11">
            <v>0</v>
          </cell>
          <cell r="I11">
            <v>0</v>
          </cell>
          <cell r="J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B12">
            <v>44256</v>
          </cell>
          <cell r="D12">
            <v>0</v>
          </cell>
          <cell r="E12">
            <v>0</v>
          </cell>
          <cell r="F12">
            <v>0</v>
          </cell>
          <cell r="H12">
            <v>0</v>
          </cell>
          <cell r="I12">
            <v>0</v>
          </cell>
          <cell r="J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B13">
            <v>44287</v>
          </cell>
          <cell r="D13">
            <v>204</v>
          </cell>
          <cell r="E13">
            <v>0</v>
          </cell>
          <cell r="F13">
            <v>204</v>
          </cell>
          <cell r="H13">
            <v>73</v>
          </cell>
          <cell r="I13">
            <v>131</v>
          </cell>
          <cell r="J13">
            <v>204</v>
          </cell>
          <cell r="L13">
            <v>29</v>
          </cell>
          <cell r="M13">
            <v>0</v>
          </cell>
          <cell r="N13">
            <v>175</v>
          </cell>
          <cell r="O13">
            <v>0</v>
          </cell>
          <cell r="P13">
            <v>204</v>
          </cell>
          <cell r="T13">
            <v>3</v>
          </cell>
          <cell r="U13">
            <v>26</v>
          </cell>
          <cell r="V13">
            <v>149</v>
          </cell>
          <cell r="W13">
            <v>3</v>
          </cell>
          <cell r="X13">
            <v>23</v>
          </cell>
          <cell r="Y13">
            <v>204</v>
          </cell>
        </row>
        <row r="14">
          <cell r="B14">
            <v>44317</v>
          </cell>
          <cell r="D14">
            <v>204</v>
          </cell>
          <cell r="E14">
            <v>0</v>
          </cell>
          <cell r="F14">
            <v>204</v>
          </cell>
          <cell r="H14">
            <v>73</v>
          </cell>
          <cell r="I14">
            <v>131</v>
          </cell>
          <cell r="J14">
            <v>204</v>
          </cell>
          <cell r="L14">
            <v>29</v>
          </cell>
          <cell r="M14">
            <v>0</v>
          </cell>
          <cell r="N14">
            <v>175</v>
          </cell>
          <cell r="O14">
            <v>0</v>
          </cell>
          <cell r="P14">
            <v>204</v>
          </cell>
          <cell r="T14">
            <v>3</v>
          </cell>
          <cell r="U14">
            <v>26</v>
          </cell>
          <cell r="V14">
            <v>149</v>
          </cell>
          <cell r="W14">
            <v>3</v>
          </cell>
          <cell r="X14">
            <v>23</v>
          </cell>
          <cell r="Y14">
            <v>204</v>
          </cell>
          <cell r="Z14">
            <v>23.07</v>
          </cell>
        </row>
        <row r="15">
          <cell r="B15">
            <v>44348</v>
          </cell>
          <cell r="D15">
            <v>204</v>
          </cell>
          <cell r="E15">
            <v>0</v>
          </cell>
          <cell r="F15">
            <v>204</v>
          </cell>
          <cell r="H15">
            <v>73</v>
          </cell>
          <cell r="I15">
            <v>131</v>
          </cell>
          <cell r="J15">
            <v>204</v>
          </cell>
          <cell r="L15">
            <v>29</v>
          </cell>
          <cell r="M15">
            <v>0</v>
          </cell>
          <cell r="N15">
            <v>175</v>
          </cell>
          <cell r="O15">
            <v>0</v>
          </cell>
          <cell r="P15">
            <v>204</v>
          </cell>
          <cell r="T15">
            <v>3</v>
          </cell>
          <cell r="U15">
            <v>26</v>
          </cell>
          <cell r="V15">
            <v>149</v>
          </cell>
          <cell r="W15">
            <v>3</v>
          </cell>
          <cell r="X15">
            <v>23</v>
          </cell>
          <cell r="Y15">
            <v>204</v>
          </cell>
          <cell r="Z15">
            <v>16.07</v>
          </cell>
        </row>
        <row r="16">
          <cell r="B16">
            <v>44378</v>
          </cell>
          <cell r="D16">
            <v>204</v>
          </cell>
          <cell r="E16">
            <v>0</v>
          </cell>
          <cell r="F16">
            <v>204</v>
          </cell>
          <cell r="H16">
            <v>73</v>
          </cell>
          <cell r="I16">
            <v>131</v>
          </cell>
          <cell r="J16">
            <v>204</v>
          </cell>
          <cell r="L16">
            <v>29</v>
          </cell>
          <cell r="M16">
            <v>0</v>
          </cell>
          <cell r="N16">
            <v>175</v>
          </cell>
          <cell r="O16">
            <v>0</v>
          </cell>
          <cell r="P16">
            <v>204</v>
          </cell>
          <cell r="T16">
            <v>3</v>
          </cell>
          <cell r="U16">
            <v>26</v>
          </cell>
          <cell r="V16">
            <v>149</v>
          </cell>
          <cell r="W16">
            <v>3</v>
          </cell>
          <cell r="X16">
            <v>23</v>
          </cell>
          <cell r="Y16">
            <v>204</v>
          </cell>
          <cell r="Z16">
            <v>25.06</v>
          </cell>
        </row>
        <row r="17">
          <cell r="B17">
            <v>44409</v>
          </cell>
          <cell r="D17">
            <v>204</v>
          </cell>
          <cell r="E17">
            <v>0</v>
          </cell>
          <cell r="F17">
            <v>204</v>
          </cell>
          <cell r="H17">
            <v>73</v>
          </cell>
          <cell r="I17">
            <v>131</v>
          </cell>
          <cell r="J17">
            <v>204</v>
          </cell>
          <cell r="L17">
            <v>29</v>
          </cell>
          <cell r="M17">
            <v>0</v>
          </cell>
          <cell r="N17">
            <v>175</v>
          </cell>
          <cell r="O17">
            <v>0</v>
          </cell>
          <cell r="P17">
            <v>204</v>
          </cell>
          <cell r="T17">
            <v>3</v>
          </cell>
          <cell r="U17">
            <v>26</v>
          </cell>
          <cell r="V17">
            <v>149</v>
          </cell>
          <cell r="W17">
            <v>3</v>
          </cell>
          <cell r="X17">
            <v>23</v>
          </cell>
          <cell r="Y17">
            <v>204</v>
          </cell>
          <cell r="Z17">
            <v>20.059999999999999</v>
          </cell>
        </row>
        <row r="18">
          <cell r="B18">
            <v>44440</v>
          </cell>
          <cell r="D18">
            <v>204</v>
          </cell>
          <cell r="E18">
            <v>0</v>
          </cell>
          <cell r="F18">
            <v>204</v>
          </cell>
          <cell r="H18">
            <v>73</v>
          </cell>
          <cell r="I18">
            <v>131</v>
          </cell>
          <cell r="J18">
            <v>204</v>
          </cell>
          <cell r="L18">
            <v>29</v>
          </cell>
          <cell r="M18">
            <v>0</v>
          </cell>
          <cell r="N18">
            <v>175</v>
          </cell>
          <cell r="O18">
            <v>0</v>
          </cell>
          <cell r="P18">
            <v>204</v>
          </cell>
          <cell r="T18">
            <v>3</v>
          </cell>
          <cell r="U18">
            <v>26</v>
          </cell>
          <cell r="V18">
            <v>149</v>
          </cell>
          <cell r="W18">
            <v>3</v>
          </cell>
          <cell r="X18">
            <v>23</v>
          </cell>
          <cell r="Y18">
            <v>204</v>
          </cell>
          <cell r="Z18">
            <v>19.059999999999999</v>
          </cell>
        </row>
        <row r="19">
          <cell r="B19">
            <v>44470</v>
          </cell>
          <cell r="D19">
            <v>204</v>
          </cell>
          <cell r="E19">
            <v>0</v>
          </cell>
          <cell r="F19">
            <v>204</v>
          </cell>
          <cell r="H19">
            <v>73</v>
          </cell>
          <cell r="I19">
            <v>131</v>
          </cell>
          <cell r="J19">
            <v>204</v>
          </cell>
          <cell r="L19">
            <v>29</v>
          </cell>
          <cell r="M19">
            <v>0</v>
          </cell>
          <cell r="N19">
            <v>175</v>
          </cell>
          <cell r="O19">
            <v>0</v>
          </cell>
          <cell r="P19">
            <v>204</v>
          </cell>
          <cell r="T19">
            <v>3</v>
          </cell>
          <cell r="U19">
            <v>26</v>
          </cell>
          <cell r="V19">
            <v>149</v>
          </cell>
          <cell r="W19">
            <v>3</v>
          </cell>
          <cell r="X19">
            <v>23</v>
          </cell>
          <cell r="Y19">
            <v>204</v>
          </cell>
          <cell r="Z19">
            <v>24.07</v>
          </cell>
        </row>
        <row r="20">
          <cell r="B20">
            <v>44501</v>
          </cell>
          <cell r="D20">
            <v>204</v>
          </cell>
          <cell r="E20">
            <v>0</v>
          </cell>
          <cell r="F20">
            <v>204</v>
          </cell>
          <cell r="H20">
            <v>73</v>
          </cell>
          <cell r="I20">
            <v>131</v>
          </cell>
          <cell r="J20">
            <v>204</v>
          </cell>
          <cell r="L20">
            <v>29</v>
          </cell>
          <cell r="M20">
            <v>0</v>
          </cell>
          <cell r="N20">
            <v>175</v>
          </cell>
          <cell r="O20">
            <v>0</v>
          </cell>
          <cell r="P20">
            <v>204</v>
          </cell>
          <cell r="T20">
            <v>3</v>
          </cell>
          <cell r="U20">
            <v>26</v>
          </cell>
          <cell r="V20">
            <v>149</v>
          </cell>
          <cell r="W20">
            <v>3</v>
          </cell>
          <cell r="X20">
            <v>23</v>
          </cell>
          <cell r="Y20">
            <v>204</v>
          </cell>
          <cell r="Z20">
            <v>30.060000000000002</v>
          </cell>
        </row>
        <row r="21">
          <cell r="B21">
            <v>44531</v>
          </cell>
          <cell r="D21">
            <v>204</v>
          </cell>
          <cell r="E21">
            <v>4</v>
          </cell>
          <cell r="F21">
            <v>208</v>
          </cell>
          <cell r="H21">
            <v>73</v>
          </cell>
          <cell r="I21">
            <v>135</v>
          </cell>
          <cell r="J21">
            <v>208</v>
          </cell>
          <cell r="L21">
            <v>29</v>
          </cell>
          <cell r="M21">
            <v>0</v>
          </cell>
          <cell r="N21">
            <v>175</v>
          </cell>
          <cell r="O21">
            <v>4</v>
          </cell>
          <cell r="P21">
            <v>208</v>
          </cell>
          <cell r="T21">
            <v>3</v>
          </cell>
          <cell r="U21">
            <v>26</v>
          </cell>
          <cell r="V21">
            <v>153</v>
          </cell>
          <cell r="W21">
            <v>3</v>
          </cell>
          <cell r="X21">
            <v>23</v>
          </cell>
          <cell r="Y21">
            <v>208</v>
          </cell>
          <cell r="Z21">
            <v>22.06</v>
          </cell>
        </row>
        <row r="23">
          <cell r="B23" t="str">
            <v>ANNUAL</v>
          </cell>
          <cell r="D23">
            <v>1836</v>
          </cell>
          <cell r="E23">
            <v>4</v>
          </cell>
          <cell r="F23">
            <v>1840</v>
          </cell>
          <cell r="G23">
            <v>0</v>
          </cell>
          <cell r="H23">
            <v>657</v>
          </cell>
          <cell r="I23">
            <v>1183</v>
          </cell>
          <cell r="J23">
            <v>1840</v>
          </cell>
          <cell r="K23">
            <v>0</v>
          </cell>
          <cell r="L23">
            <v>261</v>
          </cell>
          <cell r="M23">
            <v>0</v>
          </cell>
          <cell r="N23">
            <v>1575</v>
          </cell>
          <cell r="O23">
            <v>4</v>
          </cell>
          <cell r="P23">
            <v>1840</v>
          </cell>
          <cell r="Q23">
            <v>0</v>
          </cell>
          <cell r="T23">
            <v>27</v>
          </cell>
          <cell r="U23">
            <v>234</v>
          </cell>
          <cell r="V23">
            <v>1345</v>
          </cell>
          <cell r="W23">
            <v>27</v>
          </cell>
          <cell r="X23">
            <v>207</v>
          </cell>
          <cell r="Y23">
            <v>1840</v>
          </cell>
        </row>
        <row r="25">
          <cell r="B25">
            <v>44562</v>
          </cell>
          <cell r="D25">
            <v>204</v>
          </cell>
          <cell r="E25">
            <v>4</v>
          </cell>
          <cell r="F25">
            <v>208</v>
          </cell>
          <cell r="H25">
            <v>73</v>
          </cell>
          <cell r="I25">
            <v>135</v>
          </cell>
          <cell r="J25">
            <v>208</v>
          </cell>
          <cell r="L25">
            <v>29</v>
          </cell>
          <cell r="M25">
            <v>0</v>
          </cell>
          <cell r="N25">
            <v>175</v>
          </cell>
          <cell r="O25">
            <v>4</v>
          </cell>
          <cell r="P25">
            <v>208</v>
          </cell>
          <cell r="T25">
            <v>3</v>
          </cell>
          <cell r="U25">
            <v>26</v>
          </cell>
          <cell r="V25">
            <v>153</v>
          </cell>
          <cell r="W25">
            <v>3</v>
          </cell>
          <cell r="X25">
            <v>23</v>
          </cell>
          <cell r="Y25">
            <v>208</v>
          </cell>
          <cell r="Z25">
            <v>23.060000000000002</v>
          </cell>
        </row>
        <row r="26">
          <cell r="B26">
            <v>44593</v>
          </cell>
          <cell r="D26">
            <v>204</v>
          </cell>
          <cell r="E26">
            <v>4</v>
          </cell>
          <cell r="F26">
            <v>208</v>
          </cell>
          <cell r="H26">
            <v>73</v>
          </cell>
          <cell r="I26">
            <v>135</v>
          </cell>
          <cell r="J26">
            <v>208</v>
          </cell>
          <cell r="L26">
            <v>29</v>
          </cell>
          <cell r="M26">
            <v>0</v>
          </cell>
          <cell r="N26">
            <v>175</v>
          </cell>
          <cell r="O26">
            <v>4</v>
          </cell>
          <cell r="P26">
            <v>208</v>
          </cell>
          <cell r="T26">
            <v>3</v>
          </cell>
          <cell r="U26">
            <v>26</v>
          </cell>
          <cell r="V26">
            <v>153</v>
          </cell>
          <cell r="W26">
            <v>3</v>
          </cell>
          <cell r="X26">
            <v>23</v>
          </cell>
          <cell r="Y26">
            <v>208</v>
          </cell>
          <cell r="Z26">
            <v>26.07</v>
          </cell>
        </row>
        <row r="27">
          <cell r="B27">
            <v>44621</v>
          </cell>
          <cell r="D27">
            <v>204</v>
          </cell>
          <cell r="E27">
            <v>4</v>
          </cell>
          <cell r="F27">
            <v>208</v>
          </cell>
          <cell r="H27">
            <v>73</v>
          </cell>
          <cell r="I27">
            <v>135</v>
          </cell>
          <cell r="J27">
            <v>208</v>
          </cell>
          <cell r="L27">
            <v>29</v>
          </cell>
          <cell r="M27">
            <v>0</v>
          </cell>
          <cell r="N27">
            <v>175</v>
          </cell>
          <cell r="O27">
            <v>4</v>
          </cell>
          <cell r="P27">
            <v>208</v>
          </cell>
          <cell r="T27">
            <v>3</v>
          </cell>
          <cell r="U27">
            <v>26</v>
          </cell>
          <cell r="V27">
            <v>153</v>
          </cell>
          <cell r="W27">
            <v>3</v>
          </cell>
          <cell r="X27">
            <v>23</v>
          </cell>
          <cell r="Y27">
            <v>208</v>
          </cell>
          <cell r="Z27">
            <v>22.060000000000002</v>
          </cell>
        </row>
        <row r="28">
          <cell r="B28">
            <v>44652</v>
          </cell>
          <cell r="D28">
            <v>204</v>
          </cell>
          <cell r="E28">
            <v>4</v>
          </cell>
          <cell r="F28">
            <v>208</v>
          </cell>
          <cell r="H28">
            <v>73</v>
          </cell>
          <cell r="I28">
            <v>135</v>
          </cell>
          <cell r="J28">
            <v>208</v>
          </cell>
          <cell r="L28">
            <v>29</v>
          </cell>
          <cell r="M28">
            <v>0</v>
          </cell>
          <cell r="N28">
            <v>175</v>
          </cell>
          <cell r="O28">
            <v>4</v>
          </cell>
          <cell r="P28">
            <v>208</v>
          </cell>
          <cell r="T28">
            <v>3</v>
          </cell>
          <cell r="U28">
            <v>26</v>
          </cell>
          <cell r="V28">
            <v>153</v>
          </cell>
          <cell r="W28">
            <v>3</v>
          </cell>
          <cell r="X28">
            <v>23</v>
          </cell>
          <cell r="Y28">
            <v>208</v>
          </cell>
          <cell r="Z28">
            <v>22.07</v>
          </cell>
        </row>
        <row r="29">
          <cell r="B29">
            <v>44682</v>
          </cell>
          <cell r="D29">
            <v>204</v>
          </cell>
          <cell r="E29">
            <v>4</v>
          </cell>
          <cell r="F29">
            <v>208</v>
          </cell>
          <cell r="H29">
            <v>73</v>
          </cell>
          <cell r="I29">
            <v>135</v>
          </cell>
          <cell r="J29">
            <v>208</v>
          </cell>
          <cell r="L29">
            <v>29</v>
          </cell>
          <cell r="M29">
            <v>0</v>
          </cell>
          <cell r="N29">
            <v>175</v>
          </cell>
          <cell r="O29">
            <v>4</v>
          </cell>
          <cell r="P29">
            <v>208</v>
          </cell>
          <cell r="T29">
            <v>3</v>
          </cell>
          <cell r="U29">
            <v>26</v>
          </cell>
          <cell r="V29">
            <v>153</v>
          </cell>
          <cell r="W29">
            <v>3</v>
          </cell>
          <cell r="X29">
            <v>23</v>
          </cell>
          <cell r="Y29">
            <v>208</v>
          </cell>
        </row>
        <row r="30">
          <cell r="B30">
            <v>44713</v>
          </cell>
          <cell r="D30">
            <v>204</v>
          </cell>
          <cell r="E30">
            <v>8</v>
          </cell>
          <cell r="F30">
            <v>212</v>
          </cell>
          <cell r="H30">
            <v>73</v>
          </cell>
          <cell r="I30">
            <v>139</v>
          </cell>
          <cell r="J30">
            <v>212</v>
          </cell>
          <cell r="L30">
            <v>29</v>
          </cell>
          <cell r="M30">
            <v>0</v>
          </cell>
          <cell r="N30">
            <v>175</v>
          </cell>
          <cell r="O30">
            <v>8</v>
          </cell>
          <cell r="P30">
            <v>212</v>
          </cell>
          <cell r="T30">
            <v>3</v>
          </cell>
          <cell r="U30">
            <v>26</v>
          </cell>
          <cell r="V30">
            <v>157</v>
          </cell>
          <cell r="W30">
            <v>3</v>
          </cell>
          <cell r="X30">
            <v>23</v>
          </cell>
          <cell r="Y30">
            <v>212</v>
          </cell>
        </row>
        <row r="31">
          <cell r="B31">
            <v>44743</v>
          </cell>
          <cell r="D31">
            <v>204</v>
          </cell>
          <cell r="E31">
            <v>8</v>
          </cell>
          <cell r="F31">
            <v>212</v>
          </cell>
          <cell r="H31">
            <v>73</v>
          </cell>
          <cell r="I31">
            <v>139</v>
          </cell>
          <cell r="J31">
            <v>212</v>
          </cell>
          <cell r="L31">
            <v>29</v>
          </cell>
          <cell r="M31">
            <v>0</v>
          </cell>
          <cell r="N31">
            <v>175</v>
          </cell>
          <cell r="O31">
            <v>8</v>
          </cell>
          <cell r="P31">
            <v>212</v>
          </cell>
          <cell r="T31">
            <v>3</v>
          </cell>
          <cell r="U31">
            <v>26</v>
          </cell>
          <cell r="V31">
            <v>157</v>
          </cell>
          <cell r="W31">
            <v>3</v>
          </cell>
          <cell r="X31">
            <v>23</v>
          </cell>
          <cell r="Y31">
            <v>212</v>
          </cell>
        </row>
        <row r="32">
          <cell r="B32">
            <v>44774</v>
          </cell>
          <cell r="D32">
            <v>204</v>
          </cell>
          <cell r="E32">
            <v>8</v>
          </cell>
          <cell r="F32">
            <v>212</v>
          </cell>
          <cell r="H32">
            <v>73</v>
          </cell>
          <cell r="I32">
            <v>139</v>
          </cell>
          <cell r="J32">
            <v>212</v>
          </cell>
          <cell r="L32">
            <v>29</v>
          </cell>
          <cell r="M32">
            <v>0</v>
          </cell>
          <cell r="N32">
            <v>175</v>
          </cell>
          <cell r="O32">
            <v>8</v>
          </cell>
          <cell r="P32">
            <v>212</v>
          </cell>
          <cell r="T32">
            <v>3</v>
          </cell>
          <cell r="U32">
            <v>26</v>
          </cell>
          <cell r="V32">
            <v>157</v>
          </cell>
          <cell r="W32">
            <v>3</v>
          </cell>
          <cell r="X32">
            <v>23</v>
          </cell>
          <cell r="Y32">
            <v>212</v>
          </cell>
        </row>
        <row r="33">
          <cell r="B33">
            <v>44805</v>
          </cell>
          <cell r="D33">
            <v>204</v>
          </cell>
          <cell r="E33">
            <v>8</v>
          </cell>
          <cell r="F33">
            <v>212</v>
          </cell>
          <cell r="H33">
            <v>73</v>
          </cell>
          <cell r="I33">
            <v>139</v>
          </cell>
          <cell r="J33">
            <v>212</v>
          </cell>
          <cell r="L33">
            <v>29</v>
          </cell>
          <cell r="M33">
            <v>0</v>
          </cell>
          <cell r="N33">
            <v>175</v>
          </cell>
          <cell r="O33">
            <v>8</v>
          </cell>
          <cell r="P33">
            <v>212</v>
          </cell>
          <cell r="T33">
            <v>3</v>
          </cell>
          <cell r="U33">
            <v>26</v>
          </cell>
          <cell r="V33">
            <v>157</v>
          </cell>
          <cell r="W33">
            <v>3</v>
          </cell>
          <cell r="X33">
            <v>23</v>
          </cell>
          <cell r="Y33">
            <v>212</v>
          </cell>
        </row>
        <row r="34">
          <cell r="B34">
            <v>44835</v>
          </cell>
          <cell r="D34">
            <v>204</v>
          </cell>
          <cell r="E34">
            <v>8</v>
          </cell>
          <cell r="F34">
            <v>212</v>
          </cell>
          <cell r="H34">
            <v>73</v>
          </cell>
          <cell r="I34">
            <v>139</v>
          </cell>
          <cell r="J34">
            <v>212</v>
          </cell>
          <cell r="L34">
            <v>29</v>
          </cell>
          <cell r="M34">
            <v>0</v>
          </cell>
          <cell r="N34">
            <v>175</v>
          </cell>
          <cell r="O34">
            <v>8</v>
          </cell>
          <cell r="P34">
            <v>212</v>
          </cell>
          <cell r="T34">
            <v>3</v>
          </cell>
          <cell r="U34">
            <v>26</v>
          </cell>
          <cell r="V34">
            <v>157</v>
          </cell>
          <cell r="W34">
            <v>3</v>
          </cell>
          <cell r="X34">
            <v>23</v>
          </cell>
          <cell r="Y34">
            <v>212</v>
          </cell>
        </row>
        <row r="35">
          <cell r="B35">
            <v>44866</v>
          </cell>
          <cell r="D35">
            <v>204</v>
          </cell>
          <cell r="E35">
            <v>13</v>
          </cell>
          <cell r="F35">
            <v>217</v>
          </cell>
          <cell r="H35">
            <v>73</v>
          </cell>
          <cell r="I35">
            <v>144</v>
          </cell>
          <cell r="J35">
            <v>217</v>
          </cell>
          <cell r="L35">
            <v>29</v>
          </cell>
          <cell r="M35">
            <v>0</v>
          </cell>
          <cell r="N35">
            <v>175</v>
          </cell>
          <cell r="O35">
            <v>13</v>
          </cell>
          <cell r="P35">
            <v>217</v>
          </cell>
          <cell r="T35">
            <v>3</v>
          </cell>
          <cell r="U35">
            <v>26</v>
          </cell>
          <cell r="V35">
            <v>162</v>
          </cell>
          <cell r="W35">
            <v>3</v>
          </cell>
          <cell r="X35">
            <v>23</v>
          </cell>
          <cell r="Y35">
            <v>217</v>
          </cell>
        </row>
        <row r="36">
          <cell r="B36">
            <v>44896</v>
          </cell>
          <cell r="D36">
            <v>204</v>
          </cell>
          <cell r="E36">
            <v>13</v>
          </cell>
          <cell r="F36">
            <v>217</v>
          </cell>
          <cell r="H36">
            <v>73</v>
          </cell>
          <cell r="I36">
            <v>144</v>
          </cell>
          <cell r="J36">
            <v>217</v>
          </cell>
          <cell r="L36">
            <v>29</v>
          </cell>
          <cell r="M36">
            <v>0</v>
          </cell>
          <cell r="N36">
            <v>175</v>
          </cell>
          <cell r="O36">
            <v>13</v>
          </cell>
          <cell r="P36">
            <v>217</v>
          </cell>
          <cell r="T36">
            <v>3</v>
          </cell>
          <cell r="U36">
            <v>26</v>
          </cell>
          <cell r="V36">
            <v>162</v>
          </cell>
          <cell r="W36">
            <v>3</v>
          </cell>
          <cell r="X36">
            <v>23</v>
          </cell>
          <cell r="Y36">
            <v>217</v>
          </cell>
        </row>
        <row r="38">
          <cell r="B38" t="str">
            <v>ANNUAL</v>
          </cell>
          <cell r="D38">
            <v>2448</v>
          </cell>
          <cell r="E38">
            <v>86</v>
          </cell>
          <cell r="F38">
            <v>2534</v>
          </cell>
          <cell r="G38">
            <v>0</v>
          </cell>
          <cell r="H38">
            <v>876</v>
          </cell>
          <cell r="I38">
            <v>1658</v>
          </cell>
          <cell r="J38">
            <v>2534</v>
          </cell>
          <cell r="K38">
            <v>0</v>
          </cell>
          <cell r="L38">
            <v>348</v>
          </cell>
          <cell r="M38">
            <v>0</v>
          </cell>
          <cell r="N38">
            <v>2100</v>
          </cell>
          <cell r="O38">
            <v>86</v>
          </cell>
          <cell r="P38">
            <v>2534</v>
          </cell>
          <cell r="Q38">
            <v>0</v>
          </cell>
          <cell r="T38">
            <v>36</v>
          </cell>
          <cell r="U38">
            <v>312</v>
          </cell>
          <cell r="V38">
            <v>1874</v>
          </cell>
          <cell r="W38">
            <v>36</v>
          </cell>
          <cell r="X38">
            <v>276</v>
          </cell>
          <cell r="Y38">
            <v>2534</v>
          </cell>
        </row>
        <row r="40">
          <cell r="B40">
            <v>44927</v>
          </cell>
          <cell r="D40">
            <v>204</v>
          </cell>
          <cell r="E40">
            <v>13</v>
          </cell>
          <cell r="F40">
            <v>217</v>
          </cell>
          <cell r="H40">
            <v>73</v>
          </cell>
          <cell r="I40">
            <v>144</v>
          </cell>
          <cell r="J40">
            <v>217</v>
          </cell>
          <cell r="L40">
            <v>29</v>
          </cell>
          <cell r="M40">
            <v>0</v>
          </cell>
          <cell r="N40">
            <v>175</v>
          </cell>
          <cell r="O40">
            <v>13</v>
          </cell>
          <cell r="P40">
            <v>217</v>
          </cell>
          <cell r="T40">
            <v>3</v>
          </cell>
          <cell r="U40">
            <v>26</v>
          </cell>
          <cell r="V40">
            <v>162</v>
          </cell>
          <cell r="W40">
            <v>3</v>
          </cell>
          <cell r="X40">
            <v>23</v>
          </cell>
          <cell r="Y40">
            <v>217</v>
          </cell>
        </row>
        <row r="41">
          <cell r="B41">
            <v>44958</v>
          </cell>
          <cell r="D41">
            <v>204</v>
          </cell>
          <cell r="E41">
            <v>13</v>
          </cell>
          <cell r="F41">
            <v>217</v>
          </cell>
          <cell r="H41">
            <v>73</v>
          </cell>
          <cell r="I41">
            <v>144</v>
          </cell>
          <cell r="J41">
            <v>217</v>
          </cell>
          <cell r="L41">
            <v>29</v>
          </cell>
          <cell r="M41">
            <v>0</v>
          </cell>
          <cell r="N41">
            <v>175</v>
          </cell>
          <cell r="O41">
            <v>13</v>
          </cell>
          <cell r="P41">
            <v>217</v>
          </cell>
          <cell r="T41">
            <v>3</v>
          </cell>
          <cell r="U41">
            <v>26</v>
          </cell>
          <cell r="V41">
            <v>162</v>
          </cell>
          <cell r="W41">
            <v>3</v>
          </cell>
          <cell r="X41">
            <v>23</v>
          </cell>
          <cell r="Y41">
            <v>217</v>
          </cell>
        </row>
        <row r="42">
          <cell r="B42">
            <v>44986</v>
          </cell>
          <cell r="D42">
            <v>204</v>
          </cell>
          <cell r="E42">
            <v>13</v>
          </cell>
          <cell r="F42">
            <v>217</v>
          </cell>
          <cell r="H42">
            <v>73</v>
          </cell>
          <cell r="I42">
            <v>144</v>
          </cell>
          <cell r="J42">
            <v>217</v>
          </cell>
          <cell r="L42">
            <v>29</v>
          </cell>
          <cell r="M42">
            <v>0</v>
          </cell>
          <cell r="N42">
            <v>175</v>
          </cell>
          <cell r="O42">
            <v>13</v>
          </cell>
          <cell r="P42">
            <v>217</v>
          </cell>
          <cell r="T42">
            <v>3</v>
          </cell>
          <cell r="U42">
            <v>26</v>
          </cell>
          <cell r="V42">
            <v>162</v>
          </cell>
          <cell r="W42">
            <v>3</v>
          </cell>
          <cell r="X42">
            <v>23</v>
          </cell>
          <cell r="Y42">
            <v>217</v>
          </cell>
        </row>
        <row r="43">
          <cell r="B43">
            <v>45017</v>
          </cell>
          <cell r="D43">
            <v>204</v>
          </cell>
          <cell r="E43">
            <v>13</v>
          </cell>
          <cell r="F43">
            <v>217</v>
          </cell>
          <cell r="H43">
            <v>73</v>
          </cell>
          <cell r="I43">
            <v>144</v>
          </cell>
          <cell r="J43">
            <v>217</v>
          </cell>
          <cell r="L43">
            <v>29</v>
          </cell>
          <cell r="M43">
            <v>0</v>
          </cell>
          <cell r="N43">
            <v>175</v>
          </cell>
          <cell r="O43">
            <v>13</v>
          </cell>
          <cell r="P43">
            <v>217</v>
          </cell>
          <cell r="T43">
            <v>3</v>
          </cell>
          <cell r="U43">
            <v>26</v>
          </cell>
          <cell r="V43">
            <v>162</v>
          </cell>
          <cell r="W43">
            <v>3</v>
          </cell>
          <cell r="X43">
            <v>23</v>
          </cell>
          <cell r="Y43">
            <v>217</v>
          </cell>
        </row>
        <row r="44">
          <cell r="B44">
            <v>45047</v>
          </cell>
          <cell r="D44">
            <v>204</v>
          </cell>
          <cell r="E44">
            <v>13</v>
          </cell>
          <cell r="F44">
            <v>217</v>
          </cell>
          <cell r="H44">
            <v>73</v>
          </cell>
          <cell r="I44">
            <v>144</v>
          </cell>
          <cell r="J44">
            <v>217</v>
          </cell>
          <cell r="L44">
            <v>29</v>
          </cell>
          <cell r="M44">
            <v>0</v>
          </cell>
          <cell r="N44">
            <v>175</v>
          </cell>
          <cell r="O44">
            <v>13</v>
          </cell>
          <cell r="P44">
            <v>217</v>
          </cell>
          <cell r="T44">
            <v>3</v>
          </cell>
          <cell r="U44">
            <v>26</v>
          </cell>
          <cell r="V44">
            <v>162</v>
          </cell>
          <cell r="W44">
            <v>3</v>
          </cell>
          <cell r="X44">
            <v>23</v>
          </cell>
          <cell r="Y44">
            <v>217</v>
          </cell>
        </row>
        <row r="45">
          <cell r="B45">
            <v>45078</v>
          </cell>
          <cell r="D45">
            <v>204</v>
          </cell>
          <cell r="E45">
            <v>15</v>
          </cell>
          <cell r="F45">
            <v>219</v>
          </cell>
          <cell r="H45">
            <v>73</v>
          </cell>
          <cell r="I45">
            <v>146</v>
          </cell>
          <cell r="J45">
            <v>219</v>
          </cell>
          <cell r="L45">
            <v>29</v>
          </cell>
          <cell r="M45">
            <v>0</v>
          </cell>
          <cell r="N45">
            <v>175</v>
          </cell>
          <cell r="O45">
            <v>15</v>
          </cell>
          <cell r="P45">
            <v>219</v>
          </cell>
          <cell r="T45">
            <v>3</v>
          </cell>
          <cell r="U45">
            <v>26</v>
          </cell>
          <cell r="V45">
            <v>164</v>
          </cell>
          <cell r="W45">
            <v>3</v>
          </cell>
          <cell r="X45">
            <v>23</v>
          </cell>
          <cell r="Y45">
            <v>219</v>
          </cell>
        </row>
        <row r="46">
          <cell r="B46">
            <v>45108</v>
          </cell>
          <cell r="D46">
            <v>204</v>
          </cell>
          <cell r="E46">
            <v>15</v>
          </cell>
          <cell r="F46">
            <v>219</v>
          </cell>
          <cell r="H46">
            <v>73</v>
          </cell>
          <cell r="I46">
            <v>146</v>
          </cell>
          <cell r="J46">
            <v>219</v>
          </cell>
          <cell r="L46">
            <v>29</v>
          </cell>
          <cell r="M46">
            <v>0</v>
          </cell>
          <cell r="N46">
            <v>175</v>
          </cell>
          <cell r="O46">
            <v>15</v>
          </cell>
          <cell r="P46">
            <v>219</v>
          </cell>
          <cell r="T46">
            <v>3</v>
          </cell>
          <cell r="U46">
            <v>26</v>
          </cell>
          <cell r="V46">
            <v>164</v>
          </cell>
          <cell r="W46">
            <v>3</v>
          </cell>
          <cell r="X46">
            <v>23</v>
          </cell>
          <cell r="Y46">
            <v>219</v>
          </cell>
        </row>
        <row r="47">
          <cell r="B47">
            <v>45139</v>
          </cell>
          <cell r="D47">
            <v>204</v>
          </cell>
          <cell r="E47">
            <v>15</v>
          </cell>
          <cell r="F47">
            <v>219</v>
          </cell>
          <cell r="H47">
            <v>73</v>
          </cell>
          <cell r="I47">
            <v>146</v>
          </cell>
          <cell r="J47">
            <v>219</v>
          </cell>
          <cell r="L47">
            <v>29</v>
          </cell>
          <cell r="M47">
            <v>0</v>
          </cell>
          <cell r="N47">
            <v>175</v>
          </cell>
          <cell r="O47">
            <v>15</v>
          </cell>
          <cell r="P47">
            <v>219</v>
          </cell>
          <cell r="T47">
            <v>3</v>
          </cell>
          <cell r="U47">
            <v>26</v>
          </cell>
          <cell r="V47">
            <v>164</v>
          </cell>
          <cell r="W47">
            <v>3</v>
          </cell>
          <cell r="X47">
            <v>23</v>
          </cell>
          <cell r="Y47">
            <v>219</v>
          </cell>
        </row>
        <row r="48">
          <cell r="B48">
            <v>45170</v>
          </cell>
          <cell r="D48">
            <v>204</v>
          </cell>
          <cell r="E48">
            <v>17</v>
          </cell>
          <cell r="F48">
            <v>221</v>
          </cell>
          <cell r="H48">
            <v>73</v>
          </cell>
          <cell r="I48">
            <v>148</v>
          </cell>
          <cell r="J48">
            <v>221</v>
          </cell>
          <cell r="L48">
            <v>29</v>
          </cell>
          <cell r="M48">
            <v>0</v>
          </cell>
          <cell r="N48">
            <v>175</v>
          </cell>
          <cell r="O48">
            <v>17</v>
          </cell>
          <cell r="P48">
            <v>221</v>
          </cell>
          <cell r="T48">
            <v>3</v>
          </cell>
          <cell r="U48">
            <v>26</v>
          </cell>
          <cell r="V48">
            <v>166</v>
          </cell>
          <cell r="W48">
            <v>3</v>
          </cell>
          <cell r="X48">
            <v>23</v>
          </cell>
          <cell r="Y48">
            <v>221</v>
          </cell>
        </row>
        <row r="49">
          <cell r="B49">
            <v>45200</v>
          </cell>
          <cell r="D49">
            <v>204</v>
          </cell>
          <cell r="E49">
            <v>19</v>
          </cell>
          <cell r="F49">
            <v>223</v>
          </cell>
          <cell r="H49">
            <v>73</v>
          </cell>
          <cell r="I49">
            <v>150</v>
          </cell>
          <cell r="J49">
            <v>223</v>
          </cell>
          <cell r="L49">
            <v>29</v>
          </cell>
          <cell r="M49">
            <v>0</v>
          </cell>
          <cell r="N49">
            <v>175</v>
          </cell>
          <cell r="O49">
            <v>19</v>
          </cell>
          <cell r="P49">
            <v>223</v>
          </cell>
          <cell r="T49">
            <v>3</v>
          </cell>
          <cell r="U49">
            <v>26</v>
          </cell>
          <cell r="V49">
            <v>168</v>
          </cell>
          <cell r="W49">
            <v>3</v>
          </cell>
          <cell r="X49">
            <v>23</v>
          </cell>
          <cell r="Y49">
            <v>223</v>
          </cell>
        </row>
        <row r="50">
          <cell r="B50">
            <v>45231</v>
          </cell>
          <cell r="D50">
            <v>204</v>
          </cell>
          <cell r="E50">
            <v>19</v>
          </cell>
          <cell r="F50">
            <v>223</v>
          </cell>
          <cell r="H50">
            <v>73</v>
          </cell>
          <cell r="I50">
            <v>150</v>
          </cell>
          <cell r="J50">
            <v>223</v>
          </cell>
          <cell r="L50">
            <v>29</v>
          </cell>
          <cell r="M50">
            <v>0</v>
          </cell>
          <cell r="N50">
            <v>175</v>
          </cell>
          <cell r="O50">
            <v>19</v>
          </cell>
          <cell r="P50">
            <v>223</v>
          </cell>
          <cell r="T50">
            <v>3</v>
          </cell>
          <cell r="U50">
            <v>26</v>
          </cell>
          <cell r="V50">
            <v>168</v>
          </cell>
          <cell r="W50">
            <v>3</v>
          </cell>
          <cell r="X50">
            <v>23</v>
          </cell>
          <cell r="Y50">
            <v>223</v>
          </cell>
        </row>
        <row r="51">
          <cell r="B51">
            <v>45261</v>
          </cell>
          <cell r="D51">
            <v>204</v>
          </cell>
          <cell r="E51">
            <v>19</v>
          </cell>
          <cell r="F51">
            <v>223</v>
          </cell>
          <cell r="H51">
            <v>73</v>
          </cell>
          <cell r="I51">
            <v>150</v>
          </cell>
          <cell r="J51">
            <v>223</v>
          </cell>
          <cell r="L51">
            <v>29</v>
          </cell>
          <cell r="M51">
            <v>0</v>
          </cell>
          <cell r="N51">
            <v>175</v>
          </cell>
          <cell r="O51">
            <v>19</v>
          </cell>
          <cell r="P51">
            <v>223</v>
          </cell>
          <cell r="T51">
            <v>3</v>
          </cell>
          <cell r="U51">
            <v>26</v>
          </cell>
          <cell r="V51">
            <v>168</v>
          </cell>
          <cell r="W51">
            <v>3</v>
          </cell>
          <cell r="X51">
            <v>23</v>
          </cell>
          <cell r="Y51">
            <v>223</v>
          </cell>
        </row>
        <row r="53">
          <cell r="B53" t="str">
            <v>ANNUAL</v>
          </cell>
          <cell r="D53">
            <v>2448</v>
          </cell>
          <cell r="E53">
            <v>184</v>
          </cell>
          <cell r="F53">
            <v>2632</v>
          </cell>
          <cell r="G53">
            <v>0</v>
          </cell>
          <cell r="H53">
            <v>876</v>
          </cell>
          <cell r="I53">
            <v>1756</v>
          </cell>
          <cell r="J53">
            <v>2632</v>
          </cell>
          <cell r="K53">
            <v>0</v>
          </cell>
          <cell r="L53">
            <v>348</v>
          </cell>
          <cell r="M53">
            <v>0</v>
          </cell>
          <cell r="N53">
            <v>2100</v>
          </cell>
          <cell r="O53">
            <v>184</v>
          </cell>
          <cell r="P53">
            <v>2632</v>
          </cell>
          <cell r="Q53">
            <v>0</v>
          </cell>
          <cell r="T53">
            <v>36</v>
          </cell>
          <cell r="U53">
            <v>312</v>
          </cell>
          <cell r="V53">
            <v>1972</v>
          </cell>
          <cell r="W53">
            <v>36</v>
          </cell>
          <cell r="X53">
            <v>276</v>
          </cell>
          <cell r="Y53">
            <v>2632</v>
          </cell>
        </row>
        <row r="55">
          <cell r="B55">
            <v>45292</v>
          </cell>
          <cell r="D55">
            <v>204</v>
          </cell>
          <cell r="E55">
            <v>19</v>
          </cell>
          <cell r="F55">
            <v>223</v>
          </cell>
          <cell r="H55">
            <v>73</v>
          </cell>
          <cell r="I55">
            <v>150</v>
          </cell>
          <cell r="J55">
            <v>223</v>
          </cell>
          <cell r="L55">
            <v>29</v>
          </cell>
          <cell r="M55">
            <v>0</v>
          </cell>
          <cell r="N55">
            <v>175</v>
          </cell>
          <cell r="O55">
            <v>19</v>
          </cell>
          <cell r="P55">
            <v>223</v>
          </cell>
          <cell r="T55">
            <v>3</v>
          </cell>
          <cell r="U55">
            <v>26</v>
          </cell>
          <cell r="V55">
            <v>168</v>
          </cell>
          <cell r="W55">
            <v>3</v>
          </cell>
          <cell r="X55">
            <v>23</v>
          </cell>
          <cell r="Y55">
            <v>223</v>
          </cell>
        </row>
        <row r="56">
          <cell r="B56">
            <v>45323</v>
          </cell>
          <cell r="D56">
            <v>204</v>
          </cell>
          <cell r="E56">
            <v>19</v>
          </cell>
          <cell r="F56">
            <v>223</v>
          </cell>
          <cell r="H56">
            <v>73</v>
          </cell>
          <cell r="I56">
            <v>150</v>
          </cell>
          <cell r="J56">
            <v>223</v>
          </cell>
          <cell r="L56">
            <v>29</v>
          </cell>
          <cell r="M56">
            <v>0</v>
          </cell>
          <cell r="N56">
            <v>175</v>
          </cell>
          <cell r="O56">
            <v>19</v>
          </cell>
          <cell r="P56">
            <v>223</v>
          </cell>
          <cell r="T56">
            <v>3</v>
          </cell>
          <cell r="U56">
            <v>26</v>
          </cell>
          <cell r="V56">
            <v>168</v>
          </cell>
          <cell r="W56">
            <v>3</v>
          </cell>
          <cell r="X56">
            <v>23</v>
          </cell>
          <cell r="Y56">
            <v>223</v>
          </cell>
        </row>
        <row r="57">
          <cell r="B57">
            <v>45352</v>
          </cell>
          <cell r="D57">
            <v>204</v>
          </cell>
          <cell r="E57">
            <v>19</v>
          </cell>
          <cell r="F57">
            <v>223</v>
          </cell>
          <cell r="H57">
            <v>73</v>
          </cell>
          <cell r="I57">
            <v>150</v>
          </cell>
          <cell r="J57">
            <v>223</v>
          </cell>
          <cell r="L57">
            <v>29</v>
          </cell>
          <cell r="M57">
            <v>0</v>
          </cell>
          <cell r="N57">
            <v>175</v>
          </cell>
          <cell r="O57">
            <v>19</v>
          </cell>
          <cell r="P57">
            <v>223</v>
          </cell>
          <cell r="T57">
            <v>3</v>
          </cell>
          <cell r="U57">
            <v>26</v>
          </cell>
          <cell r="V57">
            <v>168</v>
          </cell>
          <cell r="W57">
            <v>3</v>
          </cell>
          <cell r="X57">
            <v>23</v>
          </cell>
          <cell r="Y57">
            <v>223</v>
          </cell>
        </row>
        <row r="58">
          <cell r="B58">
            <v>45383</v>
          </cell>
          <cell r="D58">
            <v>204</v>
          </cell>
          <cell r="E58">
            <v>19</v>
          </cell>
          <cell r="F58">
            <v>223</v>
          </cell>
          <cell r="H58">
            <v>73</v>
          </cell>
          <cell r="I58">
            <v>150</v>
          </cell>
          <cell r="J58">
            <v>223</v>
          </cell>
          <cell r="L58">
            <v>29</v>
          </cell>
          <cell r="M58">
            <v>0</v>
          </cell>
          <cell r="N58">
            <v>175</v>
          </cell>
          <cell r="O58">
            <v>19</v>
          </cell>
          <cell r="P58">
            <v>223</v>
          </cell>
          <cell r="T58">
            <v>3</v>
          </cell>
          <cell r="U58">
            <v>26</v>
          </cell>
          <cell r="V58">
            <v>168</v>
          </cell>
          <cell r="W58">
            <v>3</v>
          </cell>
          <cell r="X58">
            <v>23</v>
          </cell>
          <cell r="Y58">
            <v>223</v>
          </cell>
        </row>
        <row r="59">
          <cell r="B59">
            <v>45413</v>
          </cell>
          <cell r="D59">
            <v>204</v>
          </cell>
          <cell r="E59">
            <v>19</v>
          </cell>
          <cell r="F59">
            <v>223</v>
          </cell>
          <cell r="H59">
            <v>73</v>
          </cell>
          <cell r="I59">
            <v>150</v>
          </cell>
          <cell r="J59">
            <v>223</v>
          </cell>
          <cell r="L59">
            <v>29</v>
          </cell>
          <cell r="M59">
            <v>0</v>
          </cell>
          <cell r="N59">
            <v>175</v>
          </cell>
          <cell r="O59">
            <v>19</v>
          </cell>
          <cell r="P59">
            <v>223</v>
          </cell>
          <cell r="T59">
            <v>3</v>
          </cell>
          <cell r="U59">
            <v>26</v>
          </cell>
          <cell r="V59">
            <v>168</v>
          </cell>
          <cell r="W59">
            <v>3</v>
          </cell>
          <cell r="X59">
            <v>23</v>
          </cell>
          <cell r="Y59">
            <v>223</v>
          </cell>
        </row>
        <row r="60">
          <cell r="B60">
            <v>45444</v>
          </cell>
          <cell r="D60">
            <v>204</v>
          </cell>
          <cell r="E60">
            <v>20</v>
          </cell>
          <cell r="F60">
            <v>224</v>
          </cell>
          <cell r="H60">
            <v>74</v>
          </cell>
          <cell r="I60">
            <v>150</v>
          </cell>
          <cell r="J60">
            <v>224</v>
          </cell>
          <cell r="L60">
            <v>29</v>
          </cell>
          <cell r="M60">
            <v>1</v>
          </cell>
          <cell r="N60">
            <v>175</v>
          </cell>
          <cell r="O60">
            <v>19</v>
          </cell>
          <cell r="P60">
            <v>224</v>
          </cell>
          <cell r="T60">
            <v>3</v>
          </cell>
          <cell r="U60">
            <v>27</v>
          </cell>
          <cell r="V60">
            <v>168</v>
          </cell>
          <cell r="W60">
            <v>3</v>
          </cell>
          <cell r="X60">
            <v>23</v>
          </cell>
          <cell r="Y60">
            <v>224</v>
          </cell>
        </row>
        <row r="61">
          <cell r="B61">
            <v>45474</v>
          </cell>
          <cell r="D61">
            <v>204</v>
          </cell>
          <cell r="E61">
            <v>20</v>
          </cell>
          <cell r="F61">
            <v>224</v>
          </cell>
          <cell r="H61">
            <v>74</v>
          </cell>
          <cell r="I61">
            <v>150</v>
          </cell>
          <cell r="J61">
            <v>224</v>
          </cell>
          <cell r="L61">
            <v>29</v>
          </cell>
          <cell r="M61">
            <v>1</v>
          </cell>
          <cell r="N61">
            <v>175</v>
          </cell>
          <cell r="O61">
            <v>19</v>
          </cell>
          <cell r="P61">
            <v>224</v>
          </cell>
          <cell r="T61">
            <v>3</v>
          </cell>
          <cell r="U61">
            <v>27</v>
          </cell>
          <cell r="V61">
            <v>168</v>
          </cell>
          <cell r="W61">
            <v>3</v>
          </cell>
          <cell r="X61">
            <v>23</v>
          </cell>
          <cell r="Y61">
            <v>224</v>
          </cell>
        </row>
        <row r="62">
          <cell r="B62">
            <v>45505</v>
          </cell>
          <cell r="D62">
            <v>204</v>
          </cell>
          <cell r="E62">
            <v>20</v>
          </cell>
          <cell r="F62">
            <v>224</v>
          </cell>
          <cell r="H62">
            <v>74</v>
          </cell>
          <cell r="I62">
            <v>150</v>
          </cell>
          <cell r="J62">
            <v>224</v>
          </cell>
          <cell r="L62">
            <v>29</v>
          </cell>
          <cell r="M62">
            <v>1</v>
          </cell>
          <cell r="N62">
            <v>175</v>
          </cell>
          <cell r="O62">
            <v>19</v>
          </cell>
          <cell r="P62">
            <v>224</v>
          </cell>
          <cell r="T62">
            <v>3</v>
          </cell>
          <cell r="U62">
            <v>27</v>
          </cell>
          <cell r="V62">
            <v>168</v>
          </cell>
          <cell r="W62">
            <v>3</v>
          </cell>
          <cell r="X62">
            <v>23</v>
          </cell>
          <cell r="Y62">
            <v>224</v>
          </cell>
        </row>
        <row r="63">
          <cell r="B63">
            <v>45536</v>
          </cell>
          <cell r="D63">
            <v>204</v>
          </cell>
          <cell r="E63">
            <v>20</v>
          </cell>
          <cell r="F63">
            <v>224</v>
          </cell>
          <cell r="H63">
            <v>74</v>
          </cell>
          <cell r="I63">
            <v>150</v>
          </cell>
          <cell r="J63">
            <v>224</v>
          </cell>
          <cell r="L63">
            <v>29</v>
          </cell>
          <cell r="M63">
            <v>1</v>
          </cell>
          <cell r="N63">
            <v>175</v>
          </cell>
          <cell r="O63">
            <v>19</v>
          </cell>
          <cell r="P63">
            <v>224</v>
          </cell>
          <cell r="T63">
            <v>3</v>
          </cell>
          <cell r="U63">
            <v>27</v>
          </cell>
          <cell r="V63">
            <v>168</v>
          </cell>
          <cell r="W63">
            <v>3</v>
          </cell>
          <cell r="X63">
            <v>23</v>
          </cell>
          <cell r="Y63">
            <v>224</v>
          </cell>
        </row>
        <row r="64">
          <cell r="B64">
            <v>45566</v>
          </cell>
          <cell r="D64">
            <v>204</v>
          </cell>
          <cell r="E64">
            <v>20</v>
          </cell>
          <cell r="F64">
            <v>224</v>
          </cell>
          <cell r="H64">
            <v>74</v>
          </cell>
          <cell r="I64">
            <v>150</v>
          </cell>
          <cell r="J64">
            <v>224</v>
          </cell>
          <cell r="L64">
            <v>29</v>
          </cell>
          <cell r="M64">
            <v>1</v>
          </cell>
          <cell r="N64">
            <v>175</v>
          </cell>
          <cell r="O64">
            <v>19</v>
          </cell>
          <cell r="P64">
            <v>224</v>
          </cell>
          <cell r="T64">
            <v>3</v>
          </cell>
          <cell r="U64">
            <v>27</v>
          </cell>
          <cell r="V64">
            <v>168</v>
          </cell>
          <cell r="W64">
            <v>3</v>
          </cell>
          <cell r="X64">
            <v>23</v>
          </cell>
          <cell r="Y64">
            <v>224</v>
          </cell>
        </row>
        <row r="65">
          <cell r="B65">
            <v>45597</v>
          </cell>
          <cell r="D65">
            <v>204</v>
          </cell>
          <cell r="E65">
            <v>20</v>
          </cell>
          <cell r="F65">
            <v>224</v>
          </cell>
          <cell r="H65">
            <v>74</v>
          </cell>
          <cell r="I65">
            <v>150</v>
          </cell>
          <cell r="J65">
            <v>224</v>
          </cell>
          <cell r="L65">
            <v>29</v>
          </cell>
          <cell r="M65">
            <v>1</v>
          </cell>
          <cell r="N65">
            <v>175</v>
          </cell>
          <cell r="O65">
            <v>19</v>
          </cell>
          <cell r="P65">
            <v>224</v>
          </cell>
          <cell r="T65">
            <v>3</v>
          </cell>
          <cell r="U65">
            <v>27</v>
          </cell>
          <cell r="V65">
            <v>168</v>
          </cell>
          <cell r="W65">
            <v>3</v>
          </cell>
          <cell r="X65">
            <v>23</v>
          </cell>
          <cell r="Y65">
            <v>224</v>
          </cell>
        </row>
        <row r="66">
          <cell r="B66">
            <v>45627</v>
          </cell>
          <cell r="D66">
            <v>204</v>
          </cell>
          <cell r="E66">
            <v>20</v>
          </cell>
          <cell r="F66">
            <v>224</v>
          </cell>
          <cell r="H66">
            <v>74</v>
          </cell>
          <cell r="I66">
            <v>150</v>
          </cell>
          <cell r="J66">
            <v>224</v>
          </cell>
          <cell r="L66">
            <v>29</v>
          </cell>
          <cell r="M66">
            <v>1</v>
          </cell>
          <cell r="N66">
            <v>175</v>
          </cell>
          <cell r="O66">
            <v>19</v>
          </cell>
          <cell r="P66">
            <v>224</v>
          </cell>
          <cell r="T66">
            <v>3</v>
          </cell>
          <cell r="U66">
            <v>27</v>
          </cell>
          <cell r="V66">
            <v>168</v>
          </cell>
          <cell r="W66">
            <v>3</v>
          </cell>
          <cell r="X66">
            <v>23</v>
          </cell>
          <cell r="Y66">
            <v>224</v>
          </cell>
        </row>
        <row r="68">
          <cell r="B68" t="str">
            <v>ANNUAL</v>
          </cell>
          <cell r="D68">
            <v>2448</v>
          </cell>
          <cell r="E68">
            <v>235</v>
          </cell>
          <cell r="F68">
            <v>2683</v>
          </cell>
          <cell r="G68">
            <v>0</v>
          </cell>
          <cell r="H68">
            <v>883</v>
          </cell>
          <cell r="I68">
            <v>1800</v>
          </cell>
          <cell r="J68">
            <v>2683</v>
          </cell>
          <cell r="K68">
            <v>0</v>
          </cell>
          <cell r="L68">
            <v>348</v>
          </cell>
          <cell r="M68">
            <v>7</v>
          </cell>
          <cell r="N68">
            <v>2100</v>
          </cell>
          <cell r="O68">
            <v>228</v>
          </cell>
          <cell r="P68">
            <v>2683</v>
          </cell>
          <cell r="Q68">
            <v>0</v>
          </cell>
          <cell r="T68">
            <v>36</v>
          </cell>
          <cell r="U68">
            <v>319</v>
          </cell>
          <cell r="V68">
            <v>2016</v>
          </cell>
          <cell r="W68">
            <v>36</v>
          </cell>
          <cell r="X68">
            <v>276</v>
          </cell>
          <cell r="Y68">
            <v>2683</v>
          </cell>
        </row>
        <row r="70">
          <cell r="B70">
            <v>45658</v>
          </cell>
          <cell r="D70">
            <v>204</v>
          </cell>
          <cell r="E70">
            <v>20</v>
          </cell>
          <cell r="F70">
            <v>224</v>
          </cell>
          <cell r="H70">
            <v>74</v>
          </cell>
          <cell r="I70">
            <v>150</v>
          </cell>
          <cell r="J70">
            <v>224</v>
          </cell>
          <cell r="L70">
            <v>29</v>
          </cell>
          <cell r="M70">
            <v>1</v>
          </cell>
          <cell r="N70">
            <v>175</v>
          </cell>
          <cell r="O70">
            <v>19</v>
          </cell>
          <cell r="P70">
            <v>224</v>
          </cell>
          <cell r="T70">
            <v>3</v>
          </cell>
          <cell r="U70">
            <v>27</v>
          </cell>
          <cell r="V70">
            <v>168</v>
          </cell>
          <cell r="W70">
            <v>3</v>
          </cell>
          <cell r="X70">
            <v>23</v>
          </cell>
          <cell r="Y70">
            <v>224</v>
          </cell>
        </row>
        <row r="71">
          <cell r="B71">
            <v>45689</v>
          </cell>
          <cell r="D71">
            <v>204</v>
          </cell>
          <cell r="E71">
            <v>20</v>
          </cell>
          <cell r="F71">
            <v>224</v>
          </cell>
          <cell r="H71">
            <v>74</v>
          </cell>
          <cell r="I71">
            <v>150</v>
          </cell>
          <cell r="J71">
            <v>224</v>
          </cell>
          <cell r="L71">
            <v>29</v>
          </cell>
          <cell r="M71">
            <v>1</v>
          </cell>
          <cell r="N71">
            <v>175</v>
          </cell>
          <cell r="O71">
            <v>19</v>
          </cell>
          <cell r="P71">
            <v>224</v>
          </cell>
          <cell r="T71">
            <v>3</v>
          </cell>
          <cell r="U71">
            <v>27</v>
          </cell>
          <cell r="V71">
            <v>168</v>
          </cell>
          <cell r="W71">
            <v>3</v>
          </cell>
          <cell r="X71">
            <v>23</v>
          </cell>
          <cell r="Y71">
            <v>224</v>
          </cell>
        </row>
        <row r="72">
          <cell r="B72">
            <v>45717</v>
          </cell>
          <cell r="D72">
            <v>204</v>
          </cell>
          <cell r="E72">
            <v>20</v>
          </cell>
          <cell r="F72">
            <v>224</v>
          </cell>
          <cell r="H72">
            <v>74</v>
          </cell>
          <cell r="I72">
            <v>150</v>
          </cell>
          <cell r="J72">
            <v>224</v>
          </cell>
          <cell r="L72">
            <v>29</v>
          </cell>
          <cell r="M72">
            <v>1</v>
          </cell>
          <cell r="N72">
            <v>175</v>
          </cell>
          <cell r="O72">
            <v>19</v>
          </cell>
          <cell r="P72">
            <v>224</v>
          </cell>
          <cell r="T72">
            <v>3</v>
          </cell>
          <cell r="U72">
            <v>27</v>
          </cell>
          <cell r="V72">
            <v>168</v>
          </cell>
          <cell r="W72">
            <v>3</v>
          </cell>
          <cell r="X72">
            <v>23</v>
          </cell>
          <cell r="Y72">
            <v>224</v>
          </cell>
        </row>
        <row r="73">
          <cell r="B73">
            <v>45748</v>
          </cell>
          <cell r="D73">
            <v>204</v>
          </cell>
          <cell r="E73">
            <v>20</v>
          </cell>
          <cell r="F73">
            <v>224</v>
          </cell>
          <cell r="H73">
            <v>74</v>
          </cell>
          <cell r="I73">
            <v>150</v>
          </cell>
          <cell r="J73">
            <v>224</v>
          </cell>
          <cell r="L73">
            <v>29</v>
          </cell>
          <cell r="M73">
            <v>1</v>
          </cell>
          <cell r="N73">
            <v>175</v>
          </cell>
          <cell r="O73">
            <v>19</v>
          </cell>
          <cell r="P73">
            <v>224</v>
          </cell>
          <cell r="T73">
            <v>3</v>
          </cell>
          <cell r="U73">
            <v>27</v>
          </cell>
          <cell r="V73">
            <v>168</v>
          </cell>
          <cell r="W73">
            <v>3</v>
          </cell>
          <cell r="X73">
            <v>23</v>
          </cell>
          <cell r="Y73">
            <v>224</v>
          </cell>
        </row>
        <row r="74">
          <cell r="B74">
            <v>45778</v>
          </cell>
          <cell r="D74">
            <v>204</v>
          </cell>
          <cell r="E74">
            <v>20</v>
          </cell>
          <cell r="F74">
            <v>224</v>
          </cell>
          <cell r="H74">
            <v>74</v>
          </cell>
          <cell r="I74">
            <v>150</v>
          </cell>
          <cell r="J74">
            <v>224</v>
          </cell>
          <cell r="L74">
            <v>29</v>
          </cell>
          <cell r="M74">
            <v>1</v>
          </cell>
          <cell r="N74">
            <v>175</v>
          </cell>
          <cell r="O74">
            <v>19</v>
          </cell>
          <cell r="P74">
            <v>224</v>
          </cell>
          <cell r="T74">
            <v>3</v>
          </cell>
          <cell r="U74">
            <v>27</v>
          </cell>
          <cell r="V74">
            <v>168</v>
          </cell>
          <cell r="W74">
            <v>3</v>
          </cell>
          <cell r="X74">
            <v>23</v>
          </cell>
          <cell r="Y74">
            <v>224</v>
          </cell>
        </row>
        <row r="75">
          <cell r="B75">
            <v>45809</v>
          </cell>
          <cell r="D75">
            <v>204</v>
          </cell>
          <cell r="E75">
            <v>21</v>
          </cell>
          <cell r="F75">
            <v>225</v>
          </cell>
          <cell r="H75">
            <v>74</v>
          </cell>
          <cell r="I75">
            <v>151</v>
          </cell>
          <cell r="J75">
            <v>225</v>
          </cell>
          <cell r="L75">
            <v>29</v>
          </cell>
          <cell r="M75">
            <v>2</v>
          </cell>
          <cell r="N75">
            <v>175</v>
          </cell>
          <cell r="O75">
            <v>19</v>
          </cell>
          <cell r="P75">
            <v>225</v>
          </cell>
          <cell r="T75">
            <v>3</v>
          </cell>
          <cell r="U75">
            <v>28</v>
          </cell>
          <cell r="V75">
            <v>168</v>
          </cell>
          <cell r="W75">
            <v>3</v>
          </cell>
          <cell r="X75">
            <v>23</v>
          </cell>
          <cell r="Y75">
            <v>225</v>
          </cell>
        </row>
        <row r="76">
          <cell r="B76">
            <v>45839</v>
          </cell>
          <cell r="D76">
            <v>204</v>
          </cell>
          <cell r="E76">
            <v>21</v>
          </cell>
          <cell r="F76">
            <v>225</v>
          </cell>
          <cell r="H76">
            <v>74</v>
          </cell>
          <cell r="I76">
            <v>151</v>
          </cell>
          <cell r="J76">
            <v>225</v>
          </cell>
          <cell r="L76">
            <v>29</v>
          </cell>
          <cell r="M76">
            <v>2</v>
          </cell>
          <cell r="N76">
            <v>175</v>
          </cell>
          <cell r="O76">
            <v>19</v>
          </cell>
          <cell r="P76">
            <v>225</v>
          </cell>
          <cell r="T76">
            <v>3</v>
          </cell>
          <cell r="U76">
            <v>28</v>
          </cell>
          <cell r="V76">
            <v>168</v>
          </cell>
          <cell r="W76">
            <v>3</v>
          </cell>
          <cell r="X76">
            <v>23</v>
          </cell>
          <cell r="Y76">
            <v>225</v>
          </cell>
        </row>
        <row r="77">
          <cell r="B77">
            <v>45870</v>
          </cell>
          <cell r="D77">
            <v>204</v>
          </cell>
          <cell r="E77">
            <v>23</v>
          </cell>
          <cell r="F77">
            <v>227</v>
          </cell>
          <cell r="H77">
            <v>74</v>
          </cell>
          <cell r="I77">
            <v>153</v>
          </cell>
          <cell r="J77">
            <v>227</v>
          </cell>
          <cell r="L77">
            <v>29</v>
          </cell>
          <cell r="M77">
            <v>2</v>
          </cell>
          <cell r="N77">
            <v>175</v>
          </cell>
          <cell r="O77">
            <v>21</v>
          </cell>
          <cell r="P77">
            <v>227</v>
          </cell>
          <cell r="T77">
            <v>3</v>
          </cell>
          <cell r="U77">
            <v>28</v>
          </cell>
          <cell r="V77">
            <v>170</v>
          </cell>
          <cell r="W77">
            <v>3</v>
          </cell>
          <cell r="X77">
            <v>23</v>
          </cell>
          <cell r="Y77">
            <v>227</v>
          </cell>
        </row>
        <row r="78">
          <cell r="B78">
            <v>45901</v>
          </cell>
          <cell r="D78">
            <v>204</v>
          </cell>
          <cell r="E78">
            <v>23</v>
          </cell>
          <cell r="F78">
            <v>227</v>
          </cell>
          <cell r="H78">
            <v>74</v>
          </cell>
          <cell r="I78">
            <v>153</v>
          </cell>
          <cell r="J78">
            <v>227</v>
          </cell>
          <cell r="L78">
            <v>29</v>
          </cell>
          <cell r="M78">
            <v>2</v>
          </cell>
          <cell r="N78">
            <v>175</v>
          </cell>
          <cell r="O78">
            <v>21</v>
          </cell>
          <cell r="P78">
            <v>227</v>
          </cell>
          <cell r="T78">
            <v>3</v>
          </cell>
          <cell r="U78">
            <v>28</v>
          </cell>
          <cell r="V78">
            <v>170</v>
          </cell>
          <cell r="W78">
            <v>3</v>
          </cell>
          <cell r="X78">
            <v>23</v>
          </cell>
          <cell r="Y78">
            <v>227</v>
          </cell>
        </row>
        <row r="79">
          <cell r="B79">
            <v>45931</v>
          </cell>
          <cell r="D79">
            <v>204</v>
          </cell>
          <cell r="E79">
            <v>23</v>
          </cell>
          <cell r="F79">
            <v>227</v>
          </cell>
          <cell r="H79">
            <v>74</v>
          </cell>
          <cell r="I79">
            <v>153</v>
          </cell>
          <cell r="J79">
            <v>227</v>
          </cell>
          <cell r="L79">
            <v>29</v>
          </cell>
          <cell r="M79">
            <v>2</v>
          </cell>
          <cell r="N79">
            <v>175</v>
          </cell>
          <cell r="O79">
            <v>21</v>
          </cell>
          <cell r="P79">
            <v>227</v>
          </cell>
          <cell r="T79">
            <v>3</v>
          </cell>
          <cell r="U79">
            <v>28</v>
          </cell>
          <cell r="V79">
            <v>170</v>
          </cell>
          <cell r="W79">
            <v>3</v>
          </cell>
          <cell r="X79">
            <v>23</v>
          </cell>
          <cell r="Y79">
            <v>227</v>
          </cell>
        </row>
        <row r="80">
          <cell r="B80">
            <v>45962</v>
          </cell>
          <cell r="D80">
            <v>204</v>
          </cell>
          <cell r="E80">
            <v>23</v>
          </cell>
          <cell r="F80">
            <v>227</v>
          </cell>
          <cell r="H80">
            <v>74</v>
          </cell>
          <cell r="I80">
            <v>153</v>
          </cell>
          <cell r="J80">
            <v>227</v>
          </cell>
          <cell r="L80">
            <v>29</v>
          </cell>
          <cell r="M80">
            <v>2</v>
          </cell>
          <cell r="N80">
            <v>175</v>
          </cell>
          <cell r="O80">
            <v>21</v>
          </cell>
          <cell r="P80">
            <v>227</v>
          </cell>
          <cell r="T80">
            <v>3</v>
          </cell>
          <cell r="U80">
            <v>28</v>
          </cell>
          <cell r="V80">
            <v>170</v>
          </cell>
          <cell r="W80">
            <v>3</v>
          </cell>
          <cell r="X80">
            <v>23</v>
          </cell>
          <cell r="Y80">
            <v>227</v>
          </cell>
        </row>
        <row r="81">
          <cell r="B81">
            <v>45992</v>
          </cell>
          <cell r="D81">
            <v>204</v>
          </cell>
          <cell r="E81">
            <v>23</v>
          </cell>
          <cell r="F81">
            <v>227</v>
          </cell>
          <cell r="H81">
            <v>74</v>
          </cell>
          <cell r="I81">
            <v>153</v>
          </cell>
          <cell r="J81">
            <v>227</v>
          </cell>
          <cell r="L81">
            <v>29</v>
          </cell>
          <cell r="M81">
            <v>2</v>
          </cell>
          <cell r="N81">
            <v>175</v>
          </cell>
          <cell r="O81">
            <v>21</v>
          </cell>
          <cell r="P81">
            <v>227</v>
          </cell>
          <cell r="T81">
            <v>3</v>
          </cell>
          <cell r="U81">
            <v>28</v>
          </cell>
          <cell r="V81">
            <v>170</v>
          </cell>
          <cell r="W81">
            <v>3</v>
          </cell>
          <cell r="X81">
            <v>23</v>
          </cell>
          <cell r="Y81">
            <v>227</v>
          </cell>
        </row>
        <row r="83">
          <cell r="B83" t="str">
            <v>ANNUAL</v>
          </cell>
          <cell r="D83">
            <v>2448</v>
          </cell>
          <cell r="E83">
            <v>257</v>
          </cell>
          <cell r="F83">
            <v>2705</v>
          </cell>
          <cell r="G83">
            <v>0</v>
          </cell>
          <cell r="H83">
            <v>888</v>
          </cell>
          <cell r="I83">
            <v>1817</v>
          </cell>
          <cell r="J83">
            <v>2705</v>
          </cell>
          <cell r="K83">
            <v>0</v>
          </cell>
          <cell r="L83">
            <v>348</v>
          </cell>
          <cell r="M83">
            <v>19</v>
          </cell>
          <cell r="N83">
            <v>2100</v>
          </cell>
          <cell r="O83">
            <v>238</v>
          </cell>
          <cell r="P83">
            <v>2705</v>
          </cell>
          <cell r="Q83">
            <v>0</v>
          </cell>
          <cell r="T83">
            <v>36</v>
          </cell>
          <cell r="U83">
            <v>331</v>
          </cell>
          <cell r="V83">
            <v>2026</v>
          </cell>
          <cell r="W83">
            <v>36</v>
          </cell>
          <cell r="X83">
            <v>276</v>
          </cell>
          <cell r="Y83">
            <v>2705</v>
          </cell>
        </row>
        <row r="85">
          <cell r="B85">
            <v>46023</v>
          </cell>
          <cell r="D85">
            <v>204</v>
          </cell>
          <cell r="E85">
            <v>23</v>
          </cell>
          <cell r="F85">
            <v>227</v>
          </cell>
          <cell r="H85">
            <v>74</v>
          </cell>
          <cell r="I85">
            <v>153</v>
          </cell>
          <cell r="J85">
            <v>227</v>
          </cell>
          <cell r="L85">
            <v>29</v>
          </cell>
          <cell r="M85">
            <v>2</v>
          </cell>
          <cell r="N85">
            <v>175</v>
          </cell>
          <cell r="O85">
            <v>21</v>
          </cell>
          <cell r="P85">
            <v>227</v>
          </cell>
          <cell r="T85">
            <v>3</v>
          </cell>
          <cell r="U85">
            <v>28</v>
          </cell>
          <cell r="V85">
            <v>170</v>
          </cell>
          <cell r="W85">
            <v>3</v>
          </cell>
          <cell r="X85">
            <v>23</v>
          </cell>
          <cell r="Y85">
            <v>227</v>
          </cell>
        </row>
        <row r="86">
          <cell r="B86">
            <v>46054</v>
          </cell>
          <cell r="D86">
            <v>204</v>
          </cell>
          <cell r="E86">
            <v>23</v>
          </cell>
          <cell r="F86">
            <v>227</v>
          </cell>
          <cell r="H86">
            <v>74</v>
          </cell>
          <cell r="I86">
            <v>153</v>
          </cell>
          <cell r="J86">
            <v>227</v>
          </cell>
          <cell r="L86">
            <v>29</v>
          </cell>
          <cell r="M86">
            <v>2</v>
          </cell>
          <cell r="N86">
            <v>175</v>
          </cell>
          <cell r="O86">
            <v>21</v>
          </cell>
          <cell r="P86">
            <v>227</v>
          </cell>
          <cell r="T86">
            <v>3</v>
          </cell>
          <cell r="U86">
            <v>28</v>
          </cell>
          <cell r="V86">
            <v>170</v>
          </cell>
          <cell r="W86">
            <v>3</v>
          </cell>
          <cell r="X86">
            <v>23</v>
          </cell>
          <cell r="Y86">
            <v>227</v>
          </cell>
        </row>
        <row r="87">
          <cell r="B87">
            <v>46082</v>
          </cell>
          <cell r="D87">
            <v>204</v>
          </cell>
          <cell r="E87">
            <v>23</v>
          </cell>
          <cell r="F87">
            <v>227</v>
          </cell>
          <cell r="H87">
            <v>74</v>
          </cell>
          <cell r="I87">
            <v>153</v>
          </cell>
          <cell r="J87">
            <v>227</v>
          </cell>
          <cell r="L87">
            <v>29</v>
          </cell>
          <cell r="M87">
            <v>2</v>
          </cell>
          <cell r="N87">
            <v>175</v>
          </cell>
          <cell r="O87">
            <v>21</v>
          </cell>
          <cell r="P87">
            <v>227</v>
          </cell>
          <cell r="T87">
            <v>3</v>
          </cell>
          <cell r="U87">
            <v>28</v>
          </cell>
          <cell r="V87">
            <v>170</v>
          </cell>
          <cell r="W87">
            <v>3</v>
          </cell>
          <cell r="X87">
            <v>23</v>
          </cell>
          <cell r="Y87">
            <v>227</v>
          </cell>
        </row>
        <row r="88">
          <cell r="B88">
            <v>46113</v>
          </cell>
          <cell r="D88">
            <v>204</v>
          </cell>
          <cell r="E88">
            <v>23</v>
          </cell>
          <cell r="F88">
            <v>227</v>
          </cell>
          <cell r="H88">
            <v>74</v>
          </cell>
          <cell r="I88">
            <v>153</v>
          </cell>
          <cell r="J88">
            <v>227</v>
          </cell>
          <cell r="L88">
            <v>29</v>
          </cell>
          <cell r="M88">
            <v>2</v>
          </cell>
          <cell r="N88">
            <v>175</v>
          </cell>
          <cell r="O88">
            <v>21</v>
          </cell>
          <cell r="P88">
            <v>227</v>
          </cell>
          <cell r="T88">
            <v>3</v>
          </cell>
          <cell r="U88">
            <v>28</v>
          </cell>
          <cell r="V88">
            <v>170</v>
          </cell>
          <cell r="W88">
            <v>3</v>
          </cell>
          <cell r="X88">
            <v>23</v>
          </cell>
          <cell r="Y88">
            <v>227</v>
          </cell>
        </row>
        <row r="89">
          <cell r="B89">
            <v>46143</v>
          </cell>
          <cell r="D89">
            <v>204</v>
          </cell>
          <cell r="E89">
            <v>23</v>
          </cell>
          <cell r="F89">
            <v>227</v>
          </cell>
          <cell r="H89">
            <v>74</v>
          </cell>
          <cell r="I89">
            <v>153</v>
          </cell>
          <cell r="J89">
            <v>227</v>
          </cell>
          <cell r="L89">
            <v>29</v>
          </cell>
          <cell r="M89">
            <v>2</v>
          </cell>
          <cell r="N89">
            <v>175</v>
          </cell>
          <cell r="O89">
            <v>21</v>
          </cell>
          <cell r="P89">
            <v>227</v>
          </cell>
          <cell r="T89">
            <v>3</v>
          </cell>
          <cell r="U89">
            <v>28</v>
          </cell>
          <cell r="V89">
            <v>170</v>
          </cell>
          <cell r="W89">
            <v>3</v>
          </cell>
          <cell r="X89">
            <v>23</v>
          </cell>
          <cell r="Y89">
            <v>227</v>
          </cell>
        </row>
        <row r="90">
          <cell r="B90">
            <v>46174</v>
          </cell>
          <cell r="D90">
            <v>204</v>
          </cell>
          <cell r="E90">
            <v>23</v>
          </cell>
          <cell r="F90">
            <v>227</v>
          </cell>
          <cell r="H90">
            <v>74</v>
          </cell>
          <cell r="I90">
            <v>153</v>
          </cell>
          <cell r="J90">
            <v>227</v>
          </cell>
          <cell r="L90">
            <v>29</v>
          </cell>
          <cell r="M90">
            <v>2</v>
          </cell>
          <cell r="N90">
            <v>175</v>
          </cell>
          <cell r="O90">
            <v>21</v>
          </cell>
          <cell r="P90">
            <v>227</v>
          </cell>
          <cell r="T90">
            <v>3</v>
          </cell>
          <cell r="U90">
            <v>28</v>
          </cell>
          <cell r="V90">
            <v>170</v>
          </cell>
          <cell r="W90">
            <v>3</v>
          </cell>
          <cell r="X90">
            <v>23</v>
          </cell>
          <cell r="Y90">
            <v>227</v>
          </cell>
        </row>
        <row r="91">
          <cell r="B91">
            <v>46204</v>
          </cell>
          <cell r="D91">
            <v>204</v>
          </cell>
          <cell r="E91">
            <v>23</v>
          </cell>
          <cell r="F91">
            <v>227</v>
          </cell>
          <cell r="H91">
            <v>74</v>
          </cell>
          <cell r="I91">
            <v>153</v>
          </cell>
          <cell r="J91">
            <v>227</v>
          </cell>
          <cell r="L91">
            <v>29</v>
          </cell>
          <cell r="M91">
            <v>2</v>
          </cell>
          <cell r="N91">
            <v>175</v>
          </cell>
          <cell r="O91">
            <v>21</v>
          </cell>
          <cell r="P91">
            <v>227</v>
          </cell>
          <cell r="T91">
            <v>3</v>
          </cell>
          <cell r="U91">
            <v>28</v>
          </cell>
          <cell r="V91">
            <v>170</v>
          </cell>
          <cell r="W91">
            <v>3</v>
          </cell>
          <cell r="X91">
            <v>23</v>
          </cell>
          <cell r="Y91">
            <v>227</v>
          </cell>
        </row>
        <row r="92">
          <cell r="B92">
            <v>46235</v>
          </cell>
          <cell r="D92">
            <v>204</v>
          </cell>
          <cell r="E92">
            <v>23</v>
          </cell>
          <cell r="F92">
            <v>227</v>
          </cell>
          <cell r="H92">
            <v>74</v>
          </cell>
          <cell r="I92">
            <v>153</v>
          </cell>
          <cell r="J92">
            <v>227</v>
          </cell>
          <cell r="L92">
            <v>29</v>
          </cell>
          <cell r="M92">
            <v>2</v>
          </cell>
          <cell r="N92">
            <v>175</v>
          </cell>
          <cell r="O92">
            <v>21</v>
          </cell>
          <cell r="P92">
            <v>227</v>
          </cell>
          <cell r="T92">
            <v>3</v>
          </cell>
          <cell r="U92">
            <v>28</v>
          </cell>
          <cell r="V92">
            <v>170</v>
          </cell>
          <cell r="W92">
            <v>3</v>
          </cell>
          <cell r="X92">
            <v>23</v>
          </cell>
          <cell r="Y92">
            <v>227</v>
          </cell>
        </row>
        <row r="93">
          <cell r="B93">
            <v>46266</v>
          </cell>
          <cell r="D93">
            <v>204</v>
          </cell>
          <cell r="E93">
            <v>23</v>
          </cell>
          <cell r="F93">
            <v>227</v>
          </cell>
          <cell r="H93">
            <v>74</v>
          </cell>
          <cell r="I93">
            <v>153</v>
          </cell>
          <cell r="J93">
            <v>227</v>
          </cell>
          <cell r="L93">
            <v>29</v>
          </cell>
          <cell r="M93">
            <v>2</v>
          </cell>
          <cell r="N93">
            <v>175</v>
          </cell>
          <cell r="O93">
            <v>21</v>
          </cell>
          <cell r="P93">
            <v>227</v>
          </cell>
          <cell r="T93">
            <v>3</v>
          </cell>
          <cell r="U93">
            <v>28</v>
          </cell>
          <cell r="V93">
            <v>170</v>
          </cell>
          <cell r="W93">
            <v>3</v>
          </cell>
          <cell r="X93">
            <v>23</v>
          </cell>
          <cell r="Y93">
            <v>227</v>
          </cell>
        </row>
        <row r="94">
          <cell r="B94">
            <v>46296</v>
          </cell>
          <cell r="D94">
            <v>204</v>
          </cell>
          <cell r="E94">
            <v>23</v>
          </cell>
          <cell r="F94">
            <v>227</v>
          </cell>
          <cell r="H94">
            <v>74</v>
          </cell>
          <cell r="I94">
            <v>153</v>
          </cell>
          <cell r="J94">
            <v>227</v>
          </cell>
          <cell r="L94">
            <v>29</v>
          </cell>
          <cell r="M94">
            <v>2</v>
          </cell>
          <cell r="N94">
            <v>175</v>
          </cell>
          <cell r="O94">
            <v>21</v>
          </cell>
          <cell r="P94">
            <v>227</v>
          </cell>
          <cell r="T94">
            <v>3</v>
          </cell>
          <cell r="U94">
            <v>28</v>
          </cell>
          <cell r="V94">
            <v>170</v>
          </cell>
          <cell r="W94">
            <v>3</v>
          </cell>
          <cell r="X94">
            <v>23</v>
          </cell>
          <cell r="Y94">
            <v>227</v>
          </cell>
        </row>
        <row r="95">
          <cell r="B95">
            <v>46327</v>
          </cell>
          <cell r="D95">
            <v>204</v>
          </cell>
          <cell r="E95">
            <v>23</v>
          </cell>
          <cell r="F95">
            <v>227</v>
          </cell>
          <cell r="H95">
            <v>74</v>
          </cell>
          <cell r="I95">
            <v>153</v>
          </cell>
          <cell r="J95">
            <v>227</v>
          </cell>
          <cell r="L95">
            <v>29</v>
          </cell>
          <cell r="M95">
            <v>2</v>
          </cell>
          <cell r="N95">
            <v>175</v>
          </cell>
          <cell r="O95">
            <v>21</v>
          </cell>
          <cell r="P95">
            <v>227</v>
          </cell>
          <cell r="T95">
            <v>3</v>
          </cell>
          <cell r="U95">
            <v>28</v>
          </cell>
          <cell r="V95">
            <v>170</v>
          </cell>
          <cell r="W95">
            <v>3</v>
          </cell>
          <cell r="X95">
            <v>23</v>
          </cell>
          <cell r="Y95">
            <v>227</v>
          </cell>
        </row>
        <row r="96">
          <cell r="B96">
            <v>46357</v>
          </cell>
          <cell r="D96">
            <v>204</v>
          </cell>
          <cell r="E96">
            <v>23</v>
          </cell>
          <cell r="F96">
            <v>227</v>
          </cell>
          <cell r="H96">
            <v>74</v>
          </cell>
          <cell r="I96">
            <v>153</v>
          </cell>
          <cell r="J96">
            <v>227</v>
          </cell>
          <cell r="L96">
            <v>29</v>
          </cell>
          <cell r="M96">
            <v>2</v>
          </cell>
          <cell r="N96">
            <v>175</v>
          </cell>
          <cell r="O96">
            <v>21</v>
          </cell>
          <cell r="P96">
            <v>227</v>
          </cell>
          <cell r="T96">
            <v>3</v>
          </cell>
          <cell r="U96">
            <v>28</v>
          </cell>
          <cell r="V96">
            <v>170</v>
          </cell>
          <cell r="W96">
            <v>3</v>
          </cell>
          <cell r="X96">
            <v>23</v>
          </cell>
          <cell r="Y96">
            <v>227</v>
          </cell>
        </row>
        <row r="98">
          <cell r="B98" t="str">
            <v>ANNUAL</v>
          </cell>
          <cell r="D98">
            <v>2448</v>
          </cell>
          <cell r="E98">
            <v>276</v>
          </cell>
          <cell r="F98">
            <v>2724</v>
          </cell>
          <cell r="G98">
            <v>0</v>
          </cell>
          <cell r="H98">
            <v>888</v>
          </cell>
          <cell r="I98">
            <v>1836</v>
          </cell>
          <cell r="J98">
            <v>2724</v>
          </cell>
          <cell r="K98">
            <v>0</v>
          </cell>
          <cell r="L98">
            <v>348</v>
          </cell>
          <cell r="M98">
            <v>24</v>
          </cell>
          <cell r="N98">
            <v>2100</v>
          </cell>
          <cell r="O98">
            <v>252</v>
          </cell>
          <cell r="P98">
            <v>2724</v>
          </cell>
          <cell r="Q98">
            <v>0</v>
          </cell>
          <cell r="T98">
            <v>36</v>
          </cell>
          <cell r="U98">
            <v>336</v>
          </cell>
          <cell r="V98">
            <v>2040</v>
          </cell>
          <cell r="W98">
            <v>36</v>
          </cell>
          <cell r="X98">
            <v>276</v>
          </cell>
          <cell r="Y98">
            <v>2724</v>
          </cell>
        </row>
        <row r="100">
          <cell r="B100">
            <v>46388</v>
          </cell>
          <cell r="D100">
            <v>204</v>
          </cell>
          <cell r="E100">
            <v>23</v>
          </cell>
          <cell r="F100">
            <v>227</v>
          </cell>
          <cell r="H100">
            <v>74</v>
          </cell>
          <cell r="I100">
            <v>153</v>
          </cell>
          <cell r="J100">
            <v>227</v>
          </cell>
          <cell r="L100">
            <v>29</v>
          </cell>
          <cell r="M100">
            <v>2</v>
          </cell>
          <cell r="N100">
            <v>175</v>
          </cell>
          <cell r="O100">
            <v>21</v>
          </cell>
          <cell r="P100">
            <v>227</v>
          </cell>
          <cell r="T100">
            <v>3</v>
          </cell>
          <cell r="U100">
            <v>28</v>
          </cell>
          <cell r="V100">
            <v>170</v>
          </cell>
          <cell r="W100">
            <v>3</v>
          </cell>
          <cell r="X100">
            <v>23</v>
          </cell>
          <cell r="Y100">
            <v>227</v>
          </cell>
        </row>
        <row r="101">
          <cell r="B101">
            <v>46419</v>
          </cell>
          <cell r="D101">
            <v>204</v>
          </cell>
          <cell r="E101">
            <v>23</v>
          </cell>
          <cell r="F101">
            <v>227</v>
          </cell>
          <cell r="H101">
            <v>74</v>
          </cell>
          <cell r="I101">
            <v>153</v>
          </cell>
          <cell r="J101">
            <v>227</v>
          </cell>
          <cell r="L101">
            <v>29</v>
          </cell>
          <cell r="M101">
            <v>2</v>
          </cell>
          <cell r="N101">
            <v>175</v>
          </cell>
          <cell r="O101">
            <v>21</v>
          </cell>
          <cell r="P101">
            <v>227</v>
          </cell>
          <cell r="T101">
            <v>3</v>
          </cell>
          <cell r="U101">
            <v>28</v>
          </cell>
          <cell r="V101">
            <v>170</v>
          </cell>
          <cell r="W101">
            <v>3</v>
          </cell>
          <cell r="X101">
            <v>23</v>
          </cell>
          <cell r="Y101">
            <v>227</v>
          </cell>
        </row>
        <row r="102">
          <cell r="B102">
            <v>46447</v>
          </cell>
          <cell r="D102">
            <v>204</v>
          </cell>
          <cell r="E102">
            <v>23</v>
          </cell>
          <cell r="F102">
            <v>227</v>
          </cell>
          <cell r="H102">
            <v>74</v>
          </cell>
          <cell r="I102">
            <v>153</v>
          </cell>
          <cell r="J102">
            <v>227</v>
          </cell>
          <cell r="L102">
            <v>29</v>
          </cell>
          <cell r="M102">
            <v>2</v>
          </cell>
          <cell r="N102">
            <v>175</v>
          </cell>
          <cell r="O102">
            <v>21</v>
          </cell>
          <cell r="P102">
            <v>227</v>
          </cell>
          <cell r="T102">
            <v>3</v>
          </cell>
          <cell r="U102">
            <v>28</v>
          </cell>
          <cell r="V102">
            <v>170</v>
          </cell>
          <cell r="W102">
            <v>3</v>
          </cell>
          <cell r="X102">
            <v>23</v>
          </cell>
          <cell r="Y102">
            <v>227</v>
          </cell>
        </row>
        <row r="103">
          <cell r="B103">
            <v>46478</v>
          </cell>
          <cell r="D103">
            <v>204</v>
          </cell>
          <cell r="E103">
            <v>23</v>
          </cell>
          <cell r="F103">
            <v>227</v>
          </cell>
          <cell r="H103">
            <v>74</v>
          </cell>
          <cell r="I103">
            <v>153</v>
          </cell>
          <cell r="J103">
            <v>227</v>
          </cell>
          <cell r="L103">
            <v>29</v>
          </cell>
          <cell r="M103">
            <v>2</v>
          </cell>
          <cell r="N103">
            <v>175</v>
          </cell>
          <cell r="O103">
            <v>21</v>
          </cell>
          <cell r="P103">
            <v>227</v>
          </cell>
          <cell r="T103">
            <v>3</v>
          </cell>
          <cell r="U103">
            <v>28</v>
          </cell>
          <cell r="V103">
            <v>170</v>
          </cell>
          <cell r="W103">
            <v>3</v>
          </cell>
          <cell r="X103">
            <v>23</v>
          </cell>
          <cell r="Y103">
            <v>227</v>
          </cell>
        </row>
        <row r="104">
          <cell r="B104">
            <v>46508</v>
          </cell>
          <cell r="D104">
            <v>204</v>
          </cell>
          <cell r="E104">
            <v>23</v>
          </cell>
          <cell r="F104">
            <v>227</v>
          </cell>
          <cell r="H104">
            <v>74</v>
          </cell>
          <cell r="I104">
            <v>153</v>
          </cell>
          <cell r="J104">
            <v>227</v>
          </cell>
          <cell r="L104">
            <v>29</v>
          </cell>
          <cell r="M104">
            <v>2</v>
          </cell>
          <cell r="N104">
            <v>175</v>
          </cell>
          <cell r="O104">
            <v>21</v>
          </cell>
          <cell r="P104">
            <v>227</v>
          </cell>
          <cell r="T104">
            <v>3</v>
          </cell>
          <cell r="U104">
            <v>28</v>
          </cell>
          <cell r="V104">
            <v>170</v>
          </cell>
          <cell r="W104">
            <v>3</v>
          </cell>
          <cell r="X104">
            <v>23</v>
          </cell>
          <cell r="Y104">
            <v>227</v>
          </cell>
        </row>
        <row r="105">
          <cell r="B105">
            <v>46539</v>
          </cell>
          <cell r="D105">
            <v>204</v>
          </cell>
          <cell r="E105">
            <v>23</v>
          </cell>
          <cell r="F105">
            <v>227</v>
          </cell>
          <cell r="H105">
            <v>74</v>
          </cell>
          <cell r="I105">
            <v>153</v>
          </cell>
          <cell r="J105">
            <v>227</v>
          </cell>
          <cell r="L105">
            <v>29</v>
          </cell>
          <cell r="M105">
            <v>2</v>
          </cell>
          <cell r="N105">
            <v>175</v>
          </cell>
          <cell r="O105">
            <v>21</v>
          </cell>
          <cell r="P105">
            <v>227</v>
          </cell>
          <cell r="T105">
            <v>3</v>
          </cell>
          <cell r="U105">
            <v>28</v>
          </cell>
          <cell r="V105">
            <v>170</v>
          </cell>
          <cell r="W105">
            <v>3</v>
          </cell>
          <cell r="X105">
            <v>23</v>
          </cell>
          <cell r="Y105">
            <v>227</v>
          </cell>
        </row>
        <row r="106">
          <cell r="B106">
            <v>46569</v>
          </cell>
          <cell r="D106">
            <v>204</v>
          </cell>
          <cell r="E106">
            <v>23</v>
          </cell>
          <cell r="F106">
            <v>227</v>
          </cell>
          <cell r="H106">
            <v>74</v>
          </cell>
          <cell r="I106">
            <v>153</v>
          </cell>
          <cell r="J106">
            <v>227</v>
          </cell>
          <cell r="L106">
            <v>29</v>
          </cell>
          <cell r="M106">
            <v>2</v>
          </cell>
          <cell r="N106">
            <v>175</v>
          </cell>
          <cell r="O106">
            <v>21</v>
          </cell>
          <cell r="P106">
            <v>227</v>
          </cell>
          <cell r="T106">
            <v>3</v>
          </cell>
          <cell r="U106">
            <v>28</v>
          </cell>
          <cell r="V106">
            <v>170</v>
          </cell>
          <cell r="W106">
            <v>3</v>
          </cell>
          <cell r="X106">
            <v>23</v>
          </cell>
          <cell r="Y106">
            <v>227</v>
          </cell>
        </row>
        <row r="107">
          <cell r="B107">
            <v>46600</v>
          </cell>
          <cell r="D107">
            <v>204</v>
          </cell>
          <cell r="E107">
            <v>23</v>
          </cell>
          <cell r="F107">
            <v>227</v>
          </cell>
          <cell r="H107">
            <v>74</v>
          </cell>
          <cell r="I107">
            <v>153</v>
          </cell>
          <cell r="J107">
            <v>227</v>
          </cell>
          <cell r="L107">
            <v>29</v>
          </cell>
          <cell r="M107">
            <v>2</v>
          </cell>
          <cell r="N107">
            <v>175</v>
          </cell>
          <cell r="O107">
            <v>21</v>
          </cell>
          <cell r="P107">
            <v>227</v>
          </cell>
          <cell r="T107">
            <v>3</v>
          </cell>
          <cell r="U107">
            <v>28</v>
          </cell>
          <cell r="V107">
            <v>170</v>
          </cell>
          <cell r="W107">
            <v>3</v>
          </cell>
          <cell r="X107">
            <v>23</v>
          </cell>
          <cell r="Y107">
            <v>227</v>
          </cell>
        </row>
        <row r="108">
          <cell r="B108">
            <v>46631</v>
          </cell>
          <cell r="D108">
            <v>204</v>
          </cell>
          <cell r="E108">
            <v>23</v>
          </cell>
          <cell r="F108">
            <v>227</v>
          </cell>
          <cell r="H108">
            <v>74</v>
          </cell>
          <cell r="I108">
            <v>153</v>
          </cell>
          <cell r="J108">
            <v>227</v>
          </cell>
          <cell r="L108">
            <v>29</v>
          </cell>
          <cell r="M108">
            <v>2</v>
          </cell>
          <cell r="N108">
            <v>175</v>
          </cell>
          <cell r="O108">
            <v>21</v>
          </cell>
          <cell r="P108">
            <v>227</v>
          </cell>
          <cell r="T108">
            <v>3</v>
          </cell>
          <cell r="U108">
            <v>28</v>
          </cell>
          <cell r="V108">
            <v>170</v>
          </cell>
          <cell r="W108">
            <v>3</v>
          </cell>
          <cell r="X108">
            <v>23</v>
          </cell>
          <cell r="Y108">
            <v>227</v>
          </cell>
        </row>
        <row r="109">
          <cell r="B109">
            <v>46661</v>
          </cell>
          <cell r="D109">
            <v>204</v>
          </cell>
          <cell r="E109">
            <v>23</v>
          </cell>
          <cell r="F109">
            <v>227</v>
          </cell>
          <cell r="H109">
            <v>74</v>
          </cell>
          <cell r="I109">
            <v>153</v>
          </cell>
          <cell r="J109">
            <v>227</v>
          </cell>
          <cell r="L109">
            <v>29</v>
          </cell>
          <cell r="M109">
            <v>2</v>
          </cell>
          <cell r="N109">
            <v>175</v>
          </cell>
          <cell r="O109">
            <v>21</v>
          </cell>
          <cell r="P109">
            <v>227</v>
          </cell>
          <cell r="T109">
            <v>3</v>
          </cell>
          <cell r="U109">
            <v>28</v>
          </cell>
          <cell r="V109">
            <v>170</v>
          </cell>
          <cell r="W109">
            <v>3</v>
          </cell>
          <cell r="X109">
            <v>23</v>
          </cell>
          <cell r="Y109">
            <v>227</v>
          </cell>
        </row>
        <row r="110">
          <cell r="B110">
            <v>46692</v>
          </cell>
          <cell r="D110">
            <v>204</v>
          </cell>
          <cell r="E110">
            <v>23</v>
          </cell>
          <cell r="F110">
            <v>227</v>
          </cell>
          <cell r="H110">
            <v>74</v>
          </cell>
          <cell r="I110">
            <v>153</v>
          </cell>
          <cell r="J110">
            <v>227</v>
          </cell>
          <cell r="L110">
            <v>29</v>
          </cell>
          <cell r="M110">
            <v>2</v>
          </cell>
          <cell r="N110">
            <v>175</v>
          </cell>
          <cell r="O110">
            <v>21</v>
          </cell>
          <cell r="P110">
            <v>227</v>
          </cell>
          <cell r="T110">
            <v>3</v>
          </cell>
          <cell r="U110">
            <v>28</v>
          </cell>
          <cell r="V110">
            <v>170</v>
          </cell>
          <cell r="W110">
            <v>3</v>
          </cell>
          <cell r="X110">
            <v>23</v>
          </cell>
          <cell r="Y110">
            <v>227</v>
          </cell>
        </row>
        <row r="111">
          <cell r="B111">
            <v>46722</v>
          </cell>
          <cell r="D111">
            <v>204</v>
          </cell>
          <cell r="E111">
            <v>23</v>
          </cell>
          <cell r="F111">
            <v>227</v>
          </cell>
          <cell r="H111">
            <v>74</v>
          </cell>
          <cell r="I111">
            <v>153</v>
          </cell>
          <cell r="J111">
            <v>227</v>
          </cell>
          <cell r="L111">
            <v>29</v>
          </cell>
          <cell r="M111">
            <v>2</v>
          </cell>
          <cell r="N111">
            <v>175</v>
          </cell>
          <cell r="O111">
            <v>21</v>
          </cell>
          <cell r="P111">
            <v>227</v>
          </cell>
          <cell r="T111">
            <v>3</v>
          </cell>
          <cell r="U111">
            <v>28</v>
          </cell>
          <cell r="V111">
            <v>170</v>
          </cell>
          <cell r="W111">
            <v>3</v>
          </cell>
          <cell r="X111">
            <v>23</v>
          </cell>
          <cell r="Y111">
            <v>227</v>
          </cell>
        </row>
        <row r="113">
          <cell r="B113" t="str">
            <v>ANNUAL</v>
          </cell>
          <cell r="D113">
            <v>2448</v>
          </cell>
          <cell r="E113">
            <v>276</v>
          </cell>
          <cell r="F113">
            <v>2724</v>
          </cell>
          <cell r="G113">
            <v>0</v>
          </cell>
          <cell r="H113">
            <v>888</v>
          </cell>
          <cell r="I113">
            <v>1836</v>
          </cell>
          <cell r="J113">
            <v>2724</v>
          </cell>
          <cell r="K113">
            <v>0</v>
          </cell>
          <cell r="L113">
            <v>348</v>
          </cell>
          <cell r="M113">
            <v>24</v>
          </cell>
          <cell r="N113">
            <v>2100</v>
          </cell>
          <cell r="O113">
            <v>252</v>
          </cell>
          <cell r="P113">
            <v>2724</v>
          </cell>
          <cell r="Q113">
            <v>0</v>
          </cell>
          <cell r="T113">
            <v>36</v>
          </cell>
          <cell r="U113">
            <v>336</v>
          </cell>
          <cell r="V113">
            <v>2040</v>
          </cell>
          <cell r="W113">
            <v>36</v>
          </cell>
          <cell r="X113">
            <v>276</v>
          </cell>
          <cell r="Y113">
            <v>2724</v>
          </cell>
        </row>
        <row r="115">
          <cell r="B115">
            <v>46753</v>
          </cell>
          <cell r="D115">
            <v>0</v>
          </cell>
          <cell r="E115">
            <v>0</v>
          </cell>
          <cell r="F115">
            <v>0</v>
          </cell>
          <cell r="H115">
            <v>0</v>
          </cell>
          <cell r="I115">
            <v>0</v>
          </cell>
          <cell r="J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B116">
            <v>46784</v>
          </cell>
          <cell r="D116">
            <v>0</v>
          </cell>
          <cell r="E116">
            <v>0</v>
          </cell>
          <cell r="F116">
            <v>0</v>
          </cell>
          <cell r="H116">
            <v>0</v>
          </cell>
          <cell r="I116">
            <v>0</v>
          </cell>
          <cell r="J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B117">
            <v>46813</v>
          </cell>
          <cell r="D117">
            <v>0</v>
          </cell>
          <cell r="E117">
            <v>0</v>
          </cell>
          <cell r="F117">
            <v>0</v>
          </cell>
          <cell r="H117">
            <v>0</v>
          </cell>
          <cell r="I117">
            <v>0</v>
          </cell>
          <cell r="J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B118">
            <v>46844</v>
          </cell>
          <cell r="D118">
            <v>0</v>
          </cell>
          <cell r="E118">
            <v>0</v>
          </cell>
          <cell r="F118">
            <v>0</v>
          </cell>
          <cell r="H118">
            <v>0</v>
          </cell>
          <cell r="I118">
            <v>0</v>
          </cell>
          <cell r="J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B119">
            <v>46874</v>
          </cell>
          <cell r="D119">
            <v>0</v>
          </cell>
          <cell r="E119">
            <v>0</v>
          </cell>
          <cell r="F119">
            <v>0</v>
          </cell>
          <cell r="H119">
            <v>0</v>
          </cell>
          <cell r="I119">
            <v>0</v>
          </cell>
          <cell r="J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</row>
        <row r="120">
          <cell r="B120">
            <v>46905</v>
          </cell>
          <cell r="D120">
            <v>0</v>
          </cell>
          <cell r="E120">
            <v>0</v>
          </cell>
          <cell r="F120">
            <v>0</v>
          </cell>
          <cell r="H120">
            <v>0</v>
          </cell>
          <cell r="I120">
            <v>0</v>
          </cell>
          <cell r="J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</row>
        <row r="121">
          <cell r="B121">
            <v>46935</v>
          </cell>
          <cell r="D121">
            <v>0</v>
          </cell>
          <cell r="E121">
            <v>0</v>
          </cell>
          <cell r="F121">
            <v>0</v>
          </cell>
          <cell r="H121">
            <v>0</v>
          </cell>
          <cell r="I121">
            <v>0</v>
          </cell>
          <cell r="J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</row>
        <row r="122">
          <cell r="B122">
            <v>46966</v>
          </cell>
          <cell r="D122">
            <v>0</v>
          </cell>
          <cell r="E122">
            <v>0</v>
          </cell>
          <cell r="F122">
            <v>0</v>
          </cell>
          <cell r="H122">
            <v>0</v>
          </cell>
          <cell r="I122">
            <v>0</v>
          </cell>
          <cell r="J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</row>
        <row r="123">
          <cell r="B123">
            <v>46997</v>
          </cell>
          <cell r="D123">
            <v>0</v>
          </cell>
          <cell r="E123">
            <v>0</v>
          </cell>
          <cell r="F123">
            <v>0</v>
          </cell>
          <cell r="H123">
            <v>0</v>
          </cell>
          <cell r="I123">
            <v>0</v>
          </cell>
          <cell r="J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</row>
        <row r="124">
          <cell r="B124">
            <v>47027</v>
          </cell>
          <cell r="D124">
            <v>0</v>
          </cell>
          <cell r="E124">
            <v>0</v>
          </cell>
          <cell r="F124">
            <v>0</v>
          </cell>
          <cell r="H124">
            <v>0</v>
          </cell>
          <cell r="I124">
            <v>0</v>
          </cell>
          <cell r="J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</row>
        <row r="125">
          <cell r="B125">
            <v>47058</v>
          </cell>
          <cell r="D125">
            <v>0</v>
          </cell>
          <cell r="E125">
            <v>0</v>
          </cell>
          <cell r="F125">
            <v>0</v>
          </cell>
          <cell r="H125">
            <v>0</v>
          </cell>
          <cell r="I125">
            <v>0</v>
          </cell>
          <cell r="J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</row>
        <row r="126">
          <cell r="B126">
            <v>47088</v>
          </cell>
          <cell r="D126">
            <v>0</v>
          </cell>
          <cell r="E126">
            <v>0</v>
          </cell>
          <cell r="F126">
            <v>0</v>
          </cell>
          <cell r="H126">
            <v>0</v>
          </cell>
          <cell r="I126">
            <v>0</v>
          </cell>
          <cell r="J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8">
          <cell r="B128" t="str">
            <v>ANNUAL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</sheetData>
      <sheetData sheetId="3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comp 2019 &amp; 2019 price out  "/>
      <sheetName val="Summary Check"/>
      <sheetName val="MMC"/>
      <sheetName val="Summary"/>
      <sheetName val="Summary w Adjustments"/>
      <sheetName val="Summary w Adjustments &amp;RiderD&amp;H"/>
      <sheetName val="Total Adjusted Sales"/>
      <sheetName val="Rate Table"/>
      <sheetName val="SC 1&amp;7 Non Low Income"/>
      <sheetName val="SC 1&amp;7 Low Income"/>
      <sheetName val="SC 1&amp;7 TODS Rate II"/>
      <sheetName val="SC 1 rate III"/>
      <sheetName val="SC 2"/>
      <sheetName val="SC 2 unmetered &amp;Prov D"/>
      <sheetName val="SC 2 TODS"/>
      <sheetName val="SC 5 LT Energy"/>
      <sheetName val="SC 5 LT Demand"/>
      <sheetName val="SC 5 HT Energy"/>
      <sheetName val="SC 5 HT Demand "/>
      <sheetName val="SC 6"/>
      <sheetName val="SC 9 Max"/>
      <sheetName val="SC 8 LT Energy"/>
      <sheetName val="SC 8 LT Demand"/>
      <sheetName val="SC 8 HT Energy"/>
      <sheetName val="SC 8 HT Demand"/>
      <sheetName val="SC 9 LT Energy"/>
      <sheetName val="SC 9 LT Demand"/>
      <sheetName val="SC 9 HT Energy"/>
      <sheetName val="SC 9 HT Demand"/>
      <sheetName val="SC 12 LT Energy"/>
      <sheetName val="SC 12 LT Demand "/>
      <sheetName val="SC 12 HT Energy"/>
      <sheetName val="SC 12 HT Demand "/>
      <sheetName val="SC 12 Energy Only"/>
      <sheetName val="SC 9+9Max LT Energy"/>
      <sheetName val="SC 9+9Max LT Demand"/>
      <sheetName val="Rider H_1&amp;7"/>
      <sheetName val="Rider D_1&amp;7"/>
      <sheetName val="Sheet1"/>
      <sheetName val="Sheet3"/>
    </sheetNames>
    <sheetDataSet>
      <sheetData sheetId="0"/>
      <sheetData sheetId="1"/>
      <sheetData sheetId="2"/>
      <sheetData sheetId="3"/>
      <sheetData sheetId="4">
        <row r="10">
          <cell r="D10">
            <v>11792807161</v>
          </cell>
        </row>
        <row r="11">
          <cell r="D11">
            <v>1711520512.6500001</v>
          </cell>
        </row>
        <row r="15">
          <cell r="D15">
            <v>2168077822</v>
          </cell>
        </row>
        <row r="34">
          <cell r="E34">
            <v>46920591.980000004</v>
          </cell>
        </row>
        <row r="35">
          <cell r="E35">
            <v>144202.12</v>
          </cell>
        </row>
        <row r="36">
          <cell r="D36">
            <v>0</v>
          </cell>
          <cell r="E36"/>
        </row>
        <row r="37">
          <cell r="D37">
            <v>16339197761</v>
          </cell>
        </row>
        <row r="43">
          <cell r="D43">
            <v>154613337</v>
          </cell>
        </row>
        <row r="45">
          <cell r="D45">
            <v>1140306</v>
          </cell>
        </row>
      </sheetData>
      <sheetData sheetId="5"/>
      <sheetData sheetId="6"/>
      <sheetData sheetId="7"/>
      <sheetData sheetId="8"/>
      <sheetData sheetId="9">
        <row r="10">
          <cell r="H10">
            <v>7029138548</v>
          </cell>
        </row>
        <row r="16">
          <cell r="H16">
            <v>4763668613</v>
          </cell>
        </row>
      </sheetData>
      <sheetData sheetId="10">
        <row r="10">
          <cell r="H10">
            <v>1008947587</v>
          </cell>
        </row>
        <row r="16">
          <cell r="H16">
            <v>702572925.6500001</v>
          </cell>
        </row>
      </sheetData>
      <sheetData sheetId="11">
        <row r="10">
          <cell r="H10">
            <v>16789117</v>
          </cell>
        </row>
        <row r="11">
          <cell r="H11">
            <v>25876337</v>
          </cell>
        </row>
        <row r="14">
          <cell r="H14">
            <v>9718870</v>
          </cell>
        </row>
        <row r="15">
          <cell r="H15">
            <v>14833456</v>
          </cell>
        </row>
        <row r="18">
          <cell r="H18">
            <v>26507987</v>
          </cell>
        </row>
        <row r="19">
          <cell r="H19">
            <v>40709793</v>
          </cell>
        </row>
      </sheetData>
      <sheetData sheetId="12"/>
      <sheetData sheetId="13">
        <row r="12">
          <cell r="H12">
            <v>1371823506</v>
          </cell>
        </row>
        <row r="16">
          <cell r="H16">
            <v>722294699</v>
          </cell>
        </row>
      </sheetData>
      <sheetData sheetId="14"/>
      <sheetData sheetId="15">
        <row r="10">
          <cell r="H10">
            <v>29992321</v>
          </cell>
        </row>
        <row r="11">
          <cell r="H11">
            <v>39787547</v>
          </cell>
        </row>
        <row r="14">
          <cell r="H14">
            <v>15478338</v>
          </cell>
        </row>
        <row r="15">
          <cell r="H15">
            <v>20407730</v>
          </cell>
        </row>
        <row r="18">
          <cell r="H18">
            <v>45470659</v>
          </cell>
        </row>
        <row r="19">
          <cell r="H19">
            <v>60195277</v>
          </cell>
        </row>
      </sheetData>
      <sheetData sheetId="16"/>
      <sheetData sheetId="17"/>
      <sheetData sheetId="18"/>
      <sheetData sheetId="19"/>
      <sheetData sheetId="20"/>
      <sheetData sheetId="21"/>
      <sheetData sheetId="22">
        <row r="10">
          <cell r="H10">
            <v>911800979.00999999</v>
          </cell>
        </row>
        <row r="12">
          <cell r="H12">
            <v>602294876</v>
          </cell>
        </row>
      </sheetData>
      <sheetData sheetId="23"/>
      <sheetData sheetId="24"/>
      <sheetData sheetId="25"/>
      <sheetData sheetId="26">
        <row r="10">
          <cell r="H10">
            <v>10316378373</v>
          </cell>
        </row>
        <row r="12">
          <cell r="H12">
            <v>5967559052</v>
          </cell>
        </row>
      </sheetData>
      <sheetData sheetId="27"/>
      <sheetData sheetId="28">
        <row r="10">
          <cell r="H10">
            <v>36684491</v>
          </cell>
        </row>
        <row r="12">
          <cell r="H12">
            <v>18575845</v>
          </cell>
        </row>
      </sheetData>
      <sheetData sheetId="29"/>
      <sheetData sheetId="30">
        <row r="10">
          <cell r="H10">
            <v>115292046</v>
          </cell>
        </row>
        <row r="12">
          <cell r="H12">
            <v>39321291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ndby - Rider Q"/>
    </sheetNames>
    <sheetDataSet>
      <sheetData sheetId="0">
        <row r="15">
          <cell r="D15">
            <v>13533501.6500731</v>
          </cell>
          <cell r="E15">
            <v>22551096.197442301</v>
          </cell>
          <cell r="J15">
            <v>9712092.40481898</v>
          </cell>
          <cell r="L15">
            <v>16325354.8449827</v>
          </cell>
        </row>
        <row r="17">
          <cell r="D17">
            <v>1944331791.19607</v>
          </cell>
          <cell r="E17">
            <v>6058811536.9281502</v>
          </cell>
          <cell r="J17">
            <v>1409060096.8998499</v>
          </cell>
          <cell r="L17">
            <v>4304415044.3892899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19"/>
      <sheetName val="2020"/>
    </sheetNames>
    <sheetDataSet>
      <sheetData sheetId="0">
        <row r="30">
          <cell r="M30">
            <v>13.741666666666665</v>
          </cell>
        </row>
      </sheetData>
      <sheetData sheetId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un_info"/>
      <sheetName val="standby"/>
      <sheetName val="standby2013"/>
      <sheetName val="compare kw"/>
      <sheetName val="ratio"/>
      <sheetName val="ratio2013"/>
      <sheetName val="compare ratio"/>
      <sheetName val="standby result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9">
          <cell r="S9">
            <v>0.89652501314183819</v>
          </cell>
          <cell r="T9">
            <v>0.97394986554463014</v>
          </cell>
          <cell r="U9">
            <v>0.99335952804947159</v>
          </cell>
          <cell r="V9">
            <v>0.97394986554463014</v>
          </cell>
        </row>
        <row r="11">
          <cell r="S11">
            <v>0.97584355304314707</v>
          </cell>
          <cell r="T11">
            <v>0.98003019719218798</v>
          </cell>
          <cell r="U11">
            <v>0.98547271711264117</v>
          </cell>
          <cell r="V11">
            <v>0.98003019719218798</v>
          </cell>
        </row>
        <row r="13">
          <cell r="S13">
            <v>0.92174940629464241</v>
          </cell>
          <cell r="T13">
            <v>0.97502955669170799</v>
          </cell>
          <cell r="U13">
            <v>0.99220278496139669</v>
          </cell>
          <cell r="V13">
            <v>0.97502955669170799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ed TOD Summary - Values"/>
      <sheetName val="MMC"/>
      <sheetName val="2017 Vs 2019 TOD"/>
      <sheetName val="Pricing Summary"/>
      <sheetName val="SC4 TODL "/>
      <sheetName val="Pricing Summary w Adjustments"/>
      <sheetName val="Pricing Summary w Adj incl BNY"/>
      <sheetName val="SC5 TODL"/>
      <sheetName val="SC8 TODL"/>
      <sheetName val="SC9 TODL"/>
      <sheetName val="SC12 TODL"/>
      <sheetName val="SC13 TODL"/>
      <sheetName val="SC4M &lt;50kW"/>
      <sheetName val="SC9M &lt;50kW"/>
      <sheetName val="SC4M"/>
      <sheetName val="SC8M"/>
      <sheetName val="SC9M"/>
      <sheetName val="TOD Billing Determinants"/>
      <sheetName val="SC12M"/>
      <sheetName val="PFJ"/>
      <sheetName val="SC9 Cogen"/>
      <sheetName val="2012 TOD Billing Determinants"/>
      <sheetName val="2011 TOD Billing Determinants"/>
      <sheetName val="TOD Adj Sales v Priceout"/>
      <sheetName val="1-1-22 Delivery Ra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6">
          <cell r="B16">
            <v>71165.51999999999</v>
          </cell>
          <cell r="C16">
            <v>72260.88</v>
          </cell>
          <cell r="D16">
            <v>9497.1</v>
          </cell>
        </row>
      </sheetData>
      <sheetData sheetId="8">
        <row r="16">
          <cell r="B16">
            <v>98056.74</v>
          </cell>
          <cell r="C16">
            <v>102915.95999999999</v>
          </cell>
          <cell r="D16">
            <v>105359.7</v>
          </cell>
        </row>
        <row r="17">
          <cell r="C17">
            <v>153051.39000000001</v>
          </cell>
          <cell r="D17">
            <v>153848.90000000002</v>
          </cell>
        </row>
      </sheetData>
      <sheetData sheetId="9">
        <row r="16">
          <cell r="L16">
            <v>6924326</v>
          </cell>
          <cell r="M16">
            <v>6945458</v>
          </cell>
          <cell r="N16">
            <v>5586368</v>
          </cell>
        </row>
        <row r="17">
          <cell r="L17">
            <v>0</v>
          </cell>
          <cell r="M17">
            <v>11708720</v>
          </cell>
          <cell r="N17">
            <v>9353884</v>
          </cell>
        </row>
      </sheetData>
      <sheetData sheetId="10">
        <row r="16">
          <cell r="B16">
            <v>88690.319999999992</v>
          </cell>
          <cell r="D16">
            <v>98703.299999999988</v>
          </cell>
        </row>
        <row r="17">
          <cell r="C17">
            <v>313775</v>
          </cell>
          <cell r="D17">
            <v>316792.09999999998</v>
          </cell>
        </row>
      </sheetData>
      <sheetData sheetId="11">
        <row r="16">
          <cell r="B16">
            <v>46500</v>
          </cell>
          <cell r="C16">
            <v>49680</v>
          </cell>
        </row>
        <row r="17">
          <cell r="C17">
            <v>110380</v>
          </cell>
          <cell r="D17">
            <v>0</v>
          </cell>
        </row>
      </sheetData>
      <sheetData sheetId="12" refreshError="1"/>
      <sheetData sheetId="13" refreshError="1"/>
      <sheetData sheetId="14" refreshError="1"/>
      <sheetData sheetId="15">
        <row r="16">
          <cell r="B16">
            <v>86441.01</v>
          </cell>
          <cell r="C16">
            <v>91171.13</v>
          </cell>
          <cell r="D16">
            <v>96118.3</v>
          </cell>
        </row>
        <row r="17">
          <cell r="C17">
            <v>135122.14000000001</v>
          </cell>
          <cell r="D17">
            <v>140875.69999999998</v>
          </cell>
        </row>
      </sheetData>
      <sheetData sheetId="16">
        <row r="16">
          <cell r="B16">
            <v>1419348.8799999994</v>
          </cell>
          <cell r="C16">
            <v>1430838.389999999</v>
          </cell>
          <cell r="D16">
            <v>1440087.8</v>
          </cell>
        </row>
        <row r="17">
          <cell r="C17">
            <v>2547606.4200000004</v>
          </cell>
          <cell r="D17">
            <v>2556364.8999999994</v>
          </cell>
        </row>
      </sheetData>
      <sheetData sheetId="17">
        <row r="25">
          <cell r="C25">
            <v>2585433</v>
          </cell>
          <cell r="D25">
            <v>4807626</v>
          </cell>
        </row>
        <row r="26">
          <cell r="C26">
            <v>13999107</v>
          </cell>
          <cell r="D26">
            <v>27397627</v>
          </cell>
        </row>
        <row r="27">
          <cell r="C27">
            <v>3276967</v>
          </cell>
          <cell r="D27">
            <v>6201174</v>
          </cell>
        </row>
        <row r="28">
          <cell r="C28">
            <v>18220893</v>
          </cell>
          <cell r="D28">
            <v>35802773</v>
          </cell>
        </row>
        <row r="39">
          <cell r="C39">
            <v>2927144</v>
          </cell>
          <cell r="D39">
            <v>3773134</v>
          </cell>
        </row>
        <row r="41">
          <cell r="C41">
            <v>3905656</v>
          </cell>
          <cell r="D41">
            <v>4974466</v>
          </cell>
        </row>
        <row r="52">
          <cell r="C52">
            <v>19705896</v>
          </cell>
          <cell r="D52">
            <v>30939627</v>
          </cell>
        </row>
        <row r="54">
          <cell r="C54">
            <v>25248637</v>
          </cell>
          <cell r="D54">
            <v>37984840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ed TOD Summary - Values"/>
      <sheetName val="MMC"/>
      <sheetName val="2013 Vs 2017 TOD"/>
      <sheetName val="Pricing Summary"/>
      <sheetName val="SC4 TODL "/>
      <sheetName val="Pricing Summary w Adjustments"/>
      <sheetName val="Pricing Summary w Adj incl BNY"/>
      <sheetName val="SC5 TODL"/>
      <sheetName val="SC8 TODL"/>
      <sheetName val="SC9 TODL"/>
      <sheetName val="SC12 TODL"/>
      <sheetName val="SC13 TODL"/>
      <sheetName val="SC4M &lt;50kW"/>
      <sheetName val="SC9M &lt;50kW"/>
      <sheetName val="SC4M"/>
      <sheetName val="SC8M"/>
      <sheetName val="SC9M"/>
      <sheetName val="SC12M"/>
      <sheetName val="TOD Billing Determinants"/>
      <sheetName val="PFJ"/>
      <sheetName val="SC9 Cogen"/>
      <sheetName val="2012 TOD Billing Determinants"/>
      <sheetName val="2011 TOD Billing Determinants"/>
      <sheetName val="1-1-19 Delivery Rates"/>
      <sheetName val="TOD Adj Sales v Priceout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7">
          <cell r="C17">
            <v>156592.96000000005</v>
          </cell>
          <cell r="D17">
            <v>17349.300000000003</v>
          </cell>
        </row>
      </sheetData>
      <sheetData sheetId="8" refreshError="1"/>
      <sheetData sheetId="9">
        <row r="23">
          <cell r="B23">
            <v>1299188959</v>
          </cell>
          <cell r="C23">
            <v>2258822562.9499998</v>
          </cell>
        </row>
        <row r="24">
          <cell r="B24">
            <v>304108853.20000005</v>
          </cell>
          <cell r="C24">
            <v>537867858.5999999</v>
          </cell>
        </row>
        <row r="25">
          <cell r="B25">
            <v>1239921425</v>
          </cell>
          <cell r="C25">
            <v>2232896971.25</v>
          </cell>
        </row>
        <row r="26">
          <cell r="B26">
            <v>356968645.49999994</v>
          </cell>
          <cell r="C26">
            <v>645122846.39999998</v>
          </cell>
        </row>
      </sheetData>
      <sheetData sheetId="10">
        <row r="25">
          <cell r="B25">
            <v>18828511</v>
          </cell>
          <cell r="C25">
            <v>58453024</v>
          </cell>
        </row>
        <row r="27">
          <cell r="B27">
            <v>24303489</v>
          </cell>
          <cell r="C27">
            <v>81288576</v>
          </cell>
        </row>
      </sheetData>
      <sheetData sheetId="11">
        <row r="26">
          <cell r="B26">
            <v>2922041</v>
          </cell>
          <cell r="C26">
            <v>7883342</v>
          </cell>
        </row>
        <row r="28">
          <cell r="B28">
            <v>3586859</v>
          </cell>
          <cell r="C28">
            <v>8957958</v>
          </cell>
        </row>
      </sheetData>
      <sheetData sheetId="12" refreshError="1"/>
      <sheetData sheetId="13" refreshError="1"/>
      <sheetData sheetId="14" refreshError="1"/>
      <sheetData sheetId="15">
        <row r="25">
          <cell r="B25">
            <v>25285140</v>
          </cell>
          <cell r="C25">
            <v>38078045</v>
          </cell>
        </row>
        <row r="27">
          <cell r="B27">
            <v>32881363</v>
          </cell>
          <cell r="C27">
            <v>48105202</v>
          </cell>
        </row>
      </sheetData>
      <sheetData sheetId="16">
        <row r="25">
          <cell r="B25">
            <v>282918046.10000002</v>
          </cell>
          <cell r="C25">
            <v>508148910.4000001</v>
          </cell>
        </row>
        <row r="26">
          <cell r="B26">
            <v>2891889</v>
          </cell>
          <cell r="C26">
            <v>5721224</v>
          </cell>
        </row>
        <row r="27">
          <cell r="B27">
            <v>343239676.89999998</v>
          </cell>
          <cell r="C27">
            <v>625916858.79999995</v>
          </cell>
        </row>
        <row r="28">
          <cell r="B28">
            <v>3166827</v>
          </cell>
          <cell r="C28">
            <v>6430957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Whrs-FS 2010v2007"/>
      <sheetName val="kWhrs-RA 2010v2007"/>
      <sheetName val="kWhrs-Full &amp; RA 2010v2007"/>
      <sheetName val="kW-FS 2010v2007"/>
      <sheetName val="kW-RA 2010v2007"/>
      <sheetName val="kW-Full &amp; RA 2010v2007"/>
      <sheetName val="Bills-FS 2010v2007"/>
      <sheetName val="Bills-RA 2010v2007"/>
      <sheetName val="Bills-Full &amp; RA 2010v2007"/>
      <sheetName val="Summary RA- Seasonal "/>
      <sheetName val="Summary Full Svs- Seasonal"/>
      <sheetName val="Summary Full &amp; RA Seasonal"/>
      <sheetName val="WTC Adjustments"/>
      <sheetName val="Edds Adjustments"/>
      <sheetName val="HT Adjustments"/>
      <sheetName val="2010 vs. Oct11-Sep12"/>
      <sheetName val="DL Sales Vs. Adj Sales kWh"/>
      <sheetName val="DL Sales Vs. Adj Sales kW"/>
      <sheetName val="DL Sales Vs. Adj Sales Bills"/>
      <sheetName val="SC5 LT CONV Respin"/>
      <sheetName val="TODM kWhr"/>
      <sheetName val="TODM kW"/>
      <sheetName val="TODM Bill"/>
      <sheetName val="SC 6 RESPIN"/>
      <sheetName val="HY Comparison"/>
      <sheetName val="2011 Downloaded Sales"/>
      <sheetName val="2010 Downloaded Sales"/>
      <sheetName val="2011 Adjustments"/>
      <sheetName val="2010 Adjustments"/>
      <sheetName val="2011v2010 Ratios"/>
      <sheetName val="kWhrs-Full Service"/>
      <sheetName val="kWhrs-Retail Access"/>
      <sheetName val="kWhrs-Full &amp; RA"/>
      <sheetName val="kW-Full Service"/>
      <sheetName val="kW-Retail Access"/>
      <sheetName val="kW-Full and RA"/>
      <sheetName val="Bills-Full Service"/>
      <sheetName val="Bills-Retail Access"/>
      <sheetName val="Bills-Full &amp; RA"/>
      <sheetName val="RNY"/>
      <sheetName val="Total Adjustments to SC9 TOD LT"/>
      <sheetName val="RNY Edits"/>
      <sheetName val="Mixed Tension"/>
      <sheetName val="Other Adjustments "/>
      <sheetName val="9Max"/>
      <sheetName val="EDDS Below Alloc"/>
      <sheetName val="TODL Adjustments"/>
      <sheetName val="9D"/>
      <sheetName val="Company Use Accounts"/>
      <sheetName val="Total Adjustments"/>
      <sheetName val="IPP"/>
      <sheetName val="IPP Backup"/>
      <sheetName val="CUS loose end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52">
          <cell r="B52">
            <v>32220000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>
        <row r="54">
          <cell r="P54">
            <v>75320.2</v>
          </cell>
        </row>
        <row r="86">
          <cell r="P86">
            <v>96118.3</v>
          </cell>
          <cell r="Q86">
            <v>140875.69999999998</v>
          </cell>
        </row>
        <row r="92">
          <cell r="P92">
            <v>105359.7</v>
          </cell>
          <cell r="Q92">
            <v>153848.9</v>
          </cell>
        </row>
        <row r="110">
          <cell r="P110">
            <v>1453128.8199999998</v>
          </cell>
          <cell r="Q110">
            <v>2579796.1500000004</v>
          </cell>
        </row>
        <row r="116">
          <cell r="P116">
            <v>6998059.0099999998</v>
          </cell>
          <cell r="Q116">
            <v>11732561.24</v>
          </cell>
        </row>
        <row r="131">
          <cell r="P131">
            <v>98703.3</v>
          </cell>
          <cell r="Q131">
            <v>316792.10000000003</v>
          </cell>
        </row>
        <row r="135">
          <cell r="P135">
            <v>54460</v>
          </cell>
          <cell r="Q135">
            <v>110440</v>
          </cell>
        </row>
      </sheetData>
      <sheetData sheetId="36"/>
      <sheetData sheetId="37"/>
      <sheetData sheetId="38">
        <row r="52">
          <cell r="P52">
            <v>16</v>
          </cell>
        </row>
      </sheetData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Whrs-FS 2010v2007"/>
      <sheetName val="kWhrs-RA 2010v2007"/>
      <sheetName val="kWhrs-Full &amp; RA 2010v2007"/>
      <sheetName val="kW-FS 2010v2007"/>
      <sheetName val="kW-RA 2010v2007"/>
      <sheetName val="kW-Full &amp; RA 2010v2007"/>
      <sheetName val="Bills-FS 2010v2007"/>
      <sheetName val="Bills-RA 2010v2007"/>
      <sheetName val="Bills-Full &amp; RA 2010v2007"/>
      <sheetName val="Summary RA- Seasonal "/>
      <sheetName val="Summary Full Svs- Seasonal"/>
      <sheetName val="Summary Full &amp; RA Seasonal"/>
      <sheetName val="WTC Adjustments"/>
      <sheetName val="Edds Adjustments"/>
      <sheetName val="HT Adjustments"/>
      <sheetName val="2010 vs. Oct11-Sep12"/>
      <sheetName val="DL Sales Vs. Adj Sales kWh"/>
      <sheetName val="DL Sales Vs. Adj Sales kW"/>
      <sheetName val="DL Sales Vs. Adj Sales Bills"/>
      <sheetName val="SC5 LT CONV Respin"/>
      <sheetName val="TODM kWhr"/>
      <sheetName val="TODM kW"/>
      <sheetName val="TODM Bill"/>
      <sheetName val="SC 6 RESPIN"/>
      <sheetName val="HY Comparison"/>
      <sheetName val="2011 Downloaded Sales"/>
      <sheetName val="2010 Downloaded Sales"/>
      <sheetName val="2011 Adjustments"/>
      <sheetName val="2010 Adjustments"/>
      <sheetName val="2011v2010 Ratios"/>
      <sheetName val="kWhrs-Full Service"/>
      <sheetName val="kWhrs-Retail Access"/>
      <sheetName val="kWhrs-Full &amp; RA"/>
      <sheetName val="kW-Full Service"/>
      <sheetName val="kW-Retail Access"/>
      <sheetName val="kW-Full and RA"/>
      <sheetName val="Bills-Full Service"/>
      <sheetName val="Bills-Retail Access"/>
      <sheetName val="Bills-Full &amp; RA"/>
      <sheetName val="RNY"/>
      <sheetName val="Total Adjustments to SC9 TOD LT"/>
      <sheetName val="RNY Edits"/>
      <sheetName val="Mixed Tension"/>
      <sheetName val="Other Adjustments "/>
      <sheetName val="9Max"/>
      <sheetName val="EDDS Below Alloc"/>
      <sheetName val="TODL Adjustments"/>
      <sheetName val="9D"/>
      <sheetName val="Company Use Accounts"/>
      <sheetName val="Total Adjustments"/>
      <sheetName val="CUS loose end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12">
          <cell r="D12">
            <v>3472313611.0099998</v>
          </cell>
        </row>
      </sheetData>
      <sheetData sheetId="10">
        <row r="12">
          <cell r="D12">
            <v>9828926107.4199982</v>
          </cell>
        </row>
      </sheetData>
      <sheetData sheetId="11">
        <row r="9">
          <cell r="J9">
            <v>9911034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>
        <row r="9">
          <cell r="B9">
            <v>687982479.36000001</v>
          </cell>
        </row>
      </sheetData>
      <sheetData sheetId="31">
        <row r="9">
          <cell r="B9">
            <v>238332205.24000001</v>
          </cell>
        </row>
      </sheetData>
      <sheetData sheetId="32">
        <row r="9">
          <cell r="B9">
            <v>926314684.60000002</v>
          </cell>
        </row>
      </sheetData>
      <sheetData sheetId="33">
        <row r="9">
          <cell r="B9">
            <v>0</v>
          </cell>
        </row>
      </sheetData>
      <sheetData sheetId="34">
        <row r="9">
          <cell r="B9">
            <v>0</v>
          </cell>
        </row>
      </sheetData>
      <sheetData sheetId="35">
        <row r="54">
          <cell r="P54">
            <v>73969.8</v>
          </cell>
          <cell r="Q54">
            <v>160131.5</v>
          </cell>
        </row>
      </sheetData>
      <sheetData sheetId="36">
        <row r="9">
          <cell r="B9">
            <v>1904014</v>
          </cell>
        </row>
      </sheetData>
      <sheetData sheetId="37">
        <row r="9">
          <cell r="B9">
            <v>570665</v>
          </cell>
        </row>
      </sheetData>
      <sheetData sheetId="38">
        <row r="29">
          <cell r="P29">
            <v>4</v>
          </cell>
        </row>
      </sheetData>
      <sheetData sheetId="39">
        <row r="128">
          <cell r="D128">
            <v>695135</v>
          </cell>
        </row>
      </sheetData>
      <sheetData sheetId="40"/>
      <sheetData sheetId="41">
        <row r="26">
          <cell r="D26">
            <v>814400</v>
          </cell>
        </row>
      </sheetData>
      <sheetData sheetId="42">
        <row r="11">
          <cell r="S11">
            <v>0</v>
          </cell>
        </row>
      </sheetData>
      <sheetData sheetId="43">
        <row r="61">
          <cell r="O61">
            <v>28896</v>
          </cell>
        </row>
      </sheetData>
      <sheetData sheetId="44"/>
      <sheetData sheetId="45"/>
      <sheetData sheetId="46">
        <row r="36">
          <cell r="R36">
            <v>70400</v>
          </cell>
        </row>
      </sheetData>
      <sheetData sheetId="47"/>
      <sheetData sheetId="48"/>
      <sheetData sheetId="49"/>
      <sheetData sheetId="50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17 DATA"/>
      <sheetName val="Regular_Run"/>
      <sheetName val="SC1-2"/>
      <sheetName val="SC1-3_SC1-4"/>
    </sheetNames>
    <sheetDataSet>
      <sheetData sheetId="0">
        <row r="7">
          <cell r="B7">
            <v>0.42819487926885397</v>
          </cell>
        </row>
        <row r="8">
          <cell r="B8">
            <v>0.4486207314725601</v>
          </cell>
          <cell r="C8">
            <v>0.55137926852744001</v>
          </cell>
          <cell r="F8">
            <v>0.41922424935171754</v>
          </cell>
        </row>
        <row r="11">
          <cell r="B11">
            <v>0.49464156605313719</v>
          </cell>
          <cell r="C11">
            <v>0.50535843394686286</v>
          </cell>
          <cell r="F11">
            <v>0.47569672724097356</v>
          </cell>
          <cell r="G11">
            <v>0.52430327275902633</v>
          </cell>
        </row>
        <row r="14">
          <cell r="B14">
            <v>0.42894296226423512</v>
          </cell>
          <cell r="C14">
            <v>0.57105703773576488</v>
          </cell>
          <cell r="F14">
            <v>0.43250953154601773</v>
          </cell>
          <cell r="G14">
            <v>0.56749046845398232</v>
          </cell>
        </row>
        <row r="15">
          <cell r="B15">
            <v>0.47862902881722114</v>
          </cell>
          <cell r="C15">
            <v>0.52137097118277886</v>
          </cell>
          <cell r="F15">
            <v>0.46226148114583754</v>
          </cell>
          <cell r="G15">
            <v>0.53773851885416268</v>
          </cell>
        </row>
        <row r="16">
          <cell r="B16">
            <v>0.42329948545133256</v>
          </cell>
          <cell r="C16">
            <v>0.57670051454866744</v>
          </cell>
          <cell r="F16">
            <v>0.41189293269070648</v>
          </cell>
          <cell r="G16">
            <v>0.58810706730929374</v>
          </cell>
        </row>
      </sheetData>
      <sheetData sheetId="1"/>
      <sheetData sheetId="2"/>
      <sheetData sheetId="3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13 DATA"/>
      <sheetName val="AllOther"/>
      <sheetName val="SC1R2"/>
      <sheetName val="RunInfo_AllOther"/>
      <sheetName val="RunInfo_SC1R2"/>
      <sheetName val="RateTariff_Abbrev"/>
      <sheetName val="2013 On Peak Off Peak for Rate "/>
    </sheetNames>
    <sheetDataSet>
      <sheetData sheetId="0">
        <row r="7">
          <cell r="B7">
            <v>0.44146030429566729</v>
          </cell>
        </row>
        <row r="8">
          <cell r="G8">
            <v>0.54101538724267673</v>
          </cell>
        </row>
      </sheetData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YC Forecast 04 05 12"/>
      <sheetName val="NYC Forecast 03 02 12"/>
      <sheetName val="Westchester Forecast"/>
      <sheetName val="UCAP calc 08 02 11"/>
      <sheetName val="Forward Energy"/>
      <sheetName val="NYISO rates"/>
      <sheetName val="MTM Chart"/>
      <sheetName val="UCAP Chart"/>
      <sheetName val="Chart Data"/>
      <sheetName val="Notes"/>
    </sheetNames>
    <sheetDataSet>
      <sheetData sheetId="0">
        <row r="9">
          <cell r="A9">
            <v>41030</v>
          </cell>
          <cell r="K9">
            <v>15.18017022234269</v>
          </cell>
          <cell r="L9">
            <v>3.4628085477342787</v>
          </cell>
        </row>
      </sheetData>
      <sheetData sheetId="1"/>
      <sheetData sheetId="2">
        <row r="9">
          <cell r="B9">
            <v>32.75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YC Forecast 10 01 12"/>
      <sheetName val="NYC Forecast 09 05 12"/>
      <sheetName val="Westchester Forecast"/>
      <sheetName val="Forward Energy"/>
      <sheetName val="NYISO rates"/>
      <sheetName val="MTM Chart"/>
      <sheetName val="UCAP Chart"/>
      <sheetName val="Chart Data"/>
      <sheetName val="Notes"/>
    </sheetNames>
    <sheetDataSet>
      <sheetData sheetId="0" refreshError="1">
        <row r="2">
          <cell r="A2">
            <v>41183</v>
          </cell>
        </row>
        <row r="9">
          <cell r="K9">
            <v>6.1020705976154428</v>
          </cell>
          <cell r="L9">
            <v>2.7482553934337814</v>
          </cell>
        </row>
        <row r="10">
          <cell r="K10">
            <v>6.1020705976154428</v>
          </cell>
          <cell r="L10">
            <v>2.7482553934337814</v>
          </cell>
        </row>
        <row r="11">
          <cell r="K11">
            <v>6.0567421090832703</v>
          </cell>
          <cell r="L11">
            <v>2.7426501337188358</v>
          </cell>
        </row>
        <row r="12">
          <cell r="K12">
            <v>6.0567421090832703</v>
          </cell>
          <cell r="L12">
            <v>2.7426501337188358</v>
          </cell>
        </row>
        <row r="13">
          <cell r="K13">
            <v>6.0629289612963344</v>
          </cell>
          <cell r="L13">
            <v>2.7545446307035455</v>
          </cell>
        </row>
        <row r="14">
          <cell r="K14">
            <v>6.0629289612963344</v>
          </cell>
          <cell r="L14">
            <v>2.7545446307035455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YC Forecast 04 01 13"/>
      <sheetName val="NYC Forecast 02 28 13"/>
      <sheetName val="Westchester Forecast"/>
      <sheetName val="Forward Energy"/>
      <sheetName val="NYISO rates"/>
      <sheetName val="MTM Chart"/>
      <sheetName val="UCAP Chart"/>
      <sheetName val="Chart Data"/>
      <sheetName val="Notes"/>
      <sheetName val="CECONY CF for 2013 Budget 04 01"/>
      <sheetName val="NYC Forecast 11 30 12"/>
    </sheetNames>
    <sheetDataSet>
      <sheetData sheetId="0">
        <row r="2">
          <cell r="A2">
            <v>41365</v>
          </cell>
        </row>
        <row r="9">
          <cell r="K9">
            <v>16.45616261</v>
          </cell>
          <cell r="L9">
            <v>5.5194234389999997</v>
          </cell>
        </row>
        <row r="10">
          <cell r="K10">
            <v>16.45616261</v>
          </cell>
          <cell r="L10">
            <v>5.5194234389999997</v>
          </cell>
        </row>
        <row r="11">
          <cell r="K11">
            <v>16.45616261</v>
          </cell>
          <cell r="L11">
            <v>5.5194234389999997</v>
          </cell>
        </row>
        <row r="12">
          <cell r="K12">
            <v>16.45616261</v>
          </cell>
          <cell r="L12">
            <v>5.5194234389999997</v>
          </cell>
        </row>
        <row r="13">
          <cell r="K13">
            <v>16.45616261</v>
          </cell>
          <cell r="L13">
            <v>5.5194234389999997</v>
          </cell>
        </row>
        <row r="14">
          <cell r="K14">
            <v>16.45616261</v>
          </cell>
          <cell r="L14">
            <v>5.5194234389999997</v>
          </cell>
        </row>
      </sheetData>
      <sheetData sheetId="1"/>
      <sheetData sheetId="2">
        <row r="9">
          <cell r="B9">
            <v>47.5</v>
          </cell>
        </row>
      </sheetData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YC Forecast 10 01 13"/>
      <sheetName val="NYC Forecast 08 27 13"/>
      <sheetName val="Chart Data"/>
      <sheetName val="Westchester Forecast"/>
      <sheetName val="Forward Energy"/>
      <sheetName val="NYISO rates"/>
      <sheetName val="MTM Chart"/>
      <sheetName val="UCAP Chart"/>
      <sheetName val="Notes"/>
      <sheetName val="NYC Forecast 04 01 13"/>
    </sheetNames>
    <sheetDataSet>
      <sheetData sheetId="0">
        <row r="2">
          <cell r="A2">
            <v>41547</v>
          </cell>
        </row>
        <row r="9">
          <cell r="K9">
            <v>10.580606673697908</v>
          </cell>
          <cell r="L9">
            <v>5.2329825513736203</v>
          </cell>
        </row>
        <row r="10">
          <cell r="K10">
            <v>10.580606673697908</v>
          </cell>
          <cell r="L10">
            <v>5.2329825513736203</v>
          </cell>
        </row>
        <row r="11">
          <cell r="K11">
            <v>10.843353082030138</v>
          </cell>
          <cell r="L11">
            <v>5.5359609489526926</v>
          </cell>
        </row>
        <row r="12">
          <cell r="K12">
            <v>10.843353082030138</v>
          </cell>
          <cell r="L12">
            <v>5.5359609489526926</v>
          </cell>
        </row>
        <row r="13">
          <cell r="K13">
            <v>10.843353082030138</v>
          </cell>
          <cell r="L13">
            <v>5.5359609489526926</v>
          </cell>
        </row>
        <row r="14">
          <cell r="K14">
            <v>10.843353082030138</v>
          </cell>
          <cell r="L14">
            <v>5.5359609489526926</v>
          </cell>
        </row>
      </sheetData>
      <sheetData sheetId="1"/>
      <sheetData sheetId="2"/>
      <sheetData sheetId="3">
        <row r="8">
          <cell r="A8">
            <v>41548</v>
          </cell>
        </row>
      </sheetData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YC Forecast 04 03 14"/>
      <sheetName val="NYC Forecast 03 03 13"/>
      <sheetName val="Chart Data"/>
      <sheetName val="Westchester Forecast"/>
      <sheetName val="Forward Energy"/>
      <sheetName val="NYISO rates"/>
      <sheetName val="MTM Chart"/>
      <sheetName val="UCAP Chart"/>
      <sheetName val="Notes"/>
      <sheetName val="CECONY CF for 2014 Budget 04 03"/>
    </sheetNames>
    <sheetDataSet>
      <sheetData sheetId="0" refreshError="1">
        <row r="2">
          <cell r="A2">
            <v>41732</v>
          </cell>
        </row>
        <row r="8">
          <cell r="K8">
            <v>17.696041068665568</v>
          </cell>
          <cell r="L8">
            <v>11.92628173883223</v>
          </cell>
          <cell r="M8">
            <v>6.6673475038447894</v>
          </cell>
        </row>
        <row r="9">
          <cell r="K9">
            <v>17.694370545115504</v>
          </cell>
          <cell r="L9">
            <v>11.880451814875494</v>
          </cell>
          <cell r="M9">
            <v>6.6670661177198562</v>
          </cell>
        </row>
        <row r="10">
          <cell r="K10">
            <v>17.687496241775847</v>
          </cell>
          <cell r="L10">
            <v>11.870046430922111</v>
          </cell>
          <cell r="M10">
            <v>6.6665736920012195</v>
          </cell>
        </row>
        <row r="11">
          <cell r="K11">
            <v>17.683024552679083</v>
          </cell>
          <cell r="L11">
            <v>11.860326673043177</v>
          </cell>
          <cell r="M11">
            <v>6.6651315881109303</v>
          </cell>
        </row>
        <row r="12">
          <cell r="K12">
            <v>17.682170917971607</v>
          </cell>
          <cell r="L12">
            <v>11.857194302938348</v>
          </cell>
          <cell r="M12">
            <v>6.680563858400312</v>
          </cell>
        </row>
        <row r="13">
          <cell r="K13">
            <v>17.679740037678805</v>
          </cell>
          <cell r="L13">
            <v>11.854666897016852</v>
          </cell>
          <cell r="M13">
            <v>6.6767915256629076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YC Forecast 10 01 14"/>
      <sheetName val="NYC Forecast 09 03 14"/>
      <sheetName val="Chart Data"/>
      <sheetName val="Westchester Forecast"/>
      <sheetName val="Forward Energy"/>
      <sheetName val="NYISO rates"/>
      <sheetName val="MTM Chart"/>
      <sheetName val="UCAP Chart"/>
      <sheetName val="Notes"/>
      <sheetName val="Sheet1"/>
    </sheetNames>
    <sheetDataSet>
      <sheetData sheetId="0">
        <row r="2">
          <cell r="A2">
            <v>41913</v>
          </cell>
        </row>
        <row r="9">
          <cell r="K9">
            <v>9.7793569935085394</v>
          </cell>
          <cell r="L9">
            <v>6.3413148755846827</v>
          </cell>
          <cell r="M9">
            <v>2.4828497425640719</v>
          </cell>
        </row>
        <row r="10">
          <cell r="K10">
            <v>9.7793569935085394</v>
          </cell>
          <cell r="L10">
            <v>6.3413148755846827</v>
          </cell>
          <cell r="M10">
            <v>3.5244354882250972</v>
          </cell>
        </row>
        <row r="11">
          <cell r="K11">
            <v>9.7793569935085394</v>
          </cell>
          <cell r="L11">
            <v>6.3413148755846827</v>
          </cell>
          <cell r="M11">
            <v>4.8445848635396533</v>
          </cell>
        </row>
        <row r="12">
          <cell r="K12">
            <v>9.7793569935085394</v>
          </cell>
          <cell r="L12">
            <v>6.3413148755846827</v>
          </cell>
          <cell r="M12">
            <v>4.8445848635396533</v>
          </cell>
        </row>
        <row r="13">
          <cell r="K13">
            <v>9.7793569935085394</v>
          </cell>
          <cell r="L13">
            <v>6.3413148755846827</v>
          </cell>
          <cell r="M13">
            <v>3.5244354882250972</v>
          </cell>
        </row>
        <row r="14">
          <cell r="K14">
            <v>9.7793569935085394</v>
          </cell>
          <cell r="L14">
            <v>6.3413148755846827</v>
          </cell>
          <cell r="M14">
            <v>2.5434070533583175</v>
          </cell>
        </row>
      </sheetData>
      <sheetData sheetId="1"/>
      <sheetData sheetId="2"/>
      <sheetData sheetId="3">
        <row r="8">
          <cell r="A8">
            <v>41883</v>
          </cell>
        </row>
      </sheetData>
      <sheetData sheetId="4"/>
      <sheetData sheetId="5"/>
      <sheetData sheetId="6" refreshError="1"/>
      <sheetData sheetId="7" refreshError="1"/>
      <sheetData sheetId="8"/>
      <sheetData sheetId="9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YC Forecast 04 02 15"/>
      <sheetName val="NYC Forecast 03 02 15"/>
      <sheetName val="Chart Data"/>
      <sheetName val="Westchester Forecast"/>
      <sheetName val="Forward Energy"/>
      <sheetName val="NYISO rates"/>
      <sheetName val="MTM Chart"/>
      <sheetName val="UCAP Chart"/>
      <sheetName val="Notes"/>
      <sheetName val="Sheet1"/>
    </sheetNames>
    <sheetDataSet>
      <sheetData sheetId="0">
        <row r="2">
          <cell r="A2">
            <v>42096</v>
          </cell>
        </row>
        <row r="9">
          <cell r="K9">
            <v>16.542724114700949</v>
          </cell>
          <cell r="L9">
            <v>9.2371462579955352</v>
          </cell>
          <cell r="M9">
            <v>4.4331610177869187</v>
          </cell>
        </row>
        <row r="10">
          <cell r="K10">
            <v>16.542724114700949</v>
          </cell>
          <cell r="L10">
            <v>9.1315788721898734</v>
          </cell>
          <cell r="M10">
            <v>4.4331610177869187</v>
          </cell>
        </row>
        <row r="11">
          <cell r="K11">
            <v>16.542724114700949</v>
          </cell>
          <cell r="L11">
            <v>9.0260114863842098</v>
          </cell>
          <cell r="M11">
            <v>4.8228601808831009</v>
          </cell>
        </row>
        <row r="12">
          <cell r="K12">
            <v>16.542724114700949</v>
          </cell>
          <cell r="L12">
            <v>8.9204441005785444</v>
          </cell>
          <cell r="M12">
            <v>4.8228601808831009</v>
          </cell>
        </row>
        <row r="13">
          <cell r="K13">
            <v>16.542724114700949</v>
          </cell>
          <cell r="L13">
            <v>8.9204441005785444</v>
          </cell>
          <cell r="M13">
            <v>4.8228601808831009</v>
          </cell>
        </row>
        <row r="14">
          <cell r="K14">
            <v>16.542724114700949</v>
          </cell>
          <cell r="L14">
            <v>8.9204441005785444</v>
          </cell>
          <cell r="M14">
            <v>4.8228601808831009</v>
          </cell>
        </row>
      </sheetData>
      <sheetData sheetId="1"/>
      <sheetData sheetId="2"/>
      <sheetData sheetId="3">
        <row r="8">
          <cell r="A8">
            <v>42095</v>
          </cell>
        </row>
      </sheetData>
      <sheetData sheetId="4"/>
      <sheetData sheetId="5"/>
      <sheetData sheetId="6" refreshError="1"/>
      <sheetData sheetId="7" refreshError="1"/>
      <sheetData sheetId="8"/>
      <sheetData sheetId="9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YC Forecast 10 01 15"/>
      <sheetName val="NYC Forecast 09 02 15"/>
      <sheetName val="Chart Data"/>
      <sheetName val="Westchester Forecast"/>
      <sheetName val="Forward Energy"/>
      <sheetName val="NYISO rates"/>
      <sheetName val="MTM Chart"/>
      <sheetName val="UCAP Chart"/>
      <sheetName val="Notes"/>
      <sheetName val="Sheet1"/>
      <sheetName val="NYC Forecast 04 02 15"/>
    </sheetNames>
    <sheetDataSet>
      <sheetData sheetId="0">
        <row r="2">
          <cell r="A2">
            <v>42278</v>
          </cell>
        </row>
        <row r="9">
          <cell r="K9">
            <v>8.0345476752668752</v>
          </cell>
          <cell r="L9">
            <v>4.3568071374996968</v>
          </cell>
          <cell r="M9">
            <v>1.0574439530984221</v>
          </cell>
        </row>
        <row r="10">
          <cell r="K10">
            <v>8.0345476752668752</v>
          </cell>
          <cell r="L10">
            <v>4.3568071374996968</v>
          </cell>
          <cell r="M10">
            <v>1.5922431937458998</v>
          </cell>
        </row>
        <row r="11">
          <cell r="K11">
            <v>8.0345476752668752</v>
          </cell>
          <cell r="L11">
            <v>4.3568071374996968</v>
          </cell>
          <cell r="M11">
            <v>2.6861507314339228</v>
          </cell>
        </row>
        <row r="12">
          <cell r="K12">
            <v>8.0345476752668752</v>
          </cell>
          <cell r="L12">
            <v>4.3568071374996968</v>
          </cell>
          <cell r="M12">
            <v>2.6861507314339228</v>
          </cell>
        </row>
        <row r="13">
          <cell r="K13">
            <v>8.0345476752668752</v>
          </cell>
          <cell r="L13">
            <v>4.3568071374996968</v>
          </cell>
          <cell r="M13">
            <v>1.4706979117805641</v>
          </cell>
        </row>
        <row r="14">
          <cell r="K14">
            <v>8.0345476752668752</v>
          </cell>
          <cell r="L14">
            <v>4.3568071374996968</v>
          </cell>
          <cell r="M14">
            <v>1.0574439530984221</v>
          </cell>
        </row>
      </sheetData>
      <sheetData sheetId="1" refreshError="1"/>
      <sheetData sheetId="2" refreshError="1"/>
      <sheetData sheetId="3">
        <row r="8">
          <cell r="A8">
            <v>42278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YC Forecast 04 01 16"/>
      <sheetName val="NYC Forecast 03 01 16"/>
      <sheetName val="Chart Data"/>
      <sheetName val="Westchester Forecast"/>
      <sheetName val="Forward Energy"/>
      <sheetName val="NYISO rates"/>
      <sheetName val="MTM Chart"/>
      <sheetName val="UCAP Chart"/>
      <sheetName val="Notes"/>
      <sheetName val="Sheet1"/>
      <sheetName val="Gas MTM Chart"/>
    </sheetNames>
    <sheetDataSet>
      <sheetData sheetId="0">
        <row r="8">
          <cell r="A8">
            <v>42461</v>
          </cell>
        </row>
        <row r="9">
          <cell r="K9">
            <v>12.851443771599268</v>
          </cell>
          <cell r="L9">
            <v>9.6408256977120512</v>
          </cell>
          <cell r="M9">
            <v>4.4034429016156169</v>
          </cell>
        </row>
        <row r="10">
          <cell r="K10">
            <v>12.851443771599268</v>
          </cell>
          <cell r="L10">
            <v>9.6408256977120512</v>
          </cell>
          <cell r="M10">
            <v>4.3422839724265101</v>
          </cell>
        </row>
        <row r="11">
          <cell r="K11">
            <v>12.851443771599268</v>
          </cell>
          <cell r="L11">
            <v>9.6408256977120512</v>
          </cell>
          <cell r="M11">
            <v>4.3422839724265101</v>
          </cell>
        </row>
        <row r="12">
          <cell r="K12">
            <v>12.851443771599268</v>
          </cell>
          <cell r="L12">
            <v>9.6408256977120512</v>
          </cell>
          <cell r="M12">
            <v>4.3422839724265101</v>
          </cell>
        </row>
        <row r="13">
          <cell r="K13">
            <v>12.851443771599268</v>
          </cell>
          <cell r="L13">
            <v>9.6408256977120512</v>
          </cell>
          <cell r="M13">
            <v>4.5257607599938288</v>
          </cell>
        </row>
        <row r="14">
          <cell r="K14">
            <v>12.851443771599268</v>
          </cell>
          <cell r="L14">
            <v>9.6408256977120512</v>
          </cell>
          <cell r="M14">
            <v>5.1495818377227067</v>
          </cell>
        </row>
      </sheetData>
      <sheetData sheetId="1"/>
      <sheetData sheetId="2"/>
      <sheetData sheetId="3">
        <row r="8">
          <cell r="A8">
            <v>42461</v>
          </cell>
        </row>
      </sheetData>
      <sheetData sheetId="4"/>
      <sheetData sheetId="5"/>
      <sheetData sheetId="6" refreshError="1"/>
      <sheetData sheetId="7" refreshError="1"/>
      <sheetData sheetId="8"/>
      <sheetData sheetId="9"/>
      <sheetData sheetId="10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YC Forecast 10 04 16"/>
      <sheetName val="NYC Forecast 09 01 16"/>
      <sheetName val="Westchester Forecast"/>
      <sheetName val="Forward Energy"/>
      <sheetName val="NYISO rates"/>
      <sheetName val="Chart Data"/>
      <sheetName val="MTM Chart"/>
      <sheetName val="UCAP Chart"/>
      <sheetName val="Notes"/>
      <sheetName val="Sheet1"/>
      <sheetName val="Gas MTM Chart"/>
    </sheetNames>
    <sheetDataSet>
      <sheetData sheetId="0">
        <row r="8">
          <cell r="A8">
            <v>42644</v>
          </cell>
        </row>
        <row r="9">
          <cell r="K9">
            <v>4.5887394964394028</v>
          </cell>
          <cell r="L9">
            <v>4.1691235815033858</v>
          </cell>
          <cell r="M9">
            <v>0.36182626136778567</v>
          </cell>
        </row>
        <row r="10">
          <cell r="K10">
            <v>4.5887394964394028</v>
          </cell>
          <cell r="L10">
            <v>4.1691235815033858</v>
          </cell>
          <cell r="M10">
            <v>0.6030437689463094</v>
          </cell>
        </row>
        <row r="11">
          <cell r="K11">
            <v>4.5887394964394028</v>
          </cell>
          <cell r="L11">
            <v>4.1691235815033858</v>
          </cell>
          <cell r="M11">
            <v>1.5173309974130331</v>
          </cell>
        </row>
        <row r="12">
          <cell r="K12">
            <v>4.5887394964394028</v>
          </cell>
          <cell r="L12">
            <v>4.1691235815033858</v>
          </cell>
          <cell r="M12">
            <v>1.5173539162553951</v>
          </cell>
        </row>
        <row r="13">
          <cell r="K13">
            <v>4.5887394964394028</v>
          </cell>
          <cell r="L13">
            <v>4.1691235815033858</v>
          </cell>
          <cell r="M13">
            <v>0.60604793094430831</v>
          </cell>
        </row>
        <row r="14">
          <cell r="K14">
            <v>4.5887394964394028</v>
          </cell>
          <cell r="L14">
            <v>4.1691235815033858</v>
          </cell>
          <cell r="M14">
            <v>0.36182626136778567</v>
          </cell>
        </row>
      </sheetData>
      <sheetData sheetId="1" refreshError="1"/>
      <sheetData sheetId="2">
        <row r="8">
          <cell r="A8">
            <v>42614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YC Forecast 04 05 17"/>
      <sheetName val="NYC Forecast 03 08 17"/>
      <sheetName val="Westchester Forecast"/>
      <sheetName val="Forward Energy"/>
      <sheetName val="NYISO rates"/>
      <sheetName val="Chart Data"/>
      <sheetName val="MTM Chart"/>
      <sheetName val="UCAP Chart"/>
      <sheetName val="Notes"/>
      <sheetName val="Gas MTM Chart"/>
    </sheetNames>
    <sheetDataSet>
      <sheetData sheetId="0">
        <row r="8">
          <cell r="A8">
            <v>42826</v>
          </cell>
        </row>
        <row r="9">
          <cell r="L9">
            <v>13.882066256793319</v>
          </cell>
          <cell r="M9">
            <v>11.247132422257177</v>
          </cell>
          <cell r="N9">
            <v>3.9575325786845159</v>
          </cell>
        </row>
        <row r="10">
          <cell r="L10">
            <v>13.869430543874238</v>
          </cell>
          <cell r="M10">
            <v>11.264018550818378</v>
          </cell>
          <cell r="N10">
            <v>4.0092757390671991</v>
          </cell>
        </row>
        <row r="11">
          <cell r="L11">
            <v>13.862146876125111</v>
          </cell>
          <cell r="M11">
            <v>11.156530688927731</v>
          </cell>
          <cell r="N11">
            <v>4.094991047225407</v>
          </cell>
        </row>
        <row r="12">
          <cell r="L12">
            <v>13.864212108961732</v>
          </cell>
          <cell r="M12">
            <v>11.168607705928673</v>
          </cell>
          <cell r="N12">
            <v>4.2077453535248974</v>
          </cell>
        </row>
        <row r="13">
          <cell r="L13">
            <v>13.861631522274937</v>
          </cell>
          <cell r="M13">
            <v>11.208141254594445</v>
          </cell>
          <cell r="N13">
            <v>4.2532289844107121</v>
          </cell>
        </row>
        <row r="14">
          <cell r="L14">
            <v>13.867582904885465</v>
          </cell>
          <cell r="M14">
            <v>11.188953019998131</v>
          </cell>
          <cell r="N14">
            <v>4.291182912235544</v>
          </cell>
        </row>
      </sheetData>
      <sheetData sheetId="1" refreshError="1"/>
      <sheetData sheetId="2">
        <row r="8">
          <cell r="A8">
            <v>42826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YC Forecast 10 03 17"/>
      <sheetName val="NYC Forecast 09 07 17"/>
      <sheetName val="Westchester Forecast"/>
      <sheetName val="Forward Energy"/>
      <sheetName val="NYISO rates"/>
      <sheetName val="Chart Data"/>
      <sheetName val="MTM Chart"/>
      <sheetName val="UCAP Chart"/>
      <sheetName val="Notes"/>
    </sheetNames>
    <sheetDataSet>
      <sheetData sheetId="0" refreshError="1">
        <row r="8">
          <cell r="A8">
            <v>43009</v>
          </cell>
        </row>
        <row r="9">
          <cell r="L9">
            <v>4.0996419949858725</v>
          </cell>
          <cell r="M9">
            <v>3.49</v>
          </cell>
          <cell r="N9">
            <v>0.30793292891358953</v>
          </cell>
        </row>
        <row r="10">
          <cell r="L10">
            <v>4.0996399557718464</v>
          </cell>
          <cell r="M10">
            <v>3.49</v>
          </cell>
          <cell r="N10">
            <v>0.49925214617684655</v>
          </cell>
        </row>
        <row r="11">
          <cell r="L11">
            <v>3.744141195658957</v>
          </cell>
          <cell r="M11">
            <v>3.1</v>
          </cell>
          <cell r="N11">
            <v>0.79786200887602599</v>
          </cell>
        </row>
        <row r="12">
          <cell r="L12">
            <v>3.418456122456722</v>
          </cell>
          <cell r="M12">
            <v>2.7</v>
          </cell>
          <cell r="N12">
            <v>0.78790139117408509</v>
          </cell>
        </row>
        <row r="13">
          <cell r="L13">
            <v>2.6778233645406049</v>
          </cell>
          <cell r="M13">
            <v>1.83</v>
          </cell>
          <cell r="N13">
            <v>0.29879970057313349</v>
          </cell>
        </row>
        <row r="14">
          <cell r="L14">
            <v>2.2798707174293811</v>
          </cell>
          <cell r="M14">
            <v>1.26</v>
          </cell>
          <cell r="N14">
            <v>0.25525598936808658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YC Forecast 01 04 18"/>
      <sheetName val="Forecast CAPACITY 02 06 18"/>
      <sheetName val="Chart Data"/>
      <sheetName val="UCAP Chart"/>
    </sheetNames>
    <sheetDataSet>
      <sheetData sheetId="0"/>
      <sheetData sheetId="1">
        <row r="11">
          <cell r="D11">
            <v>13.255127229517752</v>
          </cell>
          <cell r="E11">
            <v>10.692104157362778</v>
          </cell>
          <cell r="F11">
            <v>2.3112943463849427</v>
          </cell>
        </row>
        <row r="12">
          <cell r="D12">
            <v>13.296882302871611</v>
          </cell>
          <cell r="E12">
            <v>10.680179517649409</v>
          </cell>
          <cell r="F12">
            <v>2.0763104002199291</v>
          </cell>
        </row>
        <row r="13">
          <cell r="D13">
            <v>13.34410585499079</v>
          </cell>
          <cell r="E13">
            <v>10.664208412516722</v>
          </cell>
          <cell r="F13">
            <v>2.2434440637273934</v>
          </cell>
        </row>
        <row r="14">
          <cell r="D14">
            <v>13.34410585499079</v>
          </cell>
          <cell r="E14">
            <v>10.664208412516722</v>
          </cell>
          <cell r="F14">
            <v>2.2434440637273934</v>
          </cell>
        </row>
        <row r="15">
          <cell r="D15">
            <v>13.34410585499079</v>
          </cell>
          <cell r="E15">
            <v>10.664208412516722</v>
          </cell>
          <cell r="F15">
            <v>2.2434440637273934</v>
          </cell>
        </row>
        <row r="16">
          <cell r="D16">
            <v>13.34410585499079</v>
          </cell>
          <cell r="E16">
            <v>10.664208412516722</v>
          </cell>
          <cell r="F16">
            <v>2.2434440637273934</v>
          </cell>
        </row>
      </sheetData>
      <sheetData sheetId="2"/>
      <sheetData sheetId="3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YC Forecast 01 04 18"/>
      <sheetName val="Forecast CAPACITY 10 04 18"/>
      <sheetName val="Chart Data"/>
      <sheetName val="Market and Effective Chart"/>
    </sheetNames>
    <sheetDataSet>
      <sheetData sheetId="0" refreshError="1"/>
      <sheetData sheetId="1" refreshError="1">
        <row r="7">
          <cell r="D7">
            <v>3.7037842236949277</v>
          </cell>
          <cell r="E7">
            <v>2.5987876488058475</v>
          </cell>
          <cell r="F7">
            <v>0.52543210034401133</v>
          </cell>
        </row>
        <row r="8">
          <cell r="D8">
            <v>3.7087873997927865</v>
          </cell>
          <cell r="E8">
            <v>2.6106109045538157</v>
          </cell>
          <cell r="F8">
            <v>0.66539959826021267</v>
          </cell>
        </row>
        <row r="9">
          <cell r="D9">
            <v>3.7241021914104131</v>
          </cell>
          <cell r="E9">
            <v>2.5957254830545908</v>
          </cell>
          <cell r="F9">
            <v>0.92554772275459796</v>
          </cell>
        </row>
        <row r="10">
          <cell r="D10">
            <v>3.7144179369132337</v>
          </cell>
          <cell r="E10">
            <v>2.6287961066685988</v>
          </cell>
          <cell r="F10">
            <v>0.93720754493291603</v>
          </cell>
        </row>
        <row r="11">
          <cell r="D11">
            <v>3.727214306107443</v>
          </cell>
          <cell r="E11">
            <v>2.6051610926660973</v>
          </cell>
          <cell r="F11">
            <v>0.59131721795162273</v>
          </cell>
        </row>
        <row r="12">
          <cell r="D12">
            <v>3.6431468067888471</v>
          </cell>
          <cell r="E12">
            <v>2.6399180153170927</v>
          </cell>
          <cell r="F12">
            <v>0.33994051449336898</v>
          </cell>
        </row>
      </sheetData>
      <sheetData sheetId="2" refreshError="1"/>
      <sheetData sheetId="3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9">
          <cell r="C9">
            <v>1.43</v>
          </cell>
          <cell r="H9">
            <v>1.1000000000000001</v>
          </cell>
          <cell r="I9">
            <v>0.97</v>
          </cell>
        </row>
        <row r="10">
          <cell r="C10">
            <v>1.43</v>
          </cell>
          <cell r="H10">
            <v>1.1000000000000001</v>
          </cell>
          <cell r="I10">
            <v>1.08</v>
          </cell>
        </row>
        <row r="11">
          <cell r="C11">
            <v>1.43</v>
          </cell>
          <cell r="H11">
            <v>1.1000000000000001</v>
          </cell>
          <cell r="I11">
            <v>1.19</v>
          </cell>
        </row>
        <row r="12">
          <cell r="C12">
            <v>1.43</v>
          </cell>
          <cell r="H12">
            <v>1.1000000000000001</v>
          </cell>
          <cell r="I12">
            <v>1.08</v>
          </cell>
        </row>
        <row r="13">
          <cell r="C13">
            <v>1.43</v>
          </cell>
          <cell r="H13">
            <v>1.1000000000000001</v>
          </cell>
          <cell r="I13">
            <v>0.97</v>
          </cell>
        </row>
        <row r="14">
          <cell r="C14">
            <v>1.43</v>
          </cell>
          <cell r="H14">
            <v>1.1000000000000001</v>
          </cell>
          <cell r="I14">
            <v>0.83</v>
          </cell>
        </row>
      </sheetData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CAP Market Report"/>
    </sheetNames>
    <sheetDataSet>
      <sheetData sheetId="0">
        <row r="21">
          <cell r="D21">
            <v>0.1171</v>
          </cell>
          <cell r="G21">
            <v>0.13750000000000001</v>
          </cell>
          <cell r="J21">
            <v>0.1799</v>
          </cell>
        </row>
      </sheetData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CAP Market Report"/>
      <sheetName val="MCP Table"/>
      <sheetName val="UCAP Table"/>
      <sheetName val="Summary Table"/>
      <sheetName val="ROS Unsold Offers"/>
      <sheetName val="NYCA MCP"/>
      <sheetName val="G-J MCP"/>
      <sheetName val="NYC MCP"/>
      <sheetName val="LI MCP"/>
      <sheetName val="NYCA Summary"/>
      <sheetName val="G-J Summary"/>
      <sheetName val="NYC Summary"/>
      <sheetName val="LI Summary"/>
      <sheetName val="NYCA UCAP"/>
      <sheetName val="G-J UCAP"/>
      <sheetName val="NYC UCAP"/>
      <sheetName val="LI UCAP"/>
    </sheetNames>
    <sheetDataSet>
      <sheetData sheetId="0">
        <row r="21">
          <cell r="D21">
            <v>0.11169999999999999</v>
          </cell>
          <cell r="G21">
            <v>0.1113</v>
          </cell>
          <cell r="J21">
            <v>7.7100000000000002E-2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CAP Market Report"/>
      <sheetName val="MCP Table"/>
      <sheetName val="UCAP Table"/>
      <sheetName val="Summary Table"/>
      <sheetName val="ROS Unsold Offers"/>
      <sheetName val="NYCA MCP"/>
      <sheetName val="G-J MCP"/>
      <sheetName val="NYC MCP"/>
      <sheetName val="LI MCP"/>
      <sheetName val="NYCA Summary"/>
      <sheetName val="G-J Summary"/>
      <sheetName val="NYC Summary"/>
      <sheetName val="LI Summary"/>
      <sheetName val="NYCA UCAP"/>
      <sheetName val="G-J UCAP"/>
      <sheetName val="NYC UCAP"/>
      <sheetName val="LI UCAP"/>
    </sheetNames>
    <sheetDataSet>
      <sheetData sheetId="0">
        <row r="21">
          <cell r="D21">
            <v>0.11890000000000001</v>
          </cell>
          <cell r="G21">
            <v>0.14990000000000001</v>
          </cell>
          <cell r="J21">
            <v>0.1527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CAP Market Report"/>
      <sheetName val="MCP Table"/>
      <sheetName val="UCAP Table"/>
      <sheetName val="Summary Table"/>
      <sheetName val="ROS Unsold Offers"/>
      <sheetName val="NYCA MCP"/>
      <sheetName val="G-J MCP"/>
      <sheetName val="NYC MCP"/>
      <sheetName val="LI MCP"/>
      <sheetName val="NYCA Summary"/>
      <sheetName val="G-J Summary"/>
      <sheetName val="NYC Summary"/>
      <sheetName val="LI Summary"/>
      <sheetName val="NYCA UCAP"/>
      <sheetName val="G-J UCAP"/>
      <sheetName val="NYC UCAP"/>
      <sheetName val="LI UCAP"/>
    </sheetNames>
    <sheetDataSet>
      <sheetData sheetId="0">
        <row r="21">
          <cell r="D21">
            <v>9.9000000000000005E-2</v>
          </cell>
          <cell r="G21">
            <v>0.14990000000000001</v>
          </cell>
          <cell r="J21">
            <v>4.48E-2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CAP Market Report"/>
      <sheetName val="MCP Table"/>
      <sheetName val="UCAP Table"/>
      <sheetName val="Summary Table"/>
      <sheetName val="ROS Unsold Offers"/>
      <sheetName val="Chart1"/>
      <sheetName val="Chart2"/>
      <sheetName val="Chart3"/>
      <sheetName val="Chart4"/>
      <sheetName val="Chart5"/>
      <sheetName val="Chart6"/>
      <sheetName val="Chart7"/>
      <sheetName val="Chart8"/>
      <sheetName val="Chart9"/>
      <sheetName val="Chart10"/>
      <sheetName val="Chart11"/>
      <sheetName val="Chart12"/>
    </sheetNames>
    <sheetDataSet>
      <sheetData sheetId="0">
        <row r="21">
          <cell r="D21">
            <v>9.9000000000000005E-2</v>
          </cell>
          <cell r="G21">
            <v>0.14990000000000001</v>
          </cell>
          <cell r="J21">
            <v>4.48E-2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les Forecast"/>
      <sheetName val="Adj Sales Forecast"/>
      <sheetName val="Demand Forecast"/>
      <sheetName val="Adj Demand Forecast "/>
      <sheetName val="Forecasted TOD kW by Period"/>
      <sheetName val="Forecasted Conv kW by Period"/>
      <sheetName val="TOD % of Reg kW"/>
      <sheetName val="Forecasted TOD kWh by Period"/>
      <sheetName val="TOD OnOff kWh Ratios"/>
      <sheetName val="TODS On Off %"/>
      <sheetName val="MSC Cover Page "/>
      <sheetName val="Capacity Estimates"/>
      <sheetName val="SC 1 Rate III MSC Cap"/>
      <sheetName val="May - Oct Capacity MSC by Class"/>
      <sheetName val="Nov - Apr Capacity MSC by Class"/>
      <sheetName val="Lookup Tables for Level Billing"/>
      <sheetName val="MSC - Energy SC1"/>
      <sheetName val="Level Billing Summary"/>
      <sheetName val="MTM MSC Estimates 1,9 "/>
      <sheetName val="MAC Cover Page "/>
      <sheetName val="Valued History"/>
      <sheetName val="Forecast MAC Total"/>
      <sheetName val="NYISO Strip Auction Price"/>
      <sheetName val="May Price Out"/>
      <sheetName val="Jun Price Out"/>
      <sheetName val="Jul Price Out"/>
      <sheetName val="Aug Price Out"/>
      <sheetName val="Sep Price Out"/>
      <sheetName val="Oct Price Out"/>
      <sheetName val="Nov Price Out"/>
      <sheetName val="Dec Price Out"/>
      <sheetName val="Jan Price Out"/>
      <sheetName val="Feb Price Out"/>
      <sheetName val="Mar Price Out"/>
      <sheetName val="Apr Price Out"/>
    </sheetNames>
    <sheetDataSet>
      <sheetData sheetId="0"/>
      <sheetData sheetId="1">
        <row r="6">
          <cell r="B6">
            <v>923684270</v>
          </cell>
        </row>
      </sheetData>
      <sheetData sheetId="2"/>
      <sheetData sheetId="3">
        <row r="6">
          <cell r="B6">
            <v>174</v>
          </cell>
        </row>
      </sheetData>
      <sheetData sheetId="4">
        <row r="5">
          <cell r="H5">
            <v>17868</v>
          </cell>
        </row>
      </sheetData>
      <sheetData sheetId="5">
        <row r="22">
          <cell r="H22">
            <v>293164</v>
          </cell>
        </row>
      </sheetData>
      <sheetData sheetId="6"/>
      <sheetData sheetId="7"/>
      <sheetData sheetId="8"/>
      <sheetData sheetId="9">
        <row r="5">
          <cell r="L5">
            <v>0.24660000000000001</v>
          </cell>
        </row>
      </sheetData>
      <sheetData sheetId="10"/>
      <sheetData sheetId="11">
        <row r="53">
          <cell r="U53">
            <v>111.19</v>
          </cell>
        </row>
      </sheetData>
      <sheetData sheetId="12">
        <row r="153">
          <cell r="A153">
            <v>44501</v>
          </cell>
        </row>
      </sheetData>
      <sheetData sheetId="13">
        <row r="20">
          <cell r="G20">
            <v>6.9279999999999994E-2</v>
          </cell>
          <cell r="H20">
            <v>1.7170000000000001E-2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Page "/>
      <sheetName val="Notes"/>
      <sheetName val="MAC Methodology Aug 05"/>
      <sheetName val="Note on Mac Methodology"/>
      <sheetName val="MAC Methodology"/>
      <sheetName val="2008 Rate Case Forecast"/>
      <sheetName val="Adj 2008 Rate CaseForecast"/>
      <sheetName val="2008 Rate Case kW Forecast"/>
      <sheetName val="Adjusted kW Forecast "/>
      <sheetName val="Forecasted Conv kW by Period"/>
      <sheetName val="Forecasted TOD KW by Period"/>
      <sheetName val="Forecasted TOD Kwh byPeriod"/>
      <sheetName val="TOD OnOff Ratios"/>
      <sheetName val="TODS On Off %"/>
      <sheetName val="Titles"/>
      <sheetName val="Energy Inputs"/>
      <sheetName val="Old Cap Est for Deletion"/>
      <sheetName val="Capacity Estimates May-July"/>
      <sheetName val="May - Jul Capacity MSC by Class"/>
      <sheetName val="MSC Energy Only May"/>
      <sheetName val="MSC TODS May"/>
      <sheetName val="MSC Conv Demand  May"/>
      <sheetName val="MSC TODLM May"/>
      <sheetName val="Capacity Estimates Aug-Oct"/>
      <sheetName val="monthly Cap Estimates aug-oct"/>
      <sheetName val="Aug - Oct Capacity MSC by Class"/>
      <sheetName val="MSC Energy Only Aug"/>
      <sheetName val="MSC TODS August"/>
      <sheetName val="MSC Conv Demand  Aug"/>
      <sheetName val="MSC TODLM Aug"/>
      <sheetName val="Capacity Estimates Feb-Apr"/>
      <sheetName val="Feb-Apr Capacity MSC by Cla "/>
      <sheetName val="MSC Energy Only Feb"/>
      <sheetName val="MSC TODS February"/>
      <sheetName val="MSC Conv Demand  Feb"/>
      <sheetName val="MSC TODLM Feb"/>
      <sheetName val="Capacity Estimates Nov-Jan"/>
      <sheetName val="Nov-Jan Capacity MSC by Class "/>
      <sheetName val="MSC Energy Only Nov"/>
      <sheetName val="MSC TODS November"/>
      <sheetName val="MSC Conv Demand  Nov"/>
      <sheetName val="MSC TODLM Nov"/>
      <sheetName val="Forecast MAC - NUG Capacity"/>
      <sheetName val="Forecast MAC Total"/>
      <sheetName val="Adj to Mac Redux"/>
      <sheetName val="Alloc of Rate Case MAC Redux"/>
      <sheetName val="Energy Only Summary"/>
      <sheetName val="TODS Summary"/>
      <sheetName val="Billing Proof"/>
      <sheetName val="Conv Demand Summary"/>
      <sheetName val="TODM TODL Summary"/>
      <sheetName val="All TOD Energy Data"/>
      <sheetName val="May Price Out"/>
      <sheetName val="June Price Out"/>
      <sheetName val="July Price Out"/>
      <sheetName val="Aug Price Out"/>
      <sheetName val="Sept Price Out"/>
      <sheetName val="Oct Price Out"/>
      <sheetName val="Nov Price Out"/>
      <sheetName val="Dec Price Out"/>
      <sheetName val="Jan Price Out"/>
      <sheetName val="Feb Price Out"/>
      <sheetName val="Mar Price Out"/>
      <sheetName val="Apr Price Out"/>
      <sheetName val="May Variance Report"/>
      <sheetName val="June Variance Report"/>
      <sheetName val="July Variance Report"/>
      <sheetName val="Feb Conv Dem MAC 100% "/>
      <sheetName val="May Conv Dem MAC 100%"/>
      <sheetName val="All TOD Energy MAC 100%"/>
      <sheetName val="May TOD Capacity MAC 100%"/>
      <sheetName val="Aug TOD Capacity MAC 100% "/>
      <sheetName val="Nov TOD Capacity MAC 100% "/>
      <sheetName val="Feb TOD Capacity MAC 100%"/>
      <sheetName val="May VTOD Capacity MAC 100%"/>
      <sheetName val="Aug  VTOD Capacity MAC 100% "/>
      <sheetName val="Nov VTOD Capacity MAC 100% "/>
      <sheetName val="Feb VTOD Capacity MAC 100%"/>
      <sheetName val="Nov Conv Dem MAC 100%"/>
      <sheetName val="Aug Conv Dem MAC 100%"/>
      <sheetName val="May Energy Only MAC 100%"/>
      <sheetName val="Aug Energy Only MAC 100%"/>
      <sheetName val="Feb Energy Only MAC 100%"/>
      <sheetName val="Nov Energy Only MAC 100% "/>
      <sheetName val="jane tod vol % "/>
      <sheetName val="Nov Price Out (2)"/>
      <sheetName val="Dec Price Out (2)"/>
      <sheetName val="Jan Price Out (2)"/>
      <sheetName val="August Variance Report"/>
      <sheetName val="Sept Variance Report"/>
      <sheetName val="October Variance Report"/>
      <sheetName val="Jane Summary  (Not Used)"/>
      <sheetName val="Non RTP Capacity (Not Used)"/>
      <sheetName val="November Variance Report"/>
      <sheetName val="December Variance Report"/>
      <sheetName val="January Varianc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6">
          <cell r="B6">
            <v>933000000</v>
          </cell>
          <cell r="C6">
            <v>1176000000</v>
          </cell>
          <cell r="D6">
            <v>1544000000</v>
          </cell>
        </row>
        <row r="11">
          <cell r="B11">
            <v>163000000</v>
          </cell>
          <cell r="C11">
            <v>176000000</v>
          </cell>
          <cell r="D11">
            <v>201000000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11">
          <cell r="B11">
            <v>1.165</v>
          </cell>
        </row>
        <row r="21">
          <cell r="B21">
            <v>9.1999999999999993</v>
          </cell>
        </row>
        <row r="22">
          <cell r="B22">
            <v>5.12</v>
          </cell>
        </row>
      </sheetData>
      <sheetData sheetId="18">
        <row r="20">
          <cell r="B20">
            <v>3698290</v>
          </cell>
        </row>
        <row r="21">
          <cell r="B21">
            <v>808860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Notes"/>
      <sheetName val="Extrapolation"/>
      <sheetName val="Winter"/>
      <sheetName val="Summer"/>
      <sheetName val="E"/>
      <sheetName val="D "/>
      <sheetName val="C"/>
      <sheetName val="Count"/>
      <sheetName val="Sheet1"/>
      <sheetName val="A"/>
      <sheetName val="B"/>
      <sheetName val="Sept Correction - No holiday"/>
      <sheetName val="July Correction - No Holiday"/>
    </sheetNames>
    <sheetDataSet>
      <sheetData sheetId="0">
        <row r="63">
          <cell r="K63">
            <v>0.12584041200869023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Page "/>
      <sheetName val="Notes"/>
      <sheetName val="MAC Methodology Aug 05"/>
      <sheetName val="Note on Mac Methodology"/>
      <sheetName val="MAC Methodology"/>
      <sheetName val="2008 Rate Case Forecast"/>
      <sheetName val="Adj 2008 Rate CaseForecast"/>
      <sheetName val="2008 Rate Case kW Forecast"/>
      <sheetName val="Adjusted kW Forecast "/>
      <sheetName val="Forecasted TOD KW by Period"/>
      <sheetName val="Forecasted Conv kW by Period"/>
      <sheetName val="TOD % of Reg kW"/>
      <sheetName val="Forecasted TOD Kwh byPeriod"/>
      <sheetName val="TOD OnOff Ratios"/>
      <sheetName val="TODS On Off %"/>
      <sheetName val="Titles"/>
      <sheetName val="Energy Inputs"/>
      <sheetName val="Old Cap Est for Deletion"/>
      <sheetName val="Capacity Estimates May-July"/>
      <sheetName val="May - Jul Capacity MSC by Class"/>
      <sheetName val="MSC Energy Only May"/>
      <sheetName val="MSC TODS May"/>
      <sheetName val="MSC Conv Demand  May"/>
      <sheetName val="MSC TODLM May"/>
      <sheetName val="Capacity Estimates Aug-Oct"/>
      <sheetName val="monthly Cap Estimates aug-oct"/>
      <sheetName val="Aug - Oct Capacity MSC by Class"/>
      <sheetName val="MSC Energy Only Aug"/>
      <sheetName val="MSC TODS August"/>
      <sheetName val="MSC Conv Demand  Aug"/>
      <sheetName val="MSC TODLM Aug"/>
      <sheetName val="Capacity Estimates Feb-Apr"/>
      <sheetName val="Feb-Apr Capacity MSC by Cla "/>
      <sheetName val="MSC Energy Only Feb"/>
      <sheetName val="MSC TODS February"/>
      <sheetName val="MSC Conv Demand  Feb"/>
      <sheetName val="MSC TODLM Feb"/>
      <sheetName val="Capacity Estimates Nov-Jan"/>
      <sheetName val="Nov-Jan Capacity MSC by Class "/>
      <sheetName val="MSC Energy Only Nov"/>
      <sheetName val="MSC TODS November"/>
      <sheetName val="MSC Conv Demand  Nov"/>
      <sheetName val="MSC TODLM Nov"/>
      <sheetName val="Forecast MAC - NUG Capacity"/>
      <sheetName val="Forecast MAC Total"/>
      <sheetName val="Adj to Mac Redux"/>
      <sheetName val="Alloc of Rate Case MAC Redux"/>
      <sheetName val="Energy Only Summary"/>
      <sheetName val="TODS Summary"/>
      <sheetName val="Billing Proof"/>
      <sheetName val="Conv Demand Summary"/>
      <sheetName val="TODM TODL Summary"/>
      <sheetName val="All TOD Energy Data"/>
      <sheetName val="May Price Out"/>
      <sheetName val="June Price Out"/>
      <sheetName val="July Price Out"/>
      <sheetName val="Aug Price Out"/>
      <sheetName val="Sept Price Out"/>
      <sheetName val="Oct Price Out"/>
      <sheetName val="Nov Price Out"/>
      <sheetName val="Dec Price Out"/>
      <sheetName val="Jan Price Out"/>
      <sheetName val="Feb Price Out"/>
      <sheetName val="Mar Price Out"/>
      <sheetName val="Apr Price Out"/>
      <sheetName val="May Variance Report"/>
      <sheetName val="June Variance Report"/>
      <sheetName val="July Variance Report"/>
      <sheetName val="Feb Conv Dem MAC 100% "/>
      <sheetName val="May Conv Dem MAC 100%"/>
      <sheetName val="All TOD Energy MAC 100%"/>
      <sheetName val="May TOD Capacity MAC 100%"/>
      <sheetName val="Aug TOD Capacity MAC 100% "/>
      <sheetName val="Nov TOD Capacity MAC 100% "/>
      <sheetName val="Feb TOD Capacity MAC 100%"/>
      <sheetName val="May VTOD Capacity MAC 100%"/>
      <sheetName val="Aug  VTOD Capacity MAC 100% "/>
      <sheetName val="Nov VTOD Capacity MAC 100% "/>
      <sheetName val="Feb VTOD Capacity MAC 100%"/>
      <sheetName val="Nov Conv Dem MAC 100%"/>
      <sheetName val="Aug Conv Dem MAC 100%"/>
      <sheetName val="May Energy Only MAC 100%"/>
      <sheetName val="Aug Energy Only MAC 100%"/>
      <sheetName val="Feb Energy Only MAC 100%"/>
      <sheetName val="Nov Energy Only MAC 100% "/>
      <sheetName val="jane tod vol % "/>
      <sheetName val="Nov Price Out (2)"/>
      <sheetName val="Dec Price Out (2)"/>
      <sheetName val="Jan Price Out (2)"/>
      <sheetName val="August Variance Report"/>
      <sheetName val="Sept Variance Report"/>
      <sheetName val="October Variance Report"/>
      <sheetName val="Jane Summary  (Not Used)"/>
      <sheetName val="Non RTP Capacity (Not Used)"/>
      <sheetName val="November Variance Report"/>
      <sheetName val="December Variance Report"/>
      <sheetName val="January Varianc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6">
          <cell r="E6">
            <v>1665000000</v>
          </cell>
          <cell r="F6">
            <v>1503000000</v>
          </cell>
          <cell r="G6">
            <v>1096000000</v>
          </cell>
        </row>
        <row r="11">
          <cell r="E11">
            <v>205000000</v>
          </cell>
          <cell r="F11">
            <v>201000000</v>
          </cell>
          <cell r="G11">
            <v>169000000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>
        <row r="11">
          <cell r="B11">
            <v>1.165</v>
          </cell>
        </row>
        <row r="12">
          <cell r="B12">
            <v>0.8</v>
          </cell>
        </row>
        <row r="21">
          <cell r="B21">
            <v>9.8935621718806193</v>
          </cell>
        </row>
        <row r="22">
          <cell r="B22">
            <v>5.0720773911187029</v>
          </cell>
        </row>
      </sheetData>
      <sheetData sheetId="25" refreshError="1"/>
      <sheetData sheetId="26">
        <row r="20">
          <cell r="B20">
            <v>3698290</v>
          </cell>
        </row>
        <row r="21">
          <cell r="B21">
            <v>808860</v>
          </cell>
        </row>
      </sheetData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Page "/>
      <sheetName val="Notes"/>
      <sheetName val="MAC Methodology Aug 05"/>
      <sheetName val="Note on Mac Methodology"/>
      <sheetName val="MAC Methodology"/>
      <sheetName val="2008 Rate Case Forecast"/>
      <sheetName val="Adj 2008 Rate CaseForecast"/>
      <sheetName val="2008 Rate Case kW Forecast"/>
      <sheetName val="Adjusted kW Forecast "/>
      <sheetName val="Forecasted TOD KW by Period"/>
      <sheetName val="Forecasted Conv kW by Period"/>
      <sheetName val="TOD % of Reg kW"/>
      <sheetName val="Forecasted TOD Kwh byPeriod"/>
      <sheetName val="TOD OnOff Ratios"/>
      <sheetName val="TODS On Off %"/>
      <sheetName val="Titles"/>
      <sheetName val="Energy Inputs"/>
      <sheetName val="Old Cap Est for Deletion"/>
      <sheetName val="Capacity Estimates May-July"/>
      <sheetName val="May - Jul Capacity MSC by Class"/>
      <sheetName val="MSC Energy Only May"/>
      <sheetName val="MSC TODS May"/>
      <sheetName val="MSC Conv Demand  May"/>
      <sheetName val="MSC TODLM May"/>
      <sheetName val="Capacity Estimates Aug-Oct"/>
      <sheetName val="monthly Cap Estimates aug-oct"/>
      <sheetName val="Aug - Oct Capacity MSC by Class"/>
      <sheetName val="MSC Energy Only Aug"/>
      <sheetName val="MSC TODS August"/>
      <sheetName val="MSC Conv Demand  Aug"/>
      <sheetName val="MSC TODLM Aug"/>
      <sheetName val="Capacity Estimates Feb-Apr"/>
      <sheetName val="Feb-Apr Capacity MSC by Cla "/>
      <sheetName val="MSC Energy Only Feb"/>
      <sheetName val="MSC TODS February"/>
      <sheetName val="MSC Conv Demand  Feb"/>
      <sheetName val="MSC TODLM Feb"/>
      <sheetName val="Capacity Estimates Nov-Jan"/>
      <sheetName val="Nov-Jan Capacity MSC by Class "/>
      <sheetName val="MSC Energy Only Nov"/>
      <sheetName val="MSC TODS November"/>
      <sheetName val="MSC Conv Demand  Nov"/>
      <sheetName val="MSC TODLM Nov"/>
      <sheetName val="Forecast MAC - NUG Capacity"/>
      <sheetName val="Forecast MAC Total"/>
      <sheetName val="Adj to Mac Redux"/>
      <sheetName val="Alloc of Rate Case MAC Redux"/>
      <sheetName val="Energy Only Summary"/>
      <sheetName val="TODS Summary"/>
      <sheetName val="Billing Proof"/>
      <sheetName val="Conv Demand Summary"/>
      <sheetName val="TODM TODL Summary"/>
      <sheetName val="All TOD Energy Data"/>
      <sheetName val="May Price Out"/>
      <sheetName val="June Price Out"/>
      <sheetName val="July Price Out"/>
      <sheetName val="Aug Price Out"/>
      <sheetName val="Sept Price Out"/>
      <sheetName val="Oct Price Out"/>
      <sheetName val="Nov Price Out"/>
      <sheetName val="Dec Price Out"/>
      <sheetName val="Jan Price Out"/>
      <sheetName val="Feb Price Out"/>
      <sheetName val="Mar Price Out"/>
      <sheetName val="Apr Price Out"/>
      <sheetName val="May Variance Report"/>
      <sheetName val="June Variance Report"/>
      <sheetName val="July Variance Report"/>
      <sheetName val="Feb Conv Dem MAC 100% "/>
      <sheetName val="May Conv Dem MAC 100%"/>
      <sheetName val="All TOD Energy MAC 100%"/>
      <sheetName val="May TOD Capacity MAC 100%"/>
      <sheetName val="Aug TOD Capacity MAC 100% "/>
      <sheetName val="Nov TOD Capacity MAC 100% "/>
      <sheetName val="Feb TOD Capacity MAC 100%"/>
      <sheetName val="May VTOD Capacity MAC 100%"/>
      <sheetName val="Aug  VTOD Capacity MAC 100% "/>
      <sheetName val="Nov VTOD Capacity MAC 100% "/>
      <sheetName val="Feb VTOD Capacity MAC 100%"/>
      <sheetName val="Nov Conv Dem MAC 100%"/>
      <sheetName val="Aug Conv Dem MAC 100%"/>
      <sheetName val="May Energy Only MAC 100%"/>
      <sheetName val="Aug Energy Only MAC 100%"/>
      <sheetName val="Feb Energy Only MAC 100%"/>
      <sheetName val="Nov Energy Only MAC 100% "/>
      <sheetName val="jane tod vol % "/>
      <sheetName val="Nov Price Out (2)"/>
      <sheetName val="Dec Price Out (2)"/>
      <sheetName val="Jan Price Out (2)"/>
      <sheetName val="August Variance Report"/>
      <sheetName val="Sept Variance Report"/>
      <sheetName val="October Variance Report"/>
      <sheetName val="Jane Summary  (Not Used)"/>
      <sheetName val="Non RTP Capacity (Not Used)"/>
      <sheetName val="November Variance Report"/>
      <sheetName val="December Variance Report"/>
      <sheetName val="January Varianc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6">
          <cell r="H6">
            <v>992000000</v>
          </cell>
          <cell r="I6">
            <v>1096000000</v>
          </cell>
          <cell r="J6">
            <v>1172000000</v>
          </cell>
        </row>
        <row r="11">
          <cell r="H11">
            <v>162000000</v>
          </cell>
          <cell r="I11">
            <v>186000000</v>
          </cell>
          <cell r="J11">
            <v>197000000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>
        <row r="11">
          <cell r="B11">
            <v>1.165</v>
          </cell>
        </row>
        <row r="12">
          <cell r="B12">
            <v>0.8</v>
          </cell>
        </row>
        <row r="21">
          <cell r="B21">
            <v>4.83</v>
          </cell>
        </row>
        <row r="22">
          <cell r="B22">
            <v>2.41</v>
          </cell>
        </row>
      </sheetData>
      <sheetData sheetId="38">
        <row r="20">
          <cell r="B20">
            <v>3698290</v>
          </cell>
        </row>
        <row r="21">
          <cell r="B21">
            <v>808860</v>
          </cell>
        </row>
      </sheetData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Page "/>
      <sheetName val="Notes"/>
      <sheetName val="MAC Methodology Aug 05"/>
      <sheetName val="Note on Mac Methodology"/>
      <sheetName val="MAC Methodology"/>
      <sheetName val="2008 Rate Case Forecast"/>
      <sheetName val="Adj 2008 Rate CaseForecast"/>
      <sheetName val="2008 Rate Case kW Forecast"/>
      <sheetName val="Adjusted kW Forecast "/>
      <sheetName val="Forecasted TOD KW by Period"/>
      <sheetName val="Forecasted Conv kW by Period"/>
      <sheetName val="TOD % of Reg kW"/>
      <sheetName val="Forecasted TOD Kwh byPeriod"/>
      <sheetName val="TOD OnOff Ratios"/>
      <sheetName val="TODS On Off %"/>
      <sheetName val="Titles"/>
      <sheetName val="Energy Inputs"/>
      <sheetName val="Old Cap Est for Deletion"/>
      <sheetName val="Capacity Estimates May-July"/>
      <sheetName val="May - Jul Capacity MSC by Class"/>
      <sheetName val="MSC Energy Only May"/>
      <sheetName val="MSC TODS May"/>
      <sheetName val="MSC Conv Demand  May"/>
      <sheetName val="MSC TODLM May"/>
      <sheetName val="Capacity Estimates Aug-Oct"/>
      <sheetName val="monthly Cap Estimates aug-oct"/>
      <sheetName val="Aug - Oct Capacity MSC by Class"/>
      <sheetName val="MSC Energy Only Aug"/>
      <sheetName val="MSC TODS August"/>
      <sheetName val="MSC Conv Demand  Aug"/>
      <sheetName val="MSC TODLM Aug"/>
      <sheetName val="Capacity Estimates Feb-Apr"/>
      <sheetName val="Capacity Estimates Nov-Jan"/>
      <sheetName val="Nov-Jan Capacity MSC by Class "/>
      <sheetName val="Feb-Apr Capacity MSC by Class "/>
      <sheetName val="MSC Energy Only Feb"/>
      <sheetName val="MSC Energy Only Nov"/>
      <sheetName val="MSC TODS February"/>
      <sheetName val="MSC TODS November"/>
      <sheetName val="MSC Conv Demand  Feb"/>
      <sheetName val="MSC Conv Demand  Nov"/>
      <sheetName val="MSC TODLM Feb"/>
      <sheetName val="MSC TODLM Nov"/>
      <sheetName val="Forecast MAC - NUG Capacity"/>
      <sheetName val="Forecast MAC Total"/>
      <sheetName val="Adj to Mac Redux"/>
      <sheetName val="Alloc of Rate Case MAC Redux"/>
      <sheetName val="Energy Only Summary"/>
      <sheetName val="TODS Summary"/>
      <sheetName val="Billing Proof"/>
      <sheetName val="Conv Demand Summary"/>
      <sheetName val="TODM TODL Summary"/>
      <sheetName val="All TOD Energy Data"/>
      <sheetName val="May Price Out"/>
      <sheetName val="June Price Out"/>
      <sheetName val="July Price Out"/>
      <sheetName val="Aug Price Out"/>
      <sheetName val="Sept Price Out"/>
      <sheetName val="Oct Price Out"/>
      <sheetName val="Nov Price Out"/>
      <sheetName val="Dec Price Out"/>
      <sheetName val="Jan Price Out"/>
      <sheetName val="Feb Price Out"/>
      <sheetName val="Mar Price Out"/>
      <sheetName val="Apr Price Out"/>
      <sheetName val="May Variance Report"/>
      <sheetName val="June Variance Report"/>
      <sheetName val="July Variance Report"/>
      <sheetName val="Feb Conv Dem MAC 100% "/>
      <sheetName val="May Conv Dem MAC 100%"/>
      <sheetName val="All TOD Energy MAC 100%"/>
      <sheetName val="May TOD Capacity MAC 100%"/>
      <sheetName val="Aug TOD Capacity MAC 100% "/>
      <sheetName val="Nov TOD Capacity MAC 100% "/>
      <sheetName val="Feb TOD Capacity MAC 100%"/>
      <sheetName val="May VTOD Capacity MAC 100%"/>
      <sheetName val="Aug  VTOD Capacity MAC 100% "/>
      <sheetName val="Nov VTOD Capacity MAC 100% "/>
      <sheetName val="Feb VTOD Capacity MAC 100%"/>
      <sheetName val="Nov Conv Dem MAC 100%"/>
      <sheetName val="Aug Conv Dem MAC 100%"/>
      <sheetName val="May Energy Only MAC 100%"/>
      <sheetName val="Aug Energy Only MAC 100%"/>
      <sheetName val="Feb Energy Only MAC 100%"/>
      <sheetName val="Nov Energy Only MAC 100% "/>
      <sheetName val="jane tod vol % "/>
      <sheetName val="Nov Price Out (2)"/>
      <sheetName val="Dec Price Out (2)"/>
      <sheetName val="Jan Price Out (2)"/>
      <sheetName val="August Variance Report"/>
      <sheetName val="Sept Variance Report"/>
      <sheetName val="October Variance Report"/>
      <sheetName val="Jane Summary  (Not Used)"/>
      <sheetName val="Non RTP Capacity (Not Used)"/>
      <sheetName val="November Variance Report"/>
      <sheetName val="December Variance Report"/>
      <sheetName val="January Varianc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6">
          <cell r="K6">
            <v>1092000000</v>
          </cell>
          <cell r="L6">
            <v>1006000000</v>
          </cell>
          <cell r="M6">
            <v>925000000</v>
          </cell>
        </row>
        <row r="11">
          <cell r="K11">
            <v>196000000</v>
          </cell>
          <cell r="L11">
            <v>186000000</v>
          </cell>
          <cell r="M11">
            <v>167000000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1">
          <cell r="B11">
            <v>1.165</v>
          </cell>
        </row>
        <row r="12">
          <cell r="B12">
            <v>0.8</v>
          </cell>
        </row>
        <row r="21">
          <cell r="B21">
            <v>2.6</v>
          </cell>
        </row>
        <row r="22">
          <cell r="B22">
            <v>1.86</v>
          </cell>
        </row>
      </sheetData>
      <sheetData sheetId="32" refreshError="1"/>
      <sheetData sheetId="33" refreshError="1"/>
      <sheetData sheetId="34">
        <row r="20">
          <cell r="B20">
            <v>3698290</v>
          </cell>
        </row>
        <row r="21">
          <cell r="B21">
            <v>808860</v>
          </cell>
        </row>
      </sheetData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Note on Mac Methodology"/>
      <sheetName val="MAC Methodology"/>
      <sheetName val="Rate Case Forecast"/>
      <sheetName val="Adj Rate CaseForecast"/>
      <sheetName val="Rate Case kW Forecast"/>
      <sheetName val="Adjusted kW Forecast "/>
      <sheetName val="Forecasted TOD KW by Period"/>
      <sheetName val="Forecasted Conv kW by Period"/>
      <sheetName val="TOD % of Reg kW"/>
      <sheetName val="Forecasted TOD Kwh byPeriod"/>
      <sheetName val="TOD OnOff Ratios"/>
      <sheetName val="TODS On Off %"/>
      <sheetName val="MSC Cover Page "/>
      <sheetName val="Capacity Estimates"/>
      <sheetName val="May - Oct Capacity MSC by Class"/>
      <sheetName val="Nov - Apr Capacity MSC by Class"/>
      <sheetName val="MSC - Energy SC1"/>
      <sheetName val="MTM MSC Estimates 1,9"/>
      <sheetName val="MAC Cover Page "/>
      <sheetName val="Forecast MAC Total"/>
      <sheetName val="Forecast MAC - NUG Capacity"/>
      <sheetName val="Adj to Mac Redux"/>
      <sheetName val="Alloc of Rate Case MAC Redux"/>
      <sheetName val="Billing Proof"/>
      <sheetName val="All TOD Energy Data"/>
      <sheetName val="May Price Out"/>
      <sheetName val="June Price Out"/>
      <sheetName val="July Price Out"/>
      <sheetName val="Aug Price Out"/>
      <sheetName val="Sept Price Out"/>
      <sheetName val="Oct Price Out"/>
      <sheetName val="Nov Price Out"/>
      <sheetName val="Dec Price Out"/>
      <sheetName val="Jan Price Out"/>
      <sheetName val="Feb Price Out"/>
      <sheetName val="Mar Price Out"/>
      <sheetName val="Apr Price Out"/>
      <sheetName val="May Variance Report"/>
      <sheetName val="June Variance Report"/>
      <sheetName val="July Variance Report"/>
      <sheetName val="Feb Conv Dem MAC 100% "/>
      <sheetName val="May Conv Dem MAC 100%"/>
      <sheetName val="All TOD Energy MAC 100%"/>
      <sheetName val="May TOD Capacity MAC 100%"/>
      <sheetName val="Aug TOD Capacity MAC 100% "/>
      <sheetName val="Nov TOD Capacity MAC 100% "/>
      <sheetName val="Feb TOD Capacity MAC 100%"/>
      <sheetName val="May VTOD Capacity MAC 100%"/>
      <sheetName val="Aug  VTOD Capacity MAC 100% "/>
      <sheetName val="Nov VTOD Capacity MAC 100% "/>
      <sheetName val="Feb VTOD Capacity MAC 100%"/>
      <sheetName val="Nov Conv Dem MAC 100%"/>
      <sheetName val="Aug Conv Dem MAC 100%"/>
      <sheetName val="May Energy Only MAC 100%"/>
      <sheetName val="Aug Energy Only MAC 100%"/>
      <sheetName val="Feb Energy Only MAC 100%"/>
      <sheetName val="Nov Energy Only MAC 100% "/>
      <sheetName val="jane tod vol % "/>
      <sheetName val="August Variance Report"/>
      <sheetName val="Sept Variance Report"/>
      <sheetName val="October Variance Report"/>
      <sheetName val="November Variance Report"/>
      <sheetName val="December Variance Report"/>
      <sheetName val="January Variance Report"/>
    </sheetNames>
    <sheetDataSet>
      <sheetData sheetId="0" refreshError="1"/>
      <sheetData sheetId="1" refreshError="1"/>
      <sheetData sheetId="2" refreshError="1"/>
      <sheetData sheetId="3" refreshError="1"/>
      <sheetData sheetId="4">
        <row r="6">
          <cell r="B6">
            <v>901000000</v>
          </cell>
          <cell r="C6">
            <v>1193000000</v>
          </cell>
          <cell r="D6">
            <v>1550000000</v>
          </cell>
          <cell r="E6">
            <v>1689000000</v>
          </cell>
          <cell r="F6">
            <v>1515000000</v>
          </cell>
          <cell r="G6">
            <v>1108000000</v>
          </cell>
        </row>
        <row r="11">
          <cell r="B11">
            <v>156000000</v>
          </cell>
          <cell r="C11">
            <v>178000000</v>
          </cell>
          <cell r="D11">
            <v>203000000</v>
          </cell>
          <cell r="E11">
            <v>209000000</v>
          </cell>
          <cell r="F11">
            <v>203000000</v>
          </cell>
          <cell r="G11">
            <v>171000000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13">
          <cell r="B13">
            <v>1.18</v>
          </cell>
        </row>
        <row r="14">
          <cell r="B14">
            <v>0.8</v>
          </cell>
        </row>
        <row r="23">
          <cell r="B23">
            <v>15.39</v>
          </cell>
        </row>
        <row r="24">
          <cell r="B24">
            <v>3.28</v>
          </cell>
        </row>
      </sheetData>
      <sheetData sheetId="15">
        <row r="20">
          <cell r="B20">
            <v>3316217</v>
          </cell>
        </row>
        <row r="21">
          <cell r="B21">
            <v>737443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Note on Mac Methodology"/>
      <sheetName val="MAC Methodology"/>
      <sheetName val="2011 Op Bud Forecast"/>
      <sheetName val="Adj 2011 Op Bud Forecast"/>
      <sheetName val="2011 Op Bud kW Forecast"/>
      <sheetName val="Adj 2011 Op Bud kW Forecast "/>
      <sheetName val="Forecasted TOD KW by Period"/>
      <sheetName val="Forecasted Conv kW by Period"/>
      <sheetName val="TOD % of Reg kW"/>
      <sheetName val="Forecasted TOD Kwh byPeriod"/>
      <sheetName val="TOD OnOff Ratios"/>
      <sheetName val="TODS On Off %"/>
      <sheetName val="MSC Cover Page "/>
      <sheetName val="Capacity Estimates"/>
      <sheetName val="May - Oct Capacity MSC by Class"/>
      <sheetName val="Nov - Apr Capacity MSC by Class"/>
      <sheetName val="MSC - Energy SC1"/>
      <sheetName val="Lookup Tables for Level Billing"/>
      <sheetName val="MTM MSC Estimates 1,9"/>
      <sheetName val="MAC Cover Page "/>
      <sheetName val="Forecast MAC Total"/>
      <sheetName val="Forecast MAC - NUG Capacity"/>
      <sheetName val="Adj to Mac Redux"/>
      <sheetName val="Alloc of Rate Case MAC Redux"/>
      <sheetName val="Billing Proof"/>
      <sheetName val="All TOD Energy Data"/>
      <sheetName val="May Price Out"/>
      <sheetName val="June Price Out"/>
      <sheetName val="July Price Out"/>
      <sheetName val="Aug Price Out"/>
      <sheetName val="Sept Price Out"/>
      <sheetName val="Oct Price Out"/>
      <sheetName val="Nov Price Out"/>
      <sheetName val="Dec Price Out"/>
      <sheetName val="Jan Price Out"/>
      <sheetName val="Feb Price Out"/>
      <sheetName val="Mar Price Out"/>
      <sheetName val="Apr Price Out"/>
      <sheetName val="May Variance Report"/>
      <sheetName val="June Variance Report"/>
      <sheetName val="July Variance Report"/>
      <sheetName val="Feb Conv Dem MAC 100% "/>
      <sheetName val="May Conv Dem MAC 100%"/>
      <sheetName val="All TOD Energy MAC 100%"/>
      <sheetName val="May TOD Capacity MAC 100%"/>
      <sheetName val="Aug TOD Capacity MAC 100% "/>
      <sheetName val="Nov TOD Capacity MAC 100% "/>
      <sheetName val="Feb TOD Capacity MAC 100%"/>
      <sheetName val="May VTOD Capacity MAC 100%"/>
      <sheetName val="Aug  VTOD Capacity MAC 100% "/>
      <sheetName val="Nov VTOD Capacity MAC 100% "/>
      <sheetName val="Feb VTOD Capacity MAC 100%"/>
      <sheetName val="Nov Conv Dem MAC 100%"/>
      <sheetName val="Aug Conv Dem MAC 100%"/>
      <sheetName val="May Energy Only MAC 100%"/>
      <sheetName val="Aug Energy Only MAC 100%"/>
      <sheetName val="Feb Energy Only MAC 100%"/>
      <sheetName val="Nov Energy Only MAC 100% "/>
      <sheetName val="jane tod vol % "/>
      <sheetName val="August Variance Report"/>
      <sheetName val="Sept Variance Report"/>
      <sheetName val="October Variance Report"/>
      <sheetName val="November Variance Report"/>
      <sheetName val="December Variance Report"/>
      <sheetName val="January Variance Report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>
        <row r="6">
          <cell r="H6">
            <v>1000000000</v>
          </cell>
          <cell r="I6">
            <v>1105000000</v>
          </cell>
          <cell r="J6">
            <v>1147000000</v>
          </cell>
          <cell r="K6">
            <v>1061000000</v>
          </cell>
          <cell r="L6">
            <v>1003000000</v>
          </cell>
          <cell r="M6">
            <v>950000000</v>
          </cell>
        </row>
        <row r="11">
          <cell r="H11">
            <v>163000000</v>
          </cell>
          <cell r="I11">
            <v>186000000</v>
          </cell>
          <cell r="J11">
            <v>193000000</v>
          </cell>
          <cell r="K11">
            <v>193000000</v>
          </cell>
          <cell r="L11">
            <v>187000000</v>
          </cell>
          <cell r="M11">
            <v>169000000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14">
          <cell r="C14">
            <v>1.18</v>
          </cell>
        </row>
        <row r="15">
          <cell r="C15">
            <v>0.8</v>
          </cell>
        </row>
        <row r="24">
          <cell r="C24">
            <v>5.66</v>
          </cell>
        </row>
        <row r="25">
          <cell r="C25">
            <v>0.51</v>
          </cell>
        </row>
      </sheetData>
      <sheetData sheetId="15" refreshError="1"/>
      <sheetData sheetId="16">
        <row r="20">
          <cell r="B20">
            <v>3316217</v>
          </cell>
        </row>
        <row r="21">
          <cell r="B21">
            <v>737443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Note on Mac Methodology"/>
      <sheetName val="MAC Methodology"/>
      <sheetName val="2011 Bud Forecast"/>
      <sheetName val="Adj 2011 Bud Forecast"/>
      <sheetName val="2011 Op Bud kW Forecast"/>
      <sheetName val="Adj 2011 Op Bud kW Forecast "/>
      <sheetName val="Forecasted TOD KW by Period"/>
      <sheetName val="Forecasted Conv kW by Period"/>
      <sheetName val="TOD % of Reg kW"/>
      <sheetName val="Forecasted TOD Kwh byPeriod"/>
      <sheetName val="TOD OnOff Ratios"/>
      <sheetName val="TODS On Off %"/>
      <sheetName val="MSC Cover Page "/>
      <sheetName val="Capacity Estimates"/>
      <sheetName val="May - Oct Capacity MSC by Class"/>
      <sheetName val="Nov - Apr Capacity MSC by Class"/>
      <sheetName val="MSC - Energy SC1"/>
      <sheetName val="Lookup Tables for Level Billing"/>
      <sheetName val="MTM MSC Estimates 1,9"/>
      <sheetName val="MAC Cover Page "/>
      <sheetName val="Forecast MAC Total"/>
      <sheetName val="Forecast MAC - NUG Capacity"/>
      <sheetName val="Adj to Mac Redux"/>
      <sheetName val="Alloc of Rate Case MAC Redux"/>
      <sheetName val="Billing Proof"/>
      <sheetName val="All TOD Energy Data"/>
      <sheetName val="May Price Out"/>
      <sheetName val="June Price Out"/>
      <sheetName val="July Price Out"/>
      <sheetName val="Aug Price Out"/>
      <sheetName val="Sept Price Out"/>
      <sheetName val="Oct Price Out"/>
      <sheetName val="Nov Price Out"/>
      <sheetName val="Dec Price Out"/>
      <sheetName val="Jan Price Out"/>
      <sheetName val="Feb Price Out"/>
      <sheetName val="Mar Price Out"/>
      <sheetName val="Apr Price Out"/>
      <sheetName val="May Variance Report"/>
      <sheetName val="June Variance Report"/>
      <sheetName val="July Variance Report"/>
      <sheetName val="Feb Conv Dem MAC 100% "/>
      <sheetName val="May Conv Dem MAC 100%"/>
      <sheetName val="All TOD Energy MAC 100%"/>
      <sheetName val="May TOD Capacity MAC 100%"/>
      <sheetName val="Aug TOD Capacity MAC 100% "/>
      <sheetName val="Nov TOD Capacity MAC 100% "/>
      <sheetName val="Feb TOD Capacity MAC 100%"/>
      <sheetName val="May VTOD Capacity MAC 100%"/>
      <sheetName val="Aug  VTOD Capacity MAC 100% "/>
      <sheetName val="Nov VTOD Capacity MAC 100% "/>
      <sheetName val="Feb VTOD Capacity MAC 100%"/>
      <sheetName val="Nov Conv Dem MAC 100%"/>
      <sheetName val="Aug Conv Dem MAC 100%"/>
      <sheetName val="May Energy Only MAC 100%"/>
      <sheetName val="Aug Energy Only MAC 100%"/>
      <sheetName val="Feb Energy Only MAC 100%"/>
      <sheetName val="Nov Energy Only MAC 100% "/>
      <sheetName val="jane tod vol % "/>
      <sheetName val="August Variance Report"/>
      <sheetName val="Sept Variance Report"/>
      <sheetName val="October Variance Report"/>
      <sheetName val="November Variance Report"/>
      <sheetName val="December Variance Report"/>
      <sheetName val="January Variance Report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>
        <row r="6">
          <cell r="B6">
            <v>922000000</v>
          </cell>
          <cell r="C6">
            <v>1181000000</v>
          </cell>
          <cell r="D6">
            <v>1503000000</v>
          </cell>
          <cell r="E6">
            <v>1618000000</v>
          </cell>
          <cell r="F6">
            <v>1454000000</v>
          </cell>
          <cell r="G6">
            <v>1116000000</v>
          </cell>
        </row>
        <row r="11">
          <cell r="B11">
            <v>160000000</v>
          </cell>
          <cell r="C11">
            <v>174000000</v>
          </cell>
          <cell r="D11">
            <v>194000000</v>
          </cell>
          <cell r="E11">
            <v>199000000</v>
          </cell>
          <cell r="F11">
            <v>195000000</v>
          </cell>
          <cell r="G11">
            <v>166000000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14">
          <cell r="C14">
            <v>1.155</v>
          </cell>
        </row>
        <row r="15">
          <cell r="C15">
            <v>0.8</v>
          </cell>
        </row>
        <row r="24">
          <cell r="C24">
            <v>16.84</v>
          </cell>
        </row>
        <row r="25">
          <cell r="C25">
            <v>0.9</v>
          </cell>
        </row>
      </sheetData>
      <sheetData sheetId="15">
        <row r="20">
          <cell r="B20">
            <v>3993339</v>
          </cell>
        </row>
        <row r="21">
          <cell r="B21">
            <v>801239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Note on Mac Methodology"/>
      <sheetName val="MAC Methodology"/>
      <sheetName val="2012 Bud Forecast"/>
      <sheetName val="Adj 2012 Bud Forecast"/>
      <sheetName val="2012 Op Bud kW Forecast"/>
      <sheetName val="Adj 2012 Op Bud kW Forecast "/>
      <sheetName val="Forecasted TOD KW by Period"/>
      <sheetName val="Forecasted Conv kW by Period"/>
      <sheetName val="TOD % of Reg kW"/>
      <sheetName val="Forecasted TOD Kwh byPeriod"/>
      <sheetName val="TOD OnOff Ratios"/>
      <sheetName val="TODS On Off %"/>
      <sheetName val="MSC Cover Page "/>
      <sheetName val="Capacity Estimates"/>
      <sheetName val="May - Oct Capacity MSC by Class"/>
      <sheetName val="Nov - Apr Capacity MSC by Class"/>
      <sheetName val="MSC - Energy SC1"/>
      <sheetName val="Lookup Tables for Level Billing"/>
      <sheetName val="MTM MSC Estimates 1,9"/>
      <sheetName val="MAC Cover Page "/>
      <sheetName val="Forecast MAC Total"/>
      <sheetName val="Forecast MAC - NUG Capacity"/>
      <sheetName val="Adj to Mac Redux"/>
      <sheetName val="Alloc of Rate Case MAC Redux"/>
      <sheetName val="Billing Proof"/>
      <sheetName val="All TOD Energy Data"/>
      <sheetName val="May Price Out"/>
      <sheetName val="June Price Out"/>
      <sheetName val="July Price Out"/>
      <sheetName val="Aug Price Out"/>
      <sheetName val="Sept Price Out"/>
      <sheetName val="Oct Price Out"/>
      <sheetName val="Nov Price Out"/>
      <sheetName val="Dec Price Out"/>
      <sheetName val="Jan Price Out"/>
      <sheetName val="Feb Price Out"/>
      <sheetName val="Mar Price Out"/>
      <sheetName val="Apr Price Out"/>
      <sheetName val="May Variance Report"/>
      <sheetName val="June Variance Report"/>
      <sheetName val="July Variance Report"/>
      <sheetName val="Feb Conv Dem MAC 100% "/>
      <sheetName val="May Conv Dem MAC 100%"/>
      <sheetName val="All TOD Energy MAC 100%"/>
      <sheetName val="May TOD Capacity MAC 100%"/>
      <sheetName val="Aug TOD Capacity MAC 100% "/>
      <sheetName val="Nov TOD Capacity MAC 100% "/>
      <sheetName val="Feb TOD Capacity MAC 100%"/>
      <sheetName val="May VTOD Capacity MAC 100%"/>
      <sheetName val="Aug  VTOD Capacity MAC 100% "/>
      <sheetName val="Nov VTOD Capacity MAC 100% "/>
      <sheetName val="Feb VTOD Capacity MAC 100%"/>
      <sheetName val="Nov Conv Dem MAC 100%"/>
      <sheetName val="Aug Conv Dem MAC 100%"/>
      <sheetName val="May Energy Only MAC 100%"/>
      <sheetName val="Aug Energy Only MAC 100%"/>
      <sheetName val="Feb Energy Only MAC 100%"/>
      <sheetName val="Nov Energy Only MAC 100% "/>
      <sheetName val="jane tod vol % "/>
      <sheetName val="August Variance Report"/>
      <sheetName val="Sept Variance Report"/>
      <sheetName val="October Variance Report"/>
      <sheetName val="November Variance Report"/>
      <sheetName val="December Variance Report"/>
      <sheetName val="January Variance Report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>
        <row r="6">
          <cell r="H6">
            <v>995000000</v>
          </cell>
          <cell r="I6">
            <v>1096000000</v>
          </cell>
          <cell r="J6">
            <v>1176000000</v>
          </cell>
          <cell r="K6">
            <v>1098000000</v>
          </cell>
          <cell r="L6">
            <v>1035000000</v>
          </cell>
          <cell r="M6">
            <v>933000000</v>
          </cell>
        </row>
        <row r="11">
          <cell r="H11">
            <v>164000000</v>
          </cell>
          <cell r="I11">
            <v>185000000</v>
          </cell>
          <cell r="J11">
            <v>191000000</v>
          </cell>
          <cell r="K11">
            <v>192000000</v>
          </cell>
          <cell r="L11">
            <v>186000000</v>
          </cell>
          <cell r="M11">
            <v>169000000</v>
          </cell>
        </row>
      </sheetData>
      <sheetData sheetId="5" refreshError="1"/>
      <sheetData sheetId="6">
        <row r="18">
          <cell r="H18">
            <v>164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24">
          <cell r="D24">
            <v>4.1647117210007263</v>
          </cell>
        </row>
        <row r="25">
          <cell r="D25">
            <v>0.65726601893919467</v>
          </cell>
        </row>
        <row r="38">
          <cell r="D38">
            <v>0.8</v>
          </cell>
        </row>
      </sheetData>
      <sheetData sheetId="15" refreshError="1"/>
      <sheetData sheetId="16">
        <row r="20">
          <cell r="B20">
            <v>3993339</v>
          </cell>
        </row>
        <row r="21">
          <cell r="B21">
            <v>801239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Note on Mac Methodology"/>
      <sheetName val="MAC Methodology"/>
      <sheetName val="Sales Forecast"/>
      <sheetName val="Adj Sales Forecast"/>
      <sheetName val="Demand Forecast"/>
      <sheetName val="Adj Demand Forecast "/>
      <sheetName val="Forecasted TOD kW by Period"/>
      <sheetName val="Forecasted Conv kW by Period"/>
      <sheetName val="TOD % of Reg kW"/>
      <sheetName val="Forecasted TOD kWh by Period"/>
      <sheetName val="TOD OnOff kWh Ratios"/>
      <sheetName val="TODS On Off %"/>
      <sheetName val="9 Max MSC-CAP methodology-OLD"/>
      <sheetName val="9 Max Proposed"/>
      <sheetName val="MSC Cover Page "/>
      <sheetName val="Capacity Estimates"/>
      <sheetName val="May - Oct Capacity MSC by Class"/>
      <sheetName val="Nov - Apr Capacity MSC by Class"/>
      <sheetName val="MSC - Energy SC1"/>
      <sheetName val="Lookup Tables for Level Billing"/>
      <sheetName val="MTM MSC Estimates 1,9"/>
      <sheetName val="MAC Cover Page "/>
      <sheetName val="Forecast MAC Total"/>
      <sheetName val="Forecast MAC - NUG Capacity"/>
      <sheetName val="Adj to Mac Redux"/>
      <sheetName val="Alloc of Rate Case MAC Redux"/>
      <sheetName val="Billing Proof"/>
      <sheetName val="All TOD Energy Data"/>
      <sheetName val="May Price Out"/>
      <sheetName val="June Price Out"/>
      <sheetName val="July Price Out"/>
      <sheetName val="Aug Price Out"/>
      <sheetName val="Sept Price Out"/>
      <sheetName val="Oct Price Out"/>
      <sheetName val="Nov Price Out"/>
      <sheetName val="Dec Price Out"/>
      <sheetName val="Jan Price Out"/>
      <sheetName val="Feb Price Out"/>
      <sheetName val="Mar Price Out"/>
      <sheetName val="Apr Price Out"/>
      <sheetName val="May Variance Report"/>
      <sheetName val="June Variance Report"/>
      <sheetName val="July Variance Report"/>
      <sheetName val="Feb Conv Dem MAC 100% "/>
      <sheetName val="May Conv Dem MAC 100%"/>
      <sheetName val="All TOD Energy MAC 100%"/>
      <sheetName val="May TOD Capacity MAC 100%"/>
      <sheetName val="Aug TOD Capacity MAC 100% "/>
      <sheetName val="Nov TOD Capacity MAC 100% "/>
      <sheetName val="Feb TOD Capacity MAC 100%"/>
      <sheetName val="May VTOD Capacity MAC 100%"/>
      <sheetName val="Aug  VTOD Capacity MAC 100% "/>
      <sheetName val="Nov VTOD Capacity MAC 100% "/>
      <sheetName val="Feb VTOD Capacity MAC 100%"/>
      <sheetName val="Nov Conv Dem MAC 100%"/>
      <sheetName val="Aug Conv Dem MAC 100%"/>
      <sheetName val="May Energy Only MAC 100%"/>
      <sheetName val="Aug Energy Only MAC 100%"/>
      <sheetName val="Feb Energy Only MAC 100%"/>
      <sheetName val="Nov Energy Only MAC 100% "/>
      <sheetName val="jane tod vol % "/>
      <sheetName val="August Variance Report"/>
      <sheetName val="Sept Variance Report"/>
      <sheetName val="October Variance Report"/>
      <sheetName val="November Variance Report"/>
      <sheetName val="December Variance Report"/>
      <sheetName val="January Variance Report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6">
          <cell r="B6">
            <v>904368135</v>
          </cell>
          <cell r="C6">
            <v>1167007099</v>
          </cell>
          <cell r="D6">
            <v>1503366200</v>
          </cell>
          <cell r="E6">
            <v>1608955592</v>
          </cell>
          <cell r="F6">
            <v>1454520561</v>
          </cell>
          <cell r="G6">
            <v>1093338823</v>
          </cell>
        </row>
        <row r="11">
          <cell r="B11">
            <v>161000000</v>
          </cell>
          <cell r="C11">
            <v>173000000</v>
          </cell>
          <cell r="D11">
            <v>193000000</v>
          </cell>
          <cell r="E11">
            <v>199000000</v>
          </cell>
          <cell r="F11">
            <v>195000000</v>
          </cell>
          <cell r="G11">
            <v>163000000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>
        <row r="25">
          <cell r="E25">
            <v>15.18017022234269</v>
          </cell>
        </row>
        <row r="26">
          <cell r="E26">
            <v>3.4628085477342787</v>
          </cell>
        </row>
        <row r="39">
          <cell r="E39">
            <v>0.8</v>
          </cell>
        </row>
      </sheetData>
      <sheetData sheetId="17">
        <row r="20">
          <cell r="B20">
            <v>3959785</v>
          </cell>
        </row>
        <row r="21">
          <cell r="B21">
            <v>945692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Note on Mac Methodology"/>
      <sheetName val="MAC Methodology"/>
      <sheetName val="Sales Forecast"/>
      <sheetName val="Adj Sales Forecast"/>
      <sheetName val="Demand Forecast"/>
      <sheetName val="Adj Demand Forecast "/>
      <sheetName val="Forecasted TOD kW by Period"/>
      <sheetName val="Forecasted Conv kW by Period"/>
      <sheetName val="TOD % of Reg kW"/>
      <sheetName val="Forecasted TOD kWh by Period"/>
      <sheetName val="TOD OnOff kWh Ratios"/>
      <sheetName val="TODS On Off %"/>
      <sheetName val="9 Max MSC-CAP methodology-OLD"/>
      <sheetName val="9 Max Proposed"/>
      <sheetName val="MSC Cover Page "/>
      <sheetName val="Capacity Estimates"/>
      <sheetName val="May - Oct Capacity MSC by Class"/>
      <sheetName val="Nov - Apr Capacity MSC by Class"/>
      <sheetName val="level billing"/>
      <sheetName val="MSC - Energy SC1"/>
      <sheetName val="Lookup Tables for Level Billing"/>
      <sheetName val="MTM MSC Estimates 1,9"/>
      <sheetName val="MAC Cover Page "/>
      <sheetName val="Forecast MAC Total"/>
      <sheetName val="Adj to Mac Redux"/>
      <sheetName val="Alloc of Rate Case MAC Redux"/>
      <sheetName val="Billing Proof"/>
      <sheetName val="All TOD Energy Data"/>
      <sheetName val="May Price Out"/>
      <sheetName val="Jun Price Out"/>
      <sheetName val="Jul Price Out"/>
      <sheetName val="Aug Price Out"/>
      <sheetName val="Sep Price Out"/>
      <sheetName val="Oct Price Out"/>
      <sheetName val="Nov Price Out"/>
      <sheetName val="Dec Price Out"/>
      <sheetName val="Jan Price Out"/>
      <sheetName val="Feb Price Out"/>
      <sheetName val="Mar Price Out"/>
      <sheetName val="Apr Price Out"/>
      <sheetName val="May Variance Report"/>
      <sheetName val="June Variance Report"/>
      <sheetName val="July Variance Report"/>
      <sheetName val="Feb Conv Dem MAC 100% "/>
      <sheetName val="May Conv Dem MAC 100%"/>
      <sheetName val="All TOD Energy MAC 100%"/>
      <sheetName val="May TOD Capacity MAC 100%"/>
      <sheetName val="Aug TOD Capacity MAC 100% "/>
      <sheetName val="Nov TOD Capacity MAC 100% "/>
      <sheetName val="Feb TOD Capacity MAC 100%"/>
      <sheetName val="May VTOD Capacity MAC 100%"/>
      <sheetName val="Aug  VTOD Capacity MAC 100% "/>
      <sheetName val="Nov VTOD Capacity MAC 100% "/>
      <sheetName val="Feb VTOD Capacity MAC 100%"/>
      <sheetName val="Nov Conv Dem MAC 100%"/>
      <sheetName val="Aug Conv Dem MAC 100%"/>
      <sheetName val="May Energy Only MAC 100%"/>
      <sheetName val="Aug Energy Only MAC 100%"/>
      <sheetName val="Feb Energy Only MAC 100%"/>
      <sheetName val="Nov Energy Only MAC 100% "/>
      <sheetName val="jane tod vol % "/>
      <sheetName val="August Variance Report"/>
      <sheetName val="Sept Variance Report"/>
      <sheetName val="October Variance Report"/>
      <sheetName val="November Variance Report"/>
      <sheetName val="December Variance Report"/>
      <sheetName val="January Variance Report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>
        <row r="6">
          <cell r="H6">
            <v>995094349</v>
          </cell>
          <cell r="I6">
            <v>1109774824</v>
          </cell>
          <cell r="J6">
            <v>1145441925</v>
          </cell>
          <cell r="K6">
            <v>1099508793</v>
          </cell>
          <cell r="L6">
            <v>1025506323</v>
          </cell>
          <cell r="M6">
            <v>928245048</v>
          </cell>
        </row>
        <row r="11">
          <cell r="H11">
            <v>161000000</v>
          </cell>
          <cell r="I11">
            <v>183000000</v>
          </cell>
          <cell r="J11">
            <v>186000000</v>
          </cell>
          <cell r="K11">
            <v>191000000</v>
          </cell>
          <cell r="L11">
            <v>184000000</v>
          </cell>
          <cell r="M11">
            <v>168000000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5">
          <cell r="F25">
            <v>6.0739138893316822</v>
          </cell>
        </row>
        <row r="26">
          <cell r="F26">
            <v>2.7484833859520541</v>
          </cell>
        </row>
        <row r="39">
          <cell r="F39">
            <v>0.83</v>
          </cell>
        </row>
      </sheetData>
      <sheetData sheetId="17" refreshError="1"/>
      <sheetData sheetId="18">
        <row r="20">
          <cell r="B20">
            <v>3959785</v>
          </cell>
        </row>
        <row r="21">
          <cell r="B21">
            <v>945692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Note on Mac Methodology"/>
      <sheetName val="MAC Methodology"/>
      <sheetName val="Sales Forecast"/>
      <sheetName val="Adj Sales Forecast"/>
      <sheetName val="Demand Forecast"/>
      <sheetName val="Adj Demand Forecast "/>
      <sheetName val="Forecasted TOD kW by Period"/>
      <sheetName val="Forecasted Conv kW by Period"/>
      <sheetName val="TOD % of Reg kW"/>
      <sheetName val="Forecasted TOD kWh by Period"/>
      <sheetName val="TOD OnOff kWh Ratios"/>
      <sheetName val="TODS On Off %"/>
      <sheetName val="9 Max MSC-CAP methodology-OLD"/>
      <sheetName val="9 Max Proposed"/>
      <sheetName val="MSC Cover Page "/>
      <sheetName val="Capacity Estimates"/>
      <sheetName val="May - Oct Capacity MSC by Class"/>
      <sheetName val="Nov - Apr Capacity MSC by Class"/>
      <sheetName val="MSC - Energy SC1"/>
      <sheetName val="Lookup Tables for Level Billing"/>
      <sheetName val="Level Billing Summary"/>
      <sheetName val="MTM MSC Estimates 1,9"/>
      <sheetName val="MAC Cover Page "/>
      <sheetName val="Forecast MAC Total"/>
      <sheetName val="Adj to Mac Redux"/>
      <sheetName val="Alloc of Rate Case MAC Redux"/>
      <sheetName val="Billing Proof"/>
      <sheetName val="All TOD Energy Data"/>
      <sheetName val="May Price Out"/>
      <sheetName val="Jun Price Out"/>
      <sheetName val="Jul Price Out"/>
      <sheetName val="Aug Price Out"/>
      <sheetName val="Sep Price Out"/>
      <sheetName val="Oct Price Out"/>
      <sheetName val="Nov Price Out"/>
      <sheetName val="Dec Price Out"/>
      <sheetName val="Jan Price Out"/>
      <sheetName val="Feb Price Out"/>
      <sheetName val="Mar Price Out"/>
      <sheetName val="Apr Price Out"/>
      <sheetName val="May Variance Report"/>
      <sheetName val="June Variance Report"/>
      <sheetName val="July Variance Report"/>
      <sheetName val="Feb Conv Dem MAC 100% "/>
      <sheetName val="May Conv Dem MAC 100%"/>
      <sheetName val="All TOD Energy MAC 100%"/>
      <sheetName val="May TOD Capacity MAC 100%"/>
      <sheetName val="Aug TOD Capacity MAC 100% "/>
      <sheetName val="Nov TOD Capacity MAC 100% "/>
      <sheetName val="Feb TOD Capacity MAC 100%"/>
      <sheetName val="May VTOD Capacity MAC 100%"/>
      <sheetName val="Aug  VTOD Capacity MAC 100% "/>
      <sheetName val="Nov VTOD Capacity MAC 100% "/>
      <sheetName val="Feb VTOD Capacity MAC 100%"/>
      <sheetName val="Nov Conv Dem MAC 100%"/>
      <sheetName val="Aug Conv Dem MAC 100%"/>
      <sheetName val="May Energy Only MAC 100%"/>
      <sheetName val="Aug Energy Only MAC 100%"/>
      <sheetName val="Feb Energy Only MAC 100%"/>
      <sheetName val="Nov Energy Only MAC 100% "/>
      <sheetName val="jane tod vol % "/>
      <sheetName val="August Variance Report"/>
      <sheetName val="Sept Variance Report"/>
      <sheetName val="October Variance Report"/>
      <sheetName val="November Variance Report"/>
      <sheetName val="December Variance Report"/>
      <sheetName val="January Variance Report"/>
      <sheetName val="Sheet1"/>
    </sheetNames>
    <sheetDataSet>
      <sheetData sheetId="0"/>
      <sheetData sheetId="1"/>
      <sheetData sheetId="2"/>
      <sheetData sheetId="3"/>
      <sheetData sheetId="4">
        <row r="6">
          <cell r="B6">
            <v>923000000</v>
          </cell>
          <cell r="C6">
            <v>1175000000</v>
          </cell>
          <cell r="D6">
            <v>1540000000</v>
          </cell>
          <cell r="E6">
            <v>1626000000</v>
          </cell>
          <cell r="F6">
            <v>1473000000</v>
          </cell>
          <cell r="G6">
            <v>1096000000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>
        <row r="25">
          <cell r="G25">
            <v>16.456162610000003</v>
          </cell>
        </row>
        <row r="26">
          <cell r="G26">
            <v>5.5194234389999997</v>
          </cell>
        </row>
        <row r="39">
          <cell r="G39">
            <v>0.86</v>
          </cell>
        </row>
        <row r="44">
          <cell r="G44">
            <v>1.079</v>
          </cell>
        </row>
      </sheetData>
      <sheetData sheetId="17">
        <row r="20">
          <cell r="B20">
            <v>3797781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Note on Mac Methodology"/>
      <sheetName val="MAC Methodology"/>
      <sheetName val="Sales Forecast"/>
      <sheetName val="Adj Sales Forecast"/>
      <sheetName val="Demand Forecast"/>
      <sheetName val="Adj Demand Forecast "/>
      <sheetName val="Forecasted TOD kW by Period"/>
      <sheetName val="Forecasted Conv kW by Period"/>
      <sheetName val="TOD % of Reg kW"/>
      <sheetName val="Forecasted TOD kWh by Period"/>
      <sheetName val="TOD OnOff kWh Ratios"/>
      <sheetName val="TODS On Off %"/>
      <sheetName val="9 Max MSC-CAP methodology-OLD"/>
      <sheetName val="9 Max Proposed"/>
      <sheetName val="MSC Cover Page "/>
      <sheetName val="Capacity Estimates"/>
      <sheetName val="May - Oct Capacity MSC by Class"/>
      <sheetName val="Nov - Apr Capacity MSC by Class"/>
      <sheetName val="Lookup Tables for Level Billing"/>
      <sheetName val="MSC - Energy SC1"/>
      <sheetName val="Level Billing Summary"/>
      <sheetName val="MTM MSC Estimates 1,9"/>
      <sheetName val="MAC Cover Page "/>
      <sheetName val="Forecast MAC Total"/>
      <sheetName val="Adj to Mac Redux"/>
      <sheetName val="Alloc of Rate Case MAC Redux"/>
      <sheetName val="Billing Proof"/>
      <sheetName val="All TOD Energy Data"/>
      <sheetName val="May Price Out"/>
      <sheetName val="Jun Price Out"/>
      <sheetName val="Jul Price Out"/>
      <sheetName val="Aug Price Out"/>
      <sheetName val="Sep Price Out"/>
      <sheetName val="Oct Price Out"/>
      <sheetName val="Nov Price Out"/>
      <sheetName val="Dec Price Out"/>
      <sheetName val="Jan Price Out"/>
      <sheetName val="Feb Price Out"/>
      <sheetName val="Mar Price Out"/>
      <sheetName val="Apr Price Out"/>
      <sheetName val="May Variance Report"/>
      <sheetName val="June Variance Report"/>
      <sheetName val="July Variance Report"/>
      <sheetName val="Feb Conv Dem MAC 100% "/>
      <sheetName val="May Conv Dem MAC 100%"/>
      <sheetName val="All TOD Energy MAC 100%"/>
      <sheetName val="May TOD Capacity MAC 100%"/>
      <sheetName val="Aug TOD Capacity MAC 100% "/>
      <sheetName val="Nov TOD Capacity MAC 100% "/>
      <sheetName val="Feb TOD Capacity MAC 100%"/>
      <sheetName val="May VTOD Capacity MAC 100%"/>
      <sheetName val="Aug  VTOD Capacity MAC 100% "/>
      <sheetName val="Nov VTOD Capacity MAC 100% "/>
      <sheetName val="Feb VTOD Capacity MAC 100%"/>
      <sheetName val="Nov Conv Dem MAC 100%"/>
      <sheetName val="Aug Conv Dem MAC 100%"/>
      <sheetName val="May Energy Only MAC 100%"/>
      <sheetName val="Aug Energy Only MAC 100%"/>
      <sheetName val="Feb Energy Only MAC 100%"/>
      <sheetName val="Nov Energy Only MAC 100% "/>
      <sheetName val="jane tod vol % "/>
      <sheetName val="August Variance Report"/>
      <sheetName val="Sept Variance Report"/>
      <sheetName val="October Variance Report"/>
      <sheetName val="November Variance Report"/>
      <sheetName val="December Variance Report"/>
      <sheetName val="January Variance Report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>
        <row r="6">
          <cell r="H6">
            <v>1006000000</v>
          </cell>
          <cell r="I6">
            <v>1146000000</v>
          </cell>
          <cell r="J6">
            <v>1178000000</v>
          </cell>
          <cell r="K6">
            <v>1135000000</v>
          </cell>
          <cell r="L6">
            <v>1045000000</v>
          </cell>
          <cell r="M6">
            <v>950000000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5">
          <cell r="H25">
            <v>10.755770945919393</v>
          </cell>
        </row>
        <row r="26">
          <cell r="H26">
            <v>5.4349681497596682</v>
          </cell>
        </row>
        <row r="39">
          <cell r="H39">
            <v>0.86</v>
          </cell>
        </row>
        <row r="44">
          <cell r="H44">
            <v>1.079</v>
          </cell>
        </row>
      </sheetData>
      <sheetData sheetId="17">
        <row r="20">
          <cell r="B20">
            <v>3797781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Note on Mac Methodology"/>
      <sheetName val="MAC Methodology"/>
      <sheetName val="Sales Forecast"/>
      <sheetName val="Adj Sales Forecast"/>
      <sheetName val="Demand Forecast"/>
      <sheetName val="Adj Demand Forecast "/>
      <sheetName val="Forecasted TOD kW by Period"/>
      <sheetName val="Forecasted Conv kW by Period"/>
      <sheetName val="TOD % of Reg kW"/>
      <sheetName val="Forecasted TOD kWh by Period"/>
      <sheetName val="TOD OnOff kWh Ratios"/>
      <sheetName val="TODS On Off %"/>
      <sheetName val="9 Max MSC-CAP methodology-OLD"/>
      <sheetName val="9 Max Proposed"/>
      <sheetName val="MSC Cover Page "/>
      <sheetName val="Capacity Estimates"/>
      <sheetName val="May - Oct Capacity MSC by Class"/>
      <sheetName val="SC 1 Rate III MSC Cap"/>
      <sheetName val="SC 1 Rate III MSC Cap-Hist"/>
      <sheetName val="Nov - Apr Capacity MSC by Class"/>
      <sheetName val="Lookup Tables for Level Billing"/>
      <sheetName val="MSC - Energy SC1"/>
      <sheetName val="Level Billing Summary"/>
      <sheetName val="MTM MSC Estimates 1,9"/>
      <sheetName val="MAC Cover Page "/>
      <sheetName val="Forecast MAC Total"/>
      <sheetName val="Adj to Mac Redux"/>
      <sheetName val="Alloc of Rate Case MAC Redux"/>
      <sheetName val="Billing Proof"/>
      <sheetName val="All TOD Energy Data"/>
      <sheetName val="Valued History"/>
      <sheetName val="May Price Out"/>
      <sheetName val="Jun Price Out"/>
      <sheetName val="Jul Price Out"/>
      <sheetName val="Aug Price Out"/>
      <sheetName val="Sep Price Out"/>
      <sheetName val="Oct Price Out"/>
      <sheetName val="Nov Price Out"/>
      <sheetName val="Dec Price Out"/>
      <sheetName val="Jan Price Out"/>
      <sheetName val="Feb Price Out"/>
      <sheetName val="Mar Price Out"/>
      <sheetName val="Apr Price Out"/>
      <sheetName val="May Variance Report"/>
      <sheetName val="June Variance Report"/>
      <sheetName val="July Variance Report"/>
      <sheetName val="Feb Conv Dem MAC 100% "/>
      <sheetName val="May Conv Dem MAC 100%"/>
      <sheetName val="All TOD Energy MAC 100%"/>
      <sheetName val="May TOD Capacity MAC 100%"/>
      <sheetName val="Aug TOD Capacity MAC 100% "/>
      <sheetName val="Nov TOD Capacity MAC 100% "/>
      <sheetName val="Feb TOD Capacity MAC 100%"/>
      <sheetName val="May VTOD Capacity MAC 100%"/>
      <sheetName val="Aug  VTOD Capacity MAC 100% "/>
      <sheetName val="Nov VTOD Capacity MAC 100% "/>
      <sheetName val="Feb VTOD Capacity MAC 100%"/>
      <sheetName val="Nov Conv Dem MAC 100%"/>
      <sheetName val="Aug Conv Dem MAC 100%"/>
      <sheetName val="May Energy Only MAC 100%"/>
      <sheetName val="Aug Energy Only MAC 100%"/>
      <sheetName val="Feb Energy Only MAC 100%"/>
      <sheetName val="Nov Energy Only MAC 100% "/>
      <sheetName val="jane tod vol % "/>
      <sheetName val="August Variance Report"/>
      <sheetName val="Sept Variance Report"/>
      <sheetName val="October Variance Report"/>
      <sheetName val="November Variance Report"/>
      <sheetName val="December Variance Report"/>
      <sheetName val="January Variance Report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>
        <row r="6">
          <cell r="B6">
            <v>919000000</v>
          </cell>
          <cell r="C6">
            <v>1183000000</v>
          </cell>
          <cell r="D6">
            <v>1599000000</v>
          </cell>
          <cell r="E6">
            <v>1695000000</v>
          </cell>
          <cell r="F6">
            <v>1518000000</v>
          </cell>
          <cell r="G6">
            <v>1103000000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15">
          <cell r="I15">
            <v>1.17</v>
          </cell>
        </row>
        <row r="16">
          <cell r="I16">
            <v>0.85</v>
          </cell>
        </row>
        <row r="17">
          <cell r="I17">
            <v>0.88</v>
          </cell>
        </row>
        <row r="25">
          <cell r="I25">
            <v>17.690000000000001</v>
          </cell>
        </row>
        <row r="26">
          <cell r="I26">
            <v>11.87</v>
          </cell>
        </row>
        <row r="27">
          <cell r="I27">
            <v>6.67</v>
          </cell>
        </row>
        <row r="46">
          <cell r="I46">
            <v>1.0629999999999999</v>
          </cell>
        </row>
        <row r="48">
          <cell r="I48">
            <v>110.52</v>
          </cell>
        </row>
        <row r="63">
          <cell r="I63">
            <v>78.959999999999994</v>
          </cell>
        </row>
      </sheetData>
      <sheetData sheetId="17">
        <row r="20">
          <cell r="B20">
            <v>4049455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Note on Mac Methodology"/>
      <sheetName val="MAC Methodology"/>
      <sheetName val="Sales Forecast"/>
      <sheetName val="Adj Sales Forecast"/>
      <sheetName val="Demand Forecast"/>
      <sheetName val="Adj Demand Forecast "/>
      <sheetName val="Forecasted TOD kW by Period"/>
      <sheetName val="Forecasted Conv kW by Period"/>
      <sheetName val="TOD % of Reg kW"/>
      <sheetName val="Forecasted TOD kWh by Period"/>
      <sheetName val="TOD OnOff kWh Ratios"/>
      <sheetName val="TODS On Off %"/>
      <sheetName val="9 Max MSC-CAP methodology-OLD"/>
      <sheetName val="9 Max Proposed"/>
      <sheetName val="MSC Cover Page "/>
      <sheetName val="Capacity Estimates"/>
      <sheetName val="May - Oct Capacity MSC by Class"/>
      <sheetName val="SC 1 Rate III MSC Cap"/>
      <sheetName val="SC 1 Rate III MSC Cap-Hist"/>
      <sheetName val="Nov - Apr Capacity MSC by Class"/>
      <sheetName val="Lookup Tables for Level Billing"/>
      <sheetName val="MSC - Energy SC1"/>
      <sheetName val="Level Billing Summary"/>
      <sheetName val="MTM MSC Estimates 1,9"/>
      <sheetName val="MAC Cover Page "/>
      <sheetName val="Forecast MAC Total"/>
      <sheetName val="Adj to Mac Redux"/>
      <sheetName val="Alloc of Rate Case MAC Redux"/>
      <sheetName val="Billing Proof"/>
      <sheetName val="All TOD Energy Data"/>
      <sheetName val="Valued History"/>
      <sheetName val="May Price Out"/>
      <sheetName val="Jun Price Out"/>
      <sheetName val="Jul Price Out"/>
      <sheetName val="Aug Price Out"/>
      <sheetName val="Sep Price Out"/>
      <sheetName val="Oct Price Out"/>
      <sheetName val="Nov Price Out"/>
      <sheetName val="Dec Price Out"/>
      <sheetName val="Jan Price Out"/>
      <sheetName val="Feb Price Out"/>
      <sheetName val="Mar Price Out"/>
      <sheetName val="Apr Price Out"/>
      <sheetName val="May Variance Report"/>
      <sheetName val="June Variance Report"/>
      <sheetName val="July Variance Report"/>
      <sheetName val="Feb Conv Dem MAC 100% "/>
      <sheetName val="May Conv Dem MAC 100%"/>
      <sheetName val="All TOD Energy MAC 100%"/>
      <sheetName val="May TOD Capacity MAC 100%"/>
      <sheetName val="Aug TOD Capacity MAC 100% "/>
      <sheetName val="Nov TOD Capacity MAC 100% "/>
      <sheetName val="Feb TOD Capacity MAC 100%"/>
      <sheetName val="May VTOD Capacity MAC 100%"/>
      <sheetName val="Aug  VTOD Capacity MAC 100% "/>
      <sheetName val="Nov VTOD Capacity MAC 100% "/>
      <sheetName val="Feb VTOD Capacity MAC 100%"/>
      <sheetName val="Nov Conv Dem MAC 100%"/>
      <sheetName val="Aug Conv Dem MAC 100%"/>
      <sheetName val="May Energy Only MAC 100%"/>
      <sheetName val="Aug Energy Only MAC 100%"/>
      <sheetName val="Feb Energy Only MAC 100%"/>
      <sheetName val="Nov Energy Only MAC 100% "/>
      <sheetName val="jane tod vol % "/>
      <sheetName val="August Variance Report"/>
      <sheetName val="Sept Variance Report"/>
      <sheetName val="October Variance Report"/>
      <sheetName val="November Variance Report"/>
      <sheetName val="December Variance Report"/>
      <sheetName val="January Variance Report"/>
      <sheetName val="Sheet1"/>
    </sheetNames>
    <sheetDataSet>
      <sheetData sheetId="0"/>
      <sheetData sheetId="1"/>
      <sheetData sheetId="2"/>
      <sheetData sheetId="3"/>
      <sheetData sheetId="4">
        <row r="6">
          <cell r="H6">
            <v>998000000</v>
          </cell>
          <cell r="I6">
            <v>1108000000</v>
          </cell>
          <cell r="J6">
            <v>1175000000</v>
          </cell>
          <cell r="K6">
            <v>1118000000</v>
          </cell>
          <cell r="L6">
            <v>1026000000</v>
          </cell>
          <cell r="M6">
            <v>935000000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>
        <row r="15">
          <cell r="J15">
            <v>1.17</v>
          </cell>
        </row>
        <row r="16">
          <cell r="J16">
            <v>0.85</v>
          </cell>
        </row>
        <row r="17">
          <cell r="J17">
            <v>0.88</v>
          </cell>
        </row>
        <row r="25">
          <cell r="J25">
            <v>9.7799999999999994</v>
          </cell>
        </row>
        <row r="26">
          <cell r="J26">
            <v>6.34</v>
          </cell>
        </row>
        <row r="27">
          <cell r="J27">
            <v>3.63</v>
          </cell>
        </row>
        <row r="46">
          <cell r="J46">
            <v>1.0629999999999999</v>
          </cell>
        </row>
        <row r="48">
          <cell r="J48">
            <v>60.95</v>
          </cell>
        </row>
        <row r="63">
          <cell r="J63">
            <v>42.31</v>
          </cell>
        </row>
      </sheetData>
      <sheetData sheetId="17">
        <row r="20">
          <cell r="B20">
            <v>4049455</v>
          </cell>
        </row>
      </sheetData>
      <sheetData sheetId="18"/>
      <sheetData sheetId="19"/>
      <sheetData sheetId="20">
        <row r="20">
          <cell r="G20">
            <v>3.8809999999999997E-2</v>
          </cell>
        </row>
      </sheetData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Note on Mac Methodology"/>
      <sheetName val="MAC Methodology"/>
      <sheetName val="Sales Forecast"/>
      <sheetName val="Adj Sales Forecast"/>
      <sheetName val="Demand Forecast"/>
      <sheetName val="Adj Demand Forecast "/>
      <sheetName val="Forecasted TOD kW by Period"/>
      <sheetName val="Forecasted Conv kW by Period"/>
      <sheetName val="TOD % of Reg kW"/>
      <sheetName val="Forecasted TOD kWh by Period"/>
      <sheetName val="TOD OnOff kWh Ratios"/>
      <sheetName val="TODS On Off %"/>
      <sheetName val="9 Max MSC-CAP methodology-OLD"/>
      <sheetName val="9 Max Proposed"/>
      <sheetName val="MSC Cover Page "/>
      <sheetName val="Capacity Estimates"/>
      <sheetName val="May - Oct Capacity MSC by Class"/>
      <sheetName val="SC 1 Rate III MSC Cap"/>
      <sheetName val="SC 1 Rate III MSC Cap-Hist"/>
      <sheetName val="Nov - Apr Capacity MSC by Class"/>
      <sheetName val="Lookup Tables for Level Billing"/>
      <sheetName val="MSC - Energy SC1"/>
      <sheetName val="Level Billing Summary"/>
      <sheetName val="MTM MSC Estimates 1,9"/>
      <sheetName val="MAC Cover Page "/>
      <sheetName val="Forecast MAC Total"/>
      <sheetName val="Adj to Mac Redux"/>
      <sheetName val="Alloc of Rate Case MAC Redux"/>
      <sheetName val="Billing Proof"/>
      <sheetName val="All TOD Energy Data"/>
      <sheetName val="Valued History"/>
      <sheetName val="May Price Out"/>
      <sheetName val="Jun Price Out"/>
      <sheetName val="Jul Price Out"/>
      <sheetName val="Aug Price Out"/>
      <sheetName val="Sep Price Out"/>
      <sheetName val="Oct Price Out"/>
      <sheetName val="Nov Price Out"/>
      <sheetName val="Dec Price Out"/>
      <sheetName val="Jan Price Out"/>
      <sheetName val="Feb Price Out"/>
      <sheetName val="Mar Price Out"/>
      <sheetName val="Apr Price Out"/>
      <sheetName val="May Variance Report"/>
      <sheetName val="June Variance Report"/>
      <sheetName val="July Variance Report"/>
      <sheetName val="Feb Conv Dem MAC 100% "/>
      <sheetName val="May Conv Dem MAC 100%"/>
      <sheetName val="All TOD Energy MAC 100%"/>
      <sheetName val="May TOD Capacity MAC 100%"/>
      <sheetName val="Aug TOD Capacity MAC 100% "/>
      <sheetName val="Nov TOD Capacity MAC 100% "/>
      <sheetName val="Feb TOD Capacity MAC 100%"/>
      <sheetName val="May VTOD Capacity MAC 100%"/>
      <sheetName val="Aug  VTOD Capacity MAC 100% "/>
      <sheetName val="Nov VTOD Capacity MAC 100% "/>
      <sheetName val="Feb VTOD Capacity MAC 100%"/>
      <sheetName val="Nov Conv Dem MAC 100%"/>
      <sheetName val="Aug Conv Dem MAC 100%"/>
      <sheetName val="May Energy Only MAC 100%"/>
      <sheetName val="Aug Energy Only MAC 100%"/>
      <sheetName val="Feb Energy Only MAC 100%"/>
      <sheetName val="Nov Energy Only MAC 100% "/>
      <sheetName val="jane tod vol % "/>
      <sheetName val="August Variance Report"/>
      <sheetName val="Sept Variance Report"/>
      <sheetName val="October Variance Report"/>
      <sheetName val="November Variance Report"/>
      <sheetName val="December Variance Report"/>
      <sheetName val="January Variance Report"/>
      <sheetName val="Sheet1"/>
    </sheetNames>
    <sheetDataSet>
      <sheetData sheetId="0"/>
      <sheetData sheetId="1"/>
      <sheetData sheetId="2"/>
      <sheetData sheetId="3"/>
      <sheetData sheetId="4">
        <row r="6">
          <cell r="B6">
            <v>934000000</v>
          </cell>
          <cell r="C6">
            <v>1172000000</v>
          </cell>
          <cell r="D6">
            <v>1581000000</v>
          </cell>
          <cell r="E6">
            <v>1710000000</v>
          </cell>
          <cell r="F6">
            <v>1480000000</v>
          </cell>
          <cell r="G6">
            <v>1110000000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>
        <row r="15">
          <cell r="K15">
            <v>1.17</v>
          </cell>
        </row>
        <row r="16">
          <cell r="K16">
            <v>0.83499999999999996</v>
          </cell>
        </row>
        <row r="17">
          <cell r="K17">
            <v>0.90500000000000003</v>
          </cell>
        </row>
        <row r="25">
          <cell r="K25">
            <v>16.54</v>
          </cell>
        </row>
        <row r="26">
          <cell r="K26">
            <v>9.0299999999999994</v>
          </cell>
        </row>
        <row r="27">
          <cell r="K27">
            <v>4.6900000000000004</v>
          </cell>
        </row>
        <row r="46">
          <cell r="K46">
            <v>1.0629999999999999</v>
          </cell>
        </row>
        <row r="48">
          <cell r="K48">
            <v>100.05</v>
          </cell>
        </row>
        <row r="63">
          <cell r="K63">
            <v>60.05</v>
          </cell>
        </row>
      </sheetData>
      <sheetData sheetId="17">
        <row r="20">
          <cell r="B20">
            <v>3811997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12">
          <cell r="N12">
            <v>8.7600000000000004E-3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Note on Mac Methodology"/>
      <sheetName val="MAC Methodology"/>
      <sheetName val="Sales Forecast"/>
      <sheetName val="Adj Sales Forecast"/>
      <sheetName val="Demand Forecast"/>
      <sheetName val="Adj Demand Forecast "/>
      <sheetName val="Forecasted TOD kW by Period"/>
      <sheetName val="Forecasted Conv kW by Period"/>
      <sheetName val="TOD % of Reg kW"/>
      <sheetName val="Forecasted TOD kWh by Period"/>
      <sheetName val="TOD OnOff kWh Ratios"/>
      <sheetName val="TODS On Off %"/>
      <sheetName val="9 Max MSC-CAP methodology-OLD"/>
      <sheetName val="9 Max Proposed"/>
      <sheetName val="MSC Cover Page "/>
      <sheetName val="Capacity Estimates"/>
      <sheetName val="May - Oct Capacity MSC by Class"/>
      <sheetName val="SC 1 Rate III MSC Cap-Hist"/>
      <sheetName val="Nov - Apr Capacity MSC by Class"/>
      <sheetName val="Lookup Tables for Level Billing"/>
      <sheetName val="SC 1 Rate III MSC Cap"/>
      <sheetName val="MSC - Energy SC1"/>
      <sheetName val="Level Billing Summary"/>
      <sheetName val="MTM MSC Estimates 1,9 Oct"/>
      <sheetName val="MAC Cover Page "/>
      <sheetName val="Forecast MAC Total"/>
      <sheetName val="Adj to Mac Redux"/>
      <sheetName val="Alloc of Rate Case MAC Redux"/>
      <sheetName val="Billing Proof"/>
      <sheetName val="All TOD Energy Data"/>
      <sheetName val="Valued History"/>
      <sheetName val="May Price Out"/>
      <sheetName val="Jun Price Out"/>
      <sheetName val="Jul Price Out"/>
      <sheetName val="Aug Price Out"/>
      <sheetName val="Sep Price Out"/>
      <sheetName val="Oct Price Out"/>
      <sheetName val="Nov Price Out"/>
      <sheetName val="Dec Price Out"/>
      <sheetName val="Jan Price Out"/>
      <sheetName val="Feb Price Out"/>
      <sheetName val="Mar Price Out"/>
      <sheetName val="Apr Price Out"/>
      <sheetName val="May Variance Report"/>
      <sheetName val="June Variance Report"/>
      <sheetName val="July Variance Report"/>
      <sheetName val="Feb Conv Dem MAC 100% "/>
      <sheetName val="May Conv Dem MAC 100%"/>
      <sheetName val="All TOD Energy MAC 100%"/>
      <sheetName val="May TOD Capacity MAC 100%"/>
      <sheetName val="Aug TOD Capacity MAC 100% "/>
      <sheetName val="Nov TOD Capacity MAC 100% "/>
      <sheetName val="Feb TOD Capacity MAC 100%"/>
      <sheetName val="May VTOD Capacity MAC 100%"/>
      <sheetName val="Aug  VTOD Capacity MAC 100% "/>
      <sheetName val="Nov VTOD Capacity MAC 100% "/>
      <sheetName val="Feb VTOD Capacity MAC 100%"/>
      <sheetName val="Nov Conv Dem MAC 100%"/>
      <sheetName val="Aug Conv Dem MAC 100%"/>
      <sheetName val="May Energy Only MAC 100%"/>
      <sheetName val="Aug Energy Only MAC 100%"/>
      <sheetName val="Feb Energy Only MAC 100%"/>
      <sheetName val="Nov Energy Only MAC 100% "/>
      <sheetName val="jane tod vol % "/>
      <sheetName val="August Variance Report"/>
      <sheetName val="Sept Variance Report"/>
      <sheetName val="October Variance Report"/>
      <sheetName val="November Variance Report"/>
      <sheetName val="December Variance Report"/>
      <sheetName val="January Variance Report"/>
      <sheetName val="Sheet1"/>
    </sheetNames>
    <sheetDataSet>
      <sheetData sheetId="0"/>
      <sheetData sheetId="1"/>
      <sheetData sheetId="2"/>
      <sheetData sheetId="3"/>
      <sheetData sheetId="4">
        <row r="6">
          <cell r="H6">
            <v>999000000</v>
          </cell>
          <cell r="I6">
            <v>1103000000</v>
          </cell>
          <cell r="J6">
            <v>1176000000</v>
          </cell>
          <cell r="K6">
            <v>1113000000</v>
          </cell>
          <cell r="L6">
            <v>1021000000</v>
          </cell>
          <cell r="M6">
            <v>920000000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>
        <row r="15">
          <cell r="L15">
            <v>1.17</v>
          </cell>
        </row>
        <row r="16">
          <cell r="L16">
            <v>0.83499999999999996</v>
          </cell>
        </row>
        <row r="17">
          <cell r="L17">
            <v>0.90500000000000003</v>
          </cell>
        </row>
        <row r="25">
          <cell r="L25">
            <v>8.0299999999999994</v>
          </cell>
        </row>
        <row r="26">
          <cell r="L26">
            <v>4.3600000000000003</v>
          </cell>
        </row>
        <row r="27">
          <cell r="L27">
            <v>1.76</v>
          </cell>
        </row>
        <row r="46">
          <cell r="L46">
            <v>1.0629999999999999</v>
          </cell>
        </row>
        <row r="48">
          <cell r="L48">
            <v>47.69</v>
          </cell>
        </row>
        <row r="63">
          <cell r="L63">
            <v>28.14</v>
          </cell>
        </row>
      </sheetData>
      <sheetData sheetId="17">
        <row r="20">
          <cell r="B20">
            <v>3811997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Note on Mac Methodology"/>
      <sheetName val="MAC Methodology"/>
      <sheetName val="Sales Forecast"/>
      <sheetName val="Adj Sales Forecast"/>
      <sheetName val="Demand Forecast"/>
      <sheetName val="Adj Demand Forecast "/>
      <sheetName val="Forecasted TOD kW by Period"/>
      <sheetName val="Forecasted Conv kW by Period"/>
      <sheetName val="TOD % of Reg kW"/>
      <sheetName val="Forecasted TOD kWh by Period"/>
      <sheetName val="TOD OnOff kWh Ratios"/>
      <sheetName val="TODS On Off %"/>
      <sheetName val="9 Max MSC-CAP methodology-OLD"/>
      <sheetName val="9 Max Proposed"/>
      <sheetName val="MSC Cover Page "/>
      <sheetName val="Capacity Estimates"/>
      <sheetName val="May - Oct Capacity MSC by Class"/>
      <sheetName val="SC 1 Rate III MSC Cap-Hist"/>
      <sheetName val="Nov - Apr Capacity MSC by Class"/>
      <sheetName val="Lookup Tables for Level Billing"/>
      <sheetName val="SC 1 Rate III MSC Cap"/>
      <sheetName val="MSC - Energy SC1"/>
      <sheetName val="Level Billing Summary"/>
      <sheetName val="MTM MSC Estimates 1,9 "/>
      <sheetName val="MAC Cover Page "/>
      <sheetName val="Forecast MAC Total"/>
      <sheetName val="Adj to Mac Redux"/>
      <sheetName val="Alloc of Rate Case MAC Redux"/>
      <sheetName val="Billing Proof"/>
      <sheetName val="All TOD Energy Data"/>
      <sheetName val="Valued History"/>
      <sheetName val="May Price Out"/>
      <sheetName val="Jun Price Out"/>
      <sheetName val="Jul Price Out"/>
      <sheetName val="Aug Price Out"/>
      <sheetName val="Sep Price Out"/>
      <sheetName val="Oct Price Out"/>
      <sheetName val="Nov Price Out"/>
      <sheetName val="Dec Price Out"/>
      <sheetName val="Jan Price Out"/>
      <sheetName val="Feb Price Out"/>
      <sheetName val="Mar Price Out"/>
      <sheetName val="Apr Price Out"/>
      <sheetName val="May Variance Report"/>
      <sheetName val="June Variance Report"/>
      <sheetName val="July Variance Report"/>
      <sheetName val="Feb Conv Dem MAC 100% "/>
      <sheetName val="May Conv Dem MAC 100%"/>
      <sheetName val="All TOD Energy MAC 100%"/>
      <sheetName val="May TOD Capacity MAC 100%"/>
      <sheetName val="Aug TOD Capacity MAC 100% "/>
      <sheetName val="Nov TOD Capacity MAC 100% "/>
      <sheetName val="Feb TOD Capacity MAC 100%"/>
      <sheetName val="May VTOD Capacity MAC 100%"/>
      <sheetName val="Aug  VTOD Capacity MAC 100% "/>
      <sheetName val="Nov VTOD Capacity MAC 100% "/>
      <sheetName val="Feb VTOD Capacity MAC 100%"/>
      <sheetName val="Nov Conv Dem MAC 100%"/>
      <sheetName val="Aug Conv Dem MAC 100%"/>
      <sheetName val="May Energy Only MAC 100%"/>
      <sheetName val="Aug Energy Only MAC 100%"/>
      <sheetName val="Feb Energy Only MAC 100%"/>
      <sheetName val="Nov Energy Only MAC 100% "/>
      <sheetName val="jane tod vol % "/>
      <sheetName val="August Variance Report"/>
      <sheetName val="Sept Variance Report"/>
      <sheetName val="October Variance Report"/>
      <sheetName val="November Variance Report"/>
      <sheetName val="December Variance Report"/>
      <sheetName val="January Variance Report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>
        <row r="15">
          <cell r="M15">
            <v>1.175</v>
          </cell>
        </row>
        <row r="16">
          <cell r="M16">
            <v>0.80500000000000005</v>
          </cell>
        </row>
        <row r="17">
          <cell r="M17">
            <v>0.9</v>
          </cell>
        </row>
        <row r="25">
          <cell r="M25">
            <v>12.85</v>
          </cell>
        </row>
        <row r="26">
          <cell r="M26">
            <v>9.64</v>
          </cell>
        </row>
        <row r="27">
          <cell r="M27">
            <v>4.5199999999999996</v>
          </cell>
        </row>
        <row r="46">
          <cell r="M46">
            <v>1.0629999999999999</v>
          </cell>
        </row>
        <row r="48">
          <cell r="M48">
            <v>79.75</v>
          </cell>
        </row>
        <row r="63">
          <cell r="M63">
            <v>63.27</v>
          </cell>
        </row>
      </sheetData>
      <sheetData sheetId="17">
        <row r="20">
          <cell r="B20">
            <v>3811997</v>
          </cell>
        </row>
      </sheetData>
      <sheetData sheetId="18"/>
      <sheetData sheetId="19"/>
      <sheetData sheetId="20"/>
      <sheetData sheetId="21">
        <row r="87">
          <cell r="T87">
            <v>910000000</v>
          </cell>
        </row>
        <row r="88">
          <cell r="T88">
            <v>1158000000</v>
          </cell>
        </row>
        <row r="89">
          <cell r="T89">
            <v>1545000000</v>
          </cell>
        </row>
        <row r="90">
          <cell r="T90">
            <v>1693000000</v>
          </cell>
        </row>
        <row r="91">
          <cell r="T91">
            <v>1459000000</v>
          </cell>
        </row>
        <row r="92">
          <cell r="T92">
            <v>1096000000</v>
          </cell>
        </row>
      </sheetData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Note on Mac Methodology"/>
      <sheetName val="MAC Methodology"/>
      <sheetName val="Sales Forecast"/>
      <sheetName val="Adj Sales Forecast"/>
      <sheetName val="Demand Forecast"/>
      <sheetName val="Adj Demand Forecast "/>
      <sheetName val="Forecasted TOD kW by Period"/>
      <sheetName val="Forecasted Conv kW by Period"/>
      <sheetName val="TOD % of Reg kW"/>
      <sheetName val="Forecasted TOD kWh by Period"/>
      <sheetName val="TOD OnOff kWh Ratios"/>
      <sheetName val="TODS On Off %"/>
      <sheetName val="9 Max MSC-CAP methodology-OLD"/>
      <sheetName val="9 Max Proposed"/>
      <sheetName val="MSC Cover Page "/>
      <sheetName val="Capacity Estimates"/>
      <sheetName val="May - Oct Capacity MSC by Class"/>
      <sheetName val="SC 1 Rate III MSC Cap-Hist"/>
      <sheetName val="Nov - Apr Capacity MSC by Class"/>
      <sheetName val="Lookup Tables for Level Billing"/>
      <sheetName val="SC 1 Rate III MSC Cap"/>
      <sheetName val="MSC - Energy SC1"/>
      <sheetName val="Level Billing Summary"/>
      <sheetName val="MTM MSC Estimates 1,9 "/>
      <sheetName val="MAC Cover Page "/>
      <sheetName val="Forecast MAC Total"/>
      <sheetName val="Adj to Mac Redux"/>
      <sheetName val="Alloc of Rate Case MAC Redux"/>
      <sheetName val="Billing Proof"/>
      <sheetName val="All TOD Energy Data"/>
      <sheetName val="Valued History"/>
      <sheetName val="May Price Out"/>
      <sheetName val="Jun Price Out"/>
      <sheetName val="Jul Price Out"/>
      <sheetName val="Aug Price Out"/>
      <sheetName val="Sep Price Out"/>
      <sheetName val="Oct Price Out"/>
      <sheetName val="Nov Price Out"/>
      <sheetName val="Dec Price Out"/>
      <sheetName val="Jan Price Out"/>
      <sheetName val="Feb Price Out"/>
      <sheetName val="Mar Price Out"/>
      <sheetName val="Apr Price Out"/>
      <sheetName val="May Variance Report"/>
      <sheetName val="June Variance Report"/>
      <sheetName val="July Variance Report"/>
      <sheetName val="Feb Conv Dem MAC 100% "/>
      <sheetName val="May Conv Dem MAC 100%"/>
      <sheetName val="All TOD Energy MAC 100%"/>
      <sheetName val="May TOD Capacity MAC 100%"/>
      <sheetName val="Aug TOD Capacity MAC 100% "/>
      <sheetName val="Nov TOD Capacity MAC 100% "/>
      <sheetName val="Feb TOD Capacity MAC 100%"/>
      <sheetName val="May VTOD Capacity MAC 100%"/>
      <sheetName val="Aug  VTOD Capacity MAC 100% "/>
      <sheetName val="Nov VTOD Capacity MAC 100% "/>
      <sheetName val="Feb VTOD Capacity MAC 100%"/>
      <sheetName val="Nov Conv Dem MAC 100%"/>
      <sheetName val="Aug Conv Dem MAC 100%"/>
      <sheetName val="May Energy Only MAC 100%"/>
      <sheetName val="Aug Energy Only MAC 100%"/>
      <sheetName val="Feb Energy Only MAC 100%"/>
      <sheetName val="Nov Energy Only MAC 100% "/>
      <sheetName val="jane tod vol % "/>
      <sheetName val="August Variance Report"/>
      <sheetName val="Sept Variance Report"/>
      <sheetName val="October Variance Report"/>
      <sheetName val="November Variance Report"/>
      <sheetName val="December Variance Report"/>
      <sheetName val="January Variance Report"/>
      <sheetName val="Sheet1"/>
    </sheetNames>
    <sheetDataSet>
      <sheetData sheetId="0"/>
      <sheetData sheetId="1"/>
      <sheetData sheetId="2"/>
      <sheetData sheetId="3"/>
      <sheetData sheetId="4">
        <row r="6">
          <cell r="H6">
            <v>1003000000</v>
          </cell>
          <cell r="I6">
            <v>1098000000</v>
          </cell>
          <cell r="J6">
            <v>1187000000</v>
          </cell>
          <cell r="K6">
            <v>1105000000</v>
          </cell>
          <cell r="L6">
            <v>1036000000</v>
          </cell>
          <cell r="M6">
            <v>892000000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>
        <row r="15">
          <cell r="N15">
            <v>1.175</v>
          </cell>
        </row>
        <row r="16">
          <cell r="N16">
            <v>0.80500000000000005</v>
          </cell>
        </row>
        <row r="17">
          <cell r="N17">
            <v>0.9</v>
          </cell>
        </row>
        <row r="25">
          <cell r="N25">
            <v>4.59</v>
          </cell>
        </row>
        <row r="26">
          <cell r="N26">
            <v>4.17</v>
          </cell>
        </row>
        <row r="27">
          <cell r="N27">
            <v>0.83</v>
          </cell>
        </row>
        <row r="46">
          <cell r="N46">
            <v>1.0629999999999999</v>
          </cell>
        </row>
        <row r="48">
          <cell r="N48">
            <v>27.55</v>
          </cell>
        </row>
        <row r="63">
          <cell r="N63">
            <v>25.4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vel Billing"/>
      <sheetName val="MSC - Energy SC1"/>
      <sheetName val="SC 1 Rate III MSC Cap"/>
      <sheetName val="Lookuptables"/>
      <sheetName val="Monthly Selections"/>
      <sheetName val="Charts"/>
      <sheetName val="MSC Calc Lookup Tables"/>
      <sheetName val="Monthly Selections (2)"/>
    </sheetNames>
    <sheetDataSet>
      <sheetData sheetId="0"/>
      <sheetData sheetId="1"/>
      <sheetData sheetId="2">
        <row r="93">
          <cell r="T93">
            <v>969000000</v>
          </cell>
        </row>
        <row r="94">
          <cell r="T94">
            <v>1093000000</v>
          </cell>
        </row>
        <row r="95">
          <cell r="T95">
            <v>1186000000</v>
          </cell>
        </row>
        <row r="96">
          <cell r="T96">
            <v>1117000000</v>
          </cell>
        </row>
        <row r="97">
          <cell r="T97">
            <v>1048000000</v>
          </cell>
        </row>
        <row r="98">
          <cell r="T98">
            <v>905000000</v>
          </cell>
        </row>
      </sheetData>
      <sheetData sheetId="3"/>
      <sheetData sheetId="4"/>
      <sheetData sheetId="5"/>
      <sheetData sheetId="6"/>
      <sheetData sheetId="7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les Forecast"/>
      <sheetName val="Adj Sales Forecast"/>
      <sheetName val="Demand Forecast"/>
      <sheetName val="Adj Demand Forecast "/>
      <sheetName val="Forecasted TOD kW by Period"/>
      <sheetName val="Forecasted Conv kW by Period"/>
      <sheetName val="TOD % of Reg kW"/>
      <sheetName val="Forecasted TOD kWh by Period"/>
      <sheetName val="TOD OnOff kWh Ratios"/>
      <sheetName val="TODS On Off %"/>
      <sheetName val="MSC Cover Page "/>
      <sheetName val="Capacity Estimates"/>
      <sheetName val="May - Oct Capacity MSC by Cl20"/>
      <sheetName val="May - Oct Capacity MSC by Class"/>
      <sheetName val="Nov - Apr Capacity MSC by Class"/>
      <sheetName val="SC 1 Rate III MSC Cap"/>
      <sheetName val="Lookup Tables for Level Billing"/>
      <sheetName val="MSC - Energy SC1"/>
      <sheetName val="Level Billing Summary"/>
      <sheetName val="MTM MSC Estimates 1,9 "/>
      <sheetName val="MAC Cover Page "/>
      <sheetName val="Forecast MAC Total"/>
      <sheetName val="Valued History"/>
    </sheetNames>
    <sheetDataSet>
      <sheetData sheetId="0">
        <row r="44">
          <cell r="C44">
            <v>0.11922499999999991</v>
          </cell>
        </row>
      </sheetData>
      <sheetData sheetId="1">
        <row r="6">
          <cell r="B6">
            <v>837000000</v>
          </cell>
          <cell r="H6">
            <v>899000000</v>
          </cell>
          <cell r="I6">
            <v>1041000000</v>
          </cell>
          <cell r="J6">
            <v>1079000000</v>
          </cell>
          <cell r="K6">
            <v>1055000000</v>
          </cell>
          <cell r="L6">
            <v>951000000</v>
          </cell>
          <cell r="M6">
            <v>837000000</v>
          </cell>
        </row>
        <row r="48">
          <cell r="E48">
            <v>4561636989</v>
          </cell>
        </row>
      </sheetData>
      <sheetData sheetId="2"/>
      <sheetData sheetId="3">
        <row r="6">
          <cell r="B6">
            <v>174</v>
          </cell>
        </row>
      </sheetData>
      <sheetData sheetId="4">
        <row r="5">
          <cell r="H5">
            <v>17868</v>
          </cell>
        </row>
      </sheetData>
      <sheetData sheetId="5">
        <row r="22">
          <cell r="H22">
            <v>293164</v>
          </cell>
        </row>
      </sheetData>
      <sheetData sheetId="6"/>
      <sheetData sheetId="7"/>
      <sheetData sheetId="8"/>
      <sheetData sheetId="9">
        <row r="5">
          <cell r="L5">
            <v>0.24660000000000001</v>
          </cell>
        </row>
      </sheetData>
      <sheetData sheetId="10"/>
      <sheetData sheetId="11">
        <row r="11">
          <cell r="U11" t="str">
            <v>May 2020 - October 2020</v>
          </cell>
        </row>
        <row r="15">
          <cell r="O15">
            <v>1.18</v>
          </cell>
          <cell r="P15">
            <v>1.18</v>
          </cell>
          <cell r="Q15">
            <v>1.1819999999999999</v>
          </cell>
          <cell r="R15">
            <v>1.1819999999999999</v>
          </cell>
          <cell r="S15">
            <v>1.17</v>
          </cell>
        </row>
        <row r="16">
          <cell r="O16">
            <v>0.81499999999999995</v>
          </cell>
          <cell r="P16">
            <v>0.81499999999999995</v>
          </cell>
          <cell r="Q16">
            <v>0.80500000000000005</v>
          </cell>
          <cell r="R16">
            <v>0.80500000000000005</v>
          </cell>
          <cell r="S16">
            <v>0.82799999999999996</v>
          </cell>
        </row>
        <row r="17">
          <cell r="O17">
            <v>0.91500000000000004</v>
          </cell>
          <cell r="P17">
            <v>0.91500000000000004</v>
          </cell>
          <cell r="Q17">
            <v>0.94499999999999995</v>
          </cell>
          <cell r="R17">
            <v>0.94499999999999995</v>
          </cell>
          <cell r="S17">
            <v>0.92300000000000004</v>
          </cell>
        </row>
        <row r="25">
          <cell r="O25">
            <v>13.87</v>
          </cell>
          <cell r="P25">
            <v>3.39</v>
          </cell>
          <cell r="Q25">
            <v>13.32</v>
          </cell>
          <cell r="R25">
            <v>3.7</v>
          </cell>
          <cell r="S25">
            <v>12.564209999999999</v>
          </cell>
        </row>
        <row r="26">
          <cell r="O26">
            <v>11.21</v>
          </cell>
          <cell r="P26">
            <v>2.65</v>
          </cell>
          <cell r="Q26">
            <v>10.67</v>
          </cell>
          <cell r="R26">
            <v>2.61</v>
          </cell>
          <cell r="S26">
            <v>4.3920180000000002</v>
          </cell>
        </row>
        <row r="27">
          <cell r="O27">
            <v>4.1399999999999997</v>
          </cell>
          <cell r="P27">
            <v>0.49</v>
          </cell>
          <cell r="Q27">
            <v>2.23</v>
          </cell>
          <cell r="R27">
            <v>0.66</v>
          </cell>
          <cell r="S27">
            <v>1.1857300000000002</v>
          </cell>
        </row>
        <row r="51">
          <cell r="O51">
            <v>1.0629999999999999</v>
          </cell>
          <cell r="P51">
            <v>1.0629999999999999</v>
          </cell>
          <cell r="Q51">
            <v>1.0629999999999999</v>
          </cell>
          <cell r="R51">
            <v>1.0629999999999999</v>
          </cell>
          <cell r="S51">
            <v>1.0629999999999999</v>
          </cell>
          <cell r="T51">
            <v>1.0629999999999999</v>
          </cell>
        </row>
        <row r="53">
          <cell r="I53">
            <v>110.52</v>
          </cell>
          <cell r="J53">
            <v>60.95</v>
          </cell>
          <cell r="K53">
            <v>100.05</v>
          </cell>
          <cell r="L53">
            <v>47.69</v>
          </cell>
          <cell r="M53">
            <v>79.75</v>
          </cell>
          <cell r="N53">
            <v>27.55</v>
          </cell>
          <cell r="O53">
            <v>86.24</v>
          </cell>
          <cell r="P53">
            <v>20.14</v>
          </cell>
          <cell r="Q53">
            <v>81.290000000000006</v>
          </cell>
          <cell r="R53">
            <v>22.32</v>
          </cell>
          <cell r="S53">
            <v>78.599999999999994</v>
          </cell>
        </row>
        <row r="72">
          <cell r="I72">
            <v>78.959999999999994</v>
          </cell>
          <cell r="J72">
            <v>42.31</v>
          </cell>
          <cell r="K72">
            <v>60.05</v>
          </cell>
          <cell r="L72">
            <v>28.14</v>
          </cell>
          <cell r="M72">
            <v>63.27</v>
          </cell>
          <cell r="N72">
            <v>25.4</v>
          </cell>
          <cell r="O72">
            <v>72.41</v>
          </cell>
          <cell r="P72">
            <v>16.3</v>
          </cell>
          <cell r="Q72">
            <v>67.680000000000007</v>
          </cell>
          <cell r="R72">
            <v>16.73</v>
          </cell>
          <cell r="S72">
            <v>29.82</v>
          </cell>
        </row>
      </sheetData>
      <sheetData sheetId="12"/>
      <sheetData sheetId="13">
        <row r="20">
          <cell r="B20">
            <v>4009646</v>
          </cell>
          <cell r="C20">
            <v>4009646</v>
          </cell>
        </row>
      </sheetData>
      <sheetData sheetId="14">
        <row r="20">
          <cell r="B20">
            <v>4009646</v>
          </cell>
        </row>
      </sheetData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Note on Mac Methodology"/>
      <sheetName val="MAC Methodology"/>
      <sheetName val="Sales Forecast"/>
      <sheetName val="Adj Sales Forecast"/>
      <sheetName val="Demand Forecast"/>
      <sheetName val="Adj Demand Forecast "/>
      <sheetName val="Forecasted TOD kW by Period"/>
      <sheetName val="Forecasted Conv kW by Period"/>
      <sheetName val="TOD % of Reg kW"/>
      <sheetName val="Forecasted TOD kWh by Period"/>
      <sheetName val="TOD OnOff kWh Ratios"/>
      <sheetName val="TODS On Off %"/>
      <sheetName val="9 Max MSC-CAP methodology-OLD"/>
      <sheetName val="9 Max Proposed"/>
      <sheetName val="MSC Cover Page "/>
      <sheetName val="Capacity Estimates"/>
      <sheetName val="May - Oct Capacity MSC by Class"/>
      <sheetName val="SC 1 Rate III MSC Cap-Hist"/>
      <sheetName val="Nov - Apr Capacity MSC by Class"/>
      <sheetName val="Lookup Tables for Level Billing"/>
      <sheetName val="SC 1 Rate III MSC Cap"/>
      <sheetName val="MSC - Energy SC1"/>
      <sheetName val="Level Billing Summary"/>
      <sheetName val="MTM MSC Estimates 1,9 "/>
      <sheetName val="MAC Cover Page "/>
      <sheetName val="Forecast MAC Total"/>
      <sheetName val="Adj to Mac Redux"/>
      <sheetName val="Alloc of Rate Case MAC Redux"/>
      <sheetName val="Billing Proof"/>
      <sheetName val="All TOD Energy Data"/>
      <sheetName val="Valued History"/>
      <sheetName val="May Price Out"/>
      <sheetName val="Jun Price Out"/>
      <sheetName val="Jul Price Out"/>
      <sheetName val="Aug Price Out"/>
      <sheetName val="Sep Price Out"/>
      <sheetName val="Oct Price Out"/>
      <sheetName val="Nov Price Out"/>
      <sheetName val="Dec Price Out"/>
      <sheetName val="Jan Price Out"/>
      <sheetName val="Feb Price Out"/>
      <sheetName val="Mar Price Out"/>
      <sheetName val="Apr Price Out"/>
      <sheetName val="May Variance Report"/>
      <sheetName val="June Variance Report"/>
      <sheetName val="July Variance Report"/>
      <sheetName val="Feb Conv Dem MAC 100% "/>
      <sheetName val="May Conv Dem MAC 100%"/>
      <sheetName val="All TOD Energy MAC 100%"/>
      <sheetName val="May TOD Capacity MAC 100%"/>
      <sheetName val="Aug TOD Capacity MAC 100% "/>
      <sheetName val="Nov TOD Capacity MAC 100% "/>
      <sheetName val="Feb TOD Capacity MAC 100%"/>
      <sheetName val="May VTOD Capacity MAC 100%"/>
      <sheetName val="Aug  VTOD Capacity MAC 100% "/>
      <sheetName val="Nov VTOD Capacity MAC 100% "/>
      <sheetName val="Feb VTOD Capacity MAC 100%"/>
      <sheetName val="Nov Conv Dem MAC 100%"/>
      <sheetName val="Aug Conv Dem MAC 100%"/>
      <sheetName val="May Energy Only MAC 100%"/>
      <sheetName val="Aug Energy Only MAC 100%"/>
      <sheetName val="Feb Energy Only MAC 100%"/>
      <sheetName val="Nov Energy Only MAC 100% "/>
      <sheetName val="jane tod vol % "/>
      <sheetName val="August Variance Report"/>
      <sheetName val="Sept Variance Report"/>
      <sheetName val="October Variance Report"/>
      <sheetName val="November Variance Report"/>
      <sheetName val="December Variance Report"/>
      <sheetName val="January Variance Report"/>
      <sheetName val="Sheet1"/>
    </sheetNames>
    <sheetDataSet>
      <sheetData sheetId="0"/>
      <sheetData sheetId="1"/>
      <sheetData sheetId="2"/>
      <sheetData sheetId="3"/>
      <sheetData sheetId="4">
        <row r="6">
          <cell r="B6">
            <v>892000000</v>
          </cell>
          <cell r="C6">
            <v>1159000000</v>
          </cell>
          <cell r="D6">
            <v>1545000000</v>
          </cell>
          <cell r="E6">
            <v>1689000000</v>
          </cell>
          <cell r="F6">
            <v>1431000000</v>
          </cell>
          <cell r="G6">
            <v>1102000000</v>
          </cell>
        </row>
      </sheetData>
      <sheetData sheetId="5"/>
      <sheetData sheetId="6">
        <row r="6">
          <cell r="B6">
            <v>132</v>
          </cell>
        </row>
      </sheetData>
      <sheetData sheetId="7">
        <row r="5">
          <cell r="H5">
            <v>18434</v>
          </cell>
        </row>
      </sheetData>
      <sheetData sheetId="8">
        <row r="22">
          <cell r="H22">
            <v>327871</v>
          </cell>
        </row>
      </sheetData>
      <sheetData sheetId="9"/>
      <sheetData sheetId="10"/>
      <sheetData sheetId="11">
        <row r="31">
          <cell r="B31">
            <v>0.43169999999999997</v>
          </cell>
        </row>
      </sheetData>
      <sheetData sheetId="12">
        <row r="7">
          <cell r="E7">
            <v>0.46989999999999998</v>
          </cell>
        </row>
      </sheetData>
      <sheetData sheetId="13"/>
      <sheetData sheetId="14"/>
      <sheetData sheetId="15"/>
      <sheetData sheetId="16">
        <row r="4">
          <cell r="A4" t="str">
            <v>May 2017 - October 2017</v>
          </cell>
        </row>
      </sheetData>
      <sheetData sheetId="17">
        <row r="20">
          <cell r="B20">
            <v>3850824</v>
          </cell>
        </row>
      </sheetData>
      <sheetData sheetId="18"/>
      <sheetData sheetId="19"/>
      <sheetData sheetId="20"/>
      <sheetData sheetId="21">
        <row r="93">
          <cell r="O93">
            <v>105020517</v>
          </cell>
        </row>
      </sheetData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Note on Mac Methodology"/>
      <sheetName val="MAC Methodology"/>
      <sheetName val="Sales Forecast"/>
      <sheetName val="Adj Sales Forecast"/>
      <sheetName val="Demand Forecast"/>
      <sheetName val="Adj Demand Forecast "/>
      <sheetName val="Forecasted TOD kW by Period"/>
      <sheetName val="Forecasted Conv kW by Period"/>
      <sheetName val="TOD % of Reg kW"/>
      <sheetName val="Forecasted TOD kWh by Period"/>
      <sheetName val="TOD OnOff kWh Ratios"/>
      <sheetName val="TODS On Off %"/>
      <sheetName val="9 Max MSC-CAP methodology-OLD"/>
      <sheetName val="9 Max Proposed"/>
      <sheetName val="MSC Cover Page "/>
      <sheetName val="Capacity Estimates"/>
      <sheetName val="May - Oct Capacity MSC by Class"/>
      <sheetName val="SC 1 Rate III MSC Cap-Hist"/>
      <sheetName val="Nov - Apr Capacity MSC by Class"/>
      <sheetName val="Lookup Tables for Level Billing"/>
      <sheetName val="SC 1 Rate III MSC Cap"/>
      <sheetName val="MSC - Energy SC1"/>
      <sheetName val="Level Billing Summary"/>
      <sheetName val="MTM MSC Estimates 1,9 "/>
      <sheetName val="MAC Cover Page "/>
      <sheetName val="Forecast MAC Total"/>
      <sheetName val="Adj to Mac Redux"/>
      <sheetName val="Alloc of Rate Case MAC Redux"/>
      <sheetName val="Billing Proof"/>
      <sheetName val="All TOD Energy Data"/>
      <sheetName val="Valued History"/>
      <sheetName val="May Price Out"/>
      <sheetName val="Jun Price Out"/>
      <sheetName val="Jul Price Out"/>
      <sheetName val="Aug Price Out"/>
      <sheetName val="Sep Price Out"/>
      <sheetName val="Oct Price Out"/>
      <sheetName val="Nov Price Out"/>
      <sheetName val="Dec Price Out"/>
      <sheetName val="Jan Price Out"/>
      <sheetName val="Feb Price Out"/>
      <sheetName val="Mar Price Out"/>
      <sheetName val="Apr Price Out"/>
      <sheetName val="May Variance Report"/>
      <sheetName val="June Variance Report"/>
      <sheetName val="July Variance Report"/>
      <sheetName val="Feb Conv Dem MAC 100% "/>
      <sheetName val="May Conv Dem MAC 100%"/>
      <sheetName val="All TOD Energy MAC 100%"/>
      <sheetName val="May TOD Capacity MAC 100%"/>
      <sheetName val="Aug TOD Capacity MAC 100% "/>
      <sheetName val="Nov TOD Capacity MAC 100% "/>
      <sheetName val="Feb TOD Capacity MAC 100%"/>
      <sheetName val="May VTOD Capacity MAC 100%"/>
      <sheetName val="Aug  VTOD Capacity MAC 100% "/>
      <sheetName val="Nov VTOD Capacity MAC 100% "/>
      <sheetName val="Feb VTOD Capacity MAC 100%"/>
      <sheetName val="Nov Conv Dem MAC 100%"/>
      <sheetName val="Aug Conv Dem MAC 100%"/>
      <sheetName val="May Energy Only MAC 100%"/>
      <sheetName val="Aug Energy Only MAC 100%"/>
      <sheetName val="Feb Energy Only MAC 100%"/>
      <sheetName val="Nov Energy Only MAC 100% "/>
      <sheetName val="jane tod vol % "/>
      <sheetName val="August Variance Report"/>
      <sheetName val="Sept Variance Report"/>
      <sheetName val="October Variance Report"/>
      <sheetName val="November Variance Report"/>
      <sheetName val="December Variance Report"/>
      <sheetName val="January Variance Report"/>
      <sheetName val="Sheet1"/>
      <sheetName val="MSCMAC_MASTER_November17"/>
    </sheetNames>
    <sheetDataSet>
      <sheetData sheetId="0"/>
      <sheetData sheetId="1"/>
      <sheetData sheetId="2"/>
      <sheetData sheetId="3"/>
      <sheetData sheetId="4">
        <row r="6">
          <cell r="B6">
            <v>881000000</v>
          </cell>
          <cell r="H6">
            <v>959000000</v>
          </cell>
          <cell r="I6">
            <v>1084000000</v>
          </cell>
          <cell r="J6">
            <v>1139000000</v>
          </cell>
          <cell r="K6">
            <v>1070000000</v>
          </cell>
          <cell r="L6">
            <v>1001000000</v>
          </cell>
          <cell r="M6">
            <v>892000000</v>
          </cell>
        </row>
      </sheetData>
      <sheetData sheetId="5"/>
      <sheetData sheetId="6">
        <row r="6">
          <cell r="H6">
            <v>180</v>
          </cell>
        </row>
      </sheetData>
      <sheetData sheetId="7">
        <row r="6">
          <cell r="C6">
            <v>20766</v>
          </cell>
        </row>
      </sheetData>
      <sheetData sheetId="8">
        <row r="23">
          <cell r="C23">
            <v>254335</v>
          </cell>
        </row>
      </sheetData>
      <sheetData sheetId="9"/>
      <sheetData sheetId="10"/>
      <sheetData sheetId="11"/>
      <sheetData sheetId="12">
        <row r="11">
          <cell r="E11">
            <v>0.45860000000000001</v>
          </cell>
        </row>
      </sheetData>
      <sheetData sheetId="13"/>
      <sheetData sheetId="14"/>
      <sheetData sheetId="15"/>
      <sheetData sheetId="16">
        <row r="15">
          <cell r="P15">
            <v>1.18</v>
          </cell>
        </row>
      </sheetData>
      <sheetData sheetId="17">
        <row r="20">
          <cell r="B20">
            <v>3850824</v>
          </cell>
        </row>
      </sheetData>
      <sheetData sheetId="18"/>
      <sheetData sheetId="19">
        <row r="20">
          <cell r="G20">
            <v>1.2619999999999999E-2</v>
          </cell>
        </row>
      </sheetData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Note on Mac Methodology"/>
      <sheetName val="MAC Methodology"/>
      <sheetName val="Sales Forecast"/>
      <sheetName val="Adj Sales Forecast"/>
      <sheetName val="Demand Forecast"/>
      <sheetName val="Adj Demand Forecast "/>
      <sheetName val="Forecasted TOD kW by Period"/>
      <sheetName val="Forecasted Conv kW by Period"/>
      <sheetName val="TOD % of Reg kW"/>
      <sheetName val="Forecasted TOD kWh by Period"/>
      <sheetName val="TOD OnOff kWh Ratios"/>
      <sheetName val="TODS On Off %"/>
      <sheetName val="9 Max MSC-CAP methodology-OLD"/>
      <sheetName val="9 Max Proposed"/>
      <sheetName val="MSC Cover Page "/>
      <sheetName val="Capacity Estimates"/>
      <sheetName val="May - Oct Capacity MSC by Class"/>
      <sheetName val="SC 1 Rate III MSC Cap-Hist"/>
      <sheetName val="Nov - Apr Capacity MSC by Class"/>
      <sheetName val="Lookup Tables for Level Billing"/>
      <sheetName val="SC 1 Rate III MSC Cap"/>
      <sheetName val="MSC - Energy SC1"/>
      <sheetName val="Level Billing Summary"/>
      <sheetName val="MTM MSC Estimates 1,9 "/>
      <sheetName val="MAC Cover Page "/>
      <sheetName val="Forecast MAC Total"/>
      <sheetName val="Adj to Mac Redux"/>
      <sheetName val="Alloc of Rate Case MAC Redux"/>
      <sheetName val="Billing Proof"/>
      <sheetName val="All TOD Energy Data"/>
      <sheetName val="Valued History"/>
      <sheetName val="May Price Out"/>
      <sheetName val="Jun Price Out"/>
      <sheetName val="Jul Price Out"/>
      <sheetName val="Aug Price Out"/>
      <sheetName val="Sep Price Out"/>
      <sheetName val="Oct Price Out"/>
      <sheetName val="Nov Price Out"/>
      <sheetName val="Dec Price Out"/>
      <sheetName val="Jan Price Out"/>
      <sheetName val="Feb Price Out"/>
      <sheetName val="Mar Price Out"/>
      <sheetName val="Apr Price Out"/>
      <sheetName val="May Variance Report"/>
      <sheetName val="June Variance Report"/>
      <sheetName val="July Variance Report"/>
      <sheetName val="Feb Conv Dem MAC 100% "/>
      <sheetName val="May Conv Dem MAC 100%"/>
      <sheetName val="All TOD Energy MAC 100%"/>
      <sheetName val="May TOD Capacity MAC 100%"/>
      <sheetName val="Aug TOD Capacity MAC 100% "/>
      <sheetName val="Nov TOD Capacity MAC 100% "/>
      <sheetName val="Feb TOD Capacity MAC 100%"/>
      <sheetName val="May VTOD Capacity MAC 100%"/>
      <sheetName val="Aug  VTOD Capacity MAC 100% "/>
      <sheetName val="Nov VTOD Capacity MAC 100% "/>
      <sheetName val="Feb VTOD Capacity MAC 100%"/>
      <sheetName val="Nov Conv Dem MAC 100%"/>
      <sheetName val="Aug Conv Dem MAC 100%"/>
      <sheetName val="May Energy Only MAC 100%"/>
      <sheetName val="Aug Energy Only MAC 100%"/>
      <sheetName val="Feb Energy Only MAC 100%"/>
      <sheetName val="Nov Energy Only MAC 100% "/>
      <sheetName val="jane tod vol % "/>
      <sheetName val="August Variance Report"/>
      <sheetName val="Sept Variance Report"/>
      <sheetName val="October Variance Report"/>
      <sheetName val="November Variance Report"/>
      <sheetName val="December Variance Report"/>
      <sheetName val="January Variance Report"/>
      <sheetName val="Sheet1"/>
    </sheetNames>
    <sheetDataSet>
      <sheetData sheetId="0"/>
      <sheetData sheetId="1"/>
      <sheetData sheetId="2"/>
      <sheetData sheetId="3"/>
      <sheetData sheetId="4">
        <row r="6">
          <cell r="B6">
            <v>881000000</v>
          </cell>
          <cell r="C6">
            <v>1134000000</v>
          </cell>
          <cell r="D6">
            <v>1574000000</v>
          </cell>
          <cell r="E6">
            <v>1656000000</v>
          </cell>
          <cell r="F6">
            <v>1398000000</v>
          </cell>
          <cell r="G6">
            <v>1094000000</v>
          </cell>
          <cell r="H6">
            <v>950000000</v>
          </cell>
          <cell r="I6">
            <v>1085000000</v>
          </cell>
          <cell r="J6">
            <v>1122000000</v>
          </cell>
          <cell r="K6">
            <v>1082000000</v>
          </cell>
          <cell r="L6">
            <v>993000000</v>
          </cell>
          <cell r="M6">
            <v>887000000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20">
          <cell r="B20">
            <v>4625511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Note on Mac Methodology"/>
      <sheetName val="MAC Methodology"/>
      <sheetName val="Sales Forecast"/>
      <sheetName val="Adj Sales Forecast"/>
      <sheetName val="Demand Forecast"/>
      <sheetName val="Adj Demand Forecast "/>
      <sheetName val="Forecasted TOD kW by Period"/>
      <sheetName val="Forecasted Conv kW by Period"/>
      <sheetName val="TOD % of Reg kW"/>
      <sheetName val="Forecasted TOD kWh by Period"/>
      <sheetName val="TOD OnOff kWh Ratios"/>
      <sheetName val="TODS On Off %"/>
      <sheetName val="9 Max MSC-CAP methodology-OLD"/>
      <sheetName val="9 Max Proposed"/>
      <sheetName val="MSC Cover Page "/>
      <sheetName val="Capacity Estimates"/>
      <sheetName val="May - Oct Capacity MSC by Class"/>
      <sheetName val="SC 1 Rate III MSC Cap-Hist"/>
      <sheetName val="Nov - Apr Capacity MSC by Class"/>
      <sheetName val="Lookup Tables for Level Billing"/>
      <sheetName val="SC 1 Rate III MSC Cap"/>
      <sheetName val="MSC - Energy SC1"/>
      <sheetName val="Level Billing Summary"/>
      <sheetName val="MTM MSC Estimates 1,9 "/>
      <sheetName val="MAC Cover Page "/>
      <sheetName val="Forecast MAC Total"/>
      <sheetName val="Adj to Mac Redux"/>
      <sheetName val="Alloc of Rate Case MAC Redux"/>
      <sheetName val="Billing Proof"/>
      <sheetName val="All TOD Energy Data"/>
      <sheetName val="Valued History"/>
      <sheetName val="May Price Out"/>
      <sheetName val="Jun Price Out"/>
      <sheetName val="Jul Price Out"/>
      <sheetName val="Aug Price Out"/>
      <sheetName val="Sep Price Out"/>
      <sheetName val="Oct Price Out"/>
      <sheetName val="Nov Price Out"/>
      <sheetName val="Dec Price Out"/>
      <sheetName val="Jan Price Out"/>
      <sheetName val="Feb Price Out"/>
      <sheetName val="Mar Price Out"/>
      <sheetName val="Apr Price Out"/>
      <sheetName val="May Variance Report"/>
      <sheetName val="June Variance Report"/>
      <sheetName val="July Variance Report"/>
      <sheetName val="Feb Conv Dem MAC 100% "/>
      <sheetName val="May Conv Dem MAC 100%"/>
      <sheetName val="All TOD Energy MAC 100%"/>
      <sheetName val="May TOD Capacity MAC 100%"/>
      <sheetName val="Aug TOD Capacity MAC 100% "/>
      <sheetName val="Nov TOD Capacity MAC 100% "/>
      <sheetName val="Feb TOD Capacity MAC 100%"/>
      <sheetName val="May VTOD Capacity MAC 100%"/>
      <sheetName val="Aug  VTOD Capacity MAC 100% "/>
      <sheetName val="Nov VTOD Capacity MAC 100% "/>
      <sheetName val="Feb VTOD Capacity MAC 100%"/>
      <sheetName val="Nov Conv Dem MAC 100%"/>
      <sheetName val="Aug Conv Dem MAC 100%"/>
      <sheetName val="May Energy Only MAC 100%"/>
      <sheetName val="Aug Energy Only MAC 100%"/>
      <sheetName val="Feb Energy Only MAC 100%"/>
      <sheetName val="Nov Energy Only MAC 100% "/>
      <sheetName val="jane tod vol % "/>
      <sheetName val="August Variance Report"/>
      <sheetName val="Sept Variance Report"/>
      <sheetName val="October Variance Report"/>
      <sheetName val="November Variance Report"/>
      <sheetName val="December Variance Report"/>
      <sheetName val="January Variance Report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>
        <row r="6">
          <cell r="B6">
            <v>859000000</v>
          </cell>
          <cell r="C6">
            <v>1130000000</v>
          </cell>
          <cell r="D6">
            <v>1561000000</v>
          </cell>
          <cell r="E6">
            <v>1645000000</v>
          </cell>
          <cell r="F6">
            <v>1399000000</v>
          </cell>
          <cell r="G6">
            <v>1059000000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16">
          <cell r="B16">
            <v>78.599999999999994</v>
          </cell>
        </row>
        <row r="20">
          <cell r="G20">
            <v>4.1180000000000001E-2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 Sales including BIR"/>
      <sheetName val="FS Sales including BIR &amp; RTP"/>
      <sheetName val="TOD Sales Allocation"/>
      <sheetName val="SC 6 Sales in KWh"/>
      <sheetName val="Final Sales excluding BIR"/>
      <sheetName val="TOD Sales (excl BIR) Allocation"/>
      <sheetName val="Final Demand including BIR"/>
      <sheetName val="TOD Demand Allocation"/>
      <sheetName val="Net Energy+Demand Rev at Jan22"/>
      <sheetName val="TOD Energy+Dmd Rev Allocation"/>
      <sheetName val="DropDown"/>
      <sheetName val="INSTRUCTIONS"/>
      <sheetName val="Scenario"/>
      <sheetName val="Non Model Rates"/>
      <sheetName val="Historical_Volume_Data"/>
      <sheetName val="Historical_Demand_Data"/>
      <sheetName val="Historical_Energy_Revenue"/>
      <sheetName val="Historical_Demand_Revenue"/>
      <sheetName val="Historical_Retail_Access_Data"/>
      <sheetName val="Historical_Customers_Data"/>
      <sheetName val="Historical_BIR_Data"/>
      <sheetName val="BIR_Volume_Forecast"/>
      <sheetName val="BIR_Revenue_Forecast"/>
      <sheetName val="Qtr_Models_Sales_Allocation"/>
      <sheetName val="Other_SCs"/>
      <sheetName val="Sales before Adjustments"/>
      <sheetName val="% Chg Sales due to COVID"/>
      <sheetName val="Chg in Sales due to COVID"/>
      <sheetName val="Economic Impact"/>
      <sheetName val="Gain from Steam AC"/>
      <sheetName val="Gain from EV"/>
      <sheetName val="Gain from WC Elec"/>
      <sheetName val="Gain from Indian Pt"/>
      <sheetName val="Loss to Solar Generation"/>
      <sheetName val="Loss to CVO"/>
      <sheetName val="Sales with Unallocated Adj"/>
      <sheetName val="Retail_Choice_Allocation"/>
      <sheetName val="Allocation_to_CON_TOD"/>
      <sheetName val="Allocated Sales before Adj"/>
      <sheetName val="Sales Adj - DSM"/>
      <sheetName val="Sales Adj - Standby Svc"/>
      <sheetName val="Sales Adj - RNY"/>
      <sheetName val="Sales Adj - Hudson Yards"/>
      <sheetName val="BIR Sales"/>
      <sheetName val="Demand before Adjustments"/>
      <sheetName val="Demand Adj - DSM"/>
      <sheetName val="Demand Adj - Standby Svc"/>
      <sheetName val="Demand Adj - RNY"/>
      <sheetName val="Demand Adj - Hudson Yards"/>
      <sheetName val="BIR Demand"/>
      <sheetName val="Final Demand excluding BIR"/>
      <sheetName val="Customers Forecast"/>
      <sheetName val="Customer Charge Revenues"/>
      <sheetName val="Energy Rates at Jan15"/>
      <sheetName val="Energy Rev at Jan15"/>
      <sheetName val="BIR Energy Rev at Jan15"/>
      <sheetName val="Energy+BIR Rev at Jan15"/>
      <sheetName val="Demand Rates at Jan15"/>
      <sheetName val="Demand Rev at Jan15"/>
      <sheetName val="BIR Demand Rev at Jan15"/>
      <sheetName val="Total Demand Rev at Jan15"/>
      <sheetName val="Energy+BIR Rev at Jan17"/>
      <sheetName val="Total Demand Rev at Jan17"/>
      <sheetName val="Energy+BIR Rev at Jan18"/>
      <sheetName val="Total Demand Rev at Jan18"/>
      <sheetName val="Energy+BIR Rev at Jan19"/>
      <sheetName val="Total Demand Rev at Jan19"/>
      <sheetName val="Energy+BIR Rev at Jan20"/>
      <sheetName val="Total Demand Rev at Jan20"/>
      <sheetName val="Energy+BIR Rev at Jan21"/>
      <sheetName val="Total Demand Rev at Jan21"/>
      <sheetName val="Energy+BIR Rev at Jan22"/>
      <sheetName val="Total Demand Rev at Jan22"/>
      <sheetName val="Total Energy Rev at Jan22"/>
      <sheetName val="Energy+Demand Rev at Jan22"/>
      <sheetName val="Low Income Discount"/>
      <sheetName val="Net Energy Rev at Jan22"/>
      <sheetName val="Projected Change in Revs"/>
      <sheetName val="TOD Energy Rev Allocation"/>
      <sheetName val="TOD Demand Rev Allocation"/>
      <sheetName val="Volume for Upload"/>
      <sheetName val="Revenue for Upload"/>
      <sheetName val="Comparison (2019 Prelim Update)"/>
      <sheetName val="Comparison (2019 Formal Update)"/>
    </sheetNames>
    <sheetDataSet>
      <sheetData sheetId="0">
        <row r="8">
          <cell r="D8">
            <v>43466</v>
          </cell>
        </row>
        <row r="18">
          <cell r="E18">
            <v>899</v>
          </cell>
        </row>
        <row r="19">
          <cell r="E19">
            <v>1041</v>
          </cell>
        </row>
        <row r="20">
          <cell r="E20">
            <v>1079</v>
          </cell>
        </row>
        <row r="21">
          <cell r="E21">
            <v>1055</v>
          </cell>
        </row>
        <row r="22">
          <cell r="E22">
            <v>997.90744602653194</v>
          </cell>
        </row>
        <row r="23">
          <cell r="E23">
            <v>932.20426984242272</v>
          </cell>
        </row>
        <row r="24">
          <cell r="E24">
            <v>923.68426984242274</v>
          </cell>
        </row>
        <row r="25">
          <cell r="E25">
            <v>1178.2741161241408</v>
          </cell>
        </row>
        <row r="26">
          <cell r="E26">
            <v>1598.8979291039245</v>
          </cell>
        </row>
        <row r="27">
          <cell r="E27">
            <v>1643.7056148475588</v>
          </cell>
        </row>
        <row r="28">
          <cell r="E28">
            <v>1378.192314256366</v>
          </cell>
        </row>
        <row r="29">
          <cell r="E29">
            <v>1034</v>
          </cell>
        </row>
        <row r="30">
          <cell r="E30">
            <v>893</v>
          </cell>
        </row>
        <row r="31">
          <cell r="E31">
            <v>1051</v>
          </cell>
        </row>
        <row r="32">
          <cell r="E32">
            <v>1091</v>
          </cell>
        </row>
        <row r="33">
          <cell r="E33">
            <v>1028</v>
          </cell>
        </row>
        <row r="34">
          <cell r="E34">
            <v>928</v>
          </cell>
        </row>
        <row r="35">
          <cell r="E35">
            <v>799</v>
          </cell>
        </row>
        <row r="36">
          <cell r="E36">
            <v>791</v>
          </cell>
        </row>
        <row r="37">
          <cell r="E37">
            <v>1059</v>
          </cell>
        </row>
        <row r="38">
          <cell r="E38">
            <v>1469</v>
          </cell>
        </row>
        <row r="39">
          <cell r="E39">
            <v>1544</v>
          </cell>
        </row>
        <row r="40">
          <cell r="E40">
            <v>1320</v>
          </cell>
        </row>
        <row r="41">
          <cell r="E41">
            <v>1014</v>
          </cell>
        </row>
      </sheetData>
      <sheetData sheetId="1"/>
      <sheetData sheetId="2">
        <row r="46">
          <cell r="E46">
            <v>43466</v>
          </cell>
        </row>
      </sheetData>
      <sheetData sheetId="3">
        <row r="8">
          <cell r="D8">
            <v>43466</v>
          </cell>
        </row>
      </sheetData>
      <sheetData sheetId="4">
        <row r="24">
          <cell r="W24">
            <v>699.68426984242274</v>
          </cell>
        </row>
      </sheetData>
      <sheetData sheetId="5"/>
      <sheetData sheetId="6">
        <row r="8">
          <cell r="D8">
            <v>43466</v>
          </cell>
        </row>
      </sheetData>
      <sheetData sheetId="7">
        <row r="46">
          <cell r="E46">
            <v>43466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les Forecast"/>
      <sheetName val="Adj Sales Forecast"/>
      <sheetName val="Demand Forecast"/>
      <sheetName val="Adj Demand Forecast "/>
      <sheetName val="Forecasted TOD kW by Period"/>
      <sheetName val="Forecasted Conv kW by Period"/>
      <sheetName val="TOD % of Reg kW"/>
      <sheetName val="Forecasted TOD kWh by Period"/>
      <sheetName val="TOD OnOff kWh Ratios"/>
      <sheetName val="TODS On Off %"/>
      <sheetName val="MSC Cover Page "/>
      <sheetName val="Capacity Estimates"/>
      <sheetName val="SC 1 Rate III MSC Cap"/>
      <sheetName val="May-Oct vs. May-Oct COVID"/>
      <sheetName val="May-Oct vs. May-Oct Scenarios#1"/>
      <sheetName val="May-Oct vs. May-Oct Scenario#2"/>
      <sheetName val="May-Oct vs. May-Oct Scenario#3"/>
      <sheetName val="May - Oct Capacity MSC by Class"/>
      <sheetName val="Capacity and Impacts"/>
      <sheetName val="Nov - Apr Capacity MSC by Class"/>
      <sheetName val="Lookup Tables for Level Billing"/>
      <sheetName val="MSC - Energy SC1"/>
      <sheetName val="Level Billing Summary"/>
      <sheetName val="MTM MSC Estimates 1,9 "/>
      <sheetName val="MAC Cover Page "/>
      <sheetName val="Valued History"/>
      <sheetName val="Forecast MAC Total"/>
      <sheetName val="NYISO Strip Auction Price"/>
      <sheetName val="May Price Out"/>
      <sheetName val="Jun Price Out"/>
      <sheetName val="Jul Price Out"/>
      <sheetName val="Aug Price Out"/>
      <sheetName val="Sep Price Out"/>
      <sheetName val="Oct Price Out"/>
      <sheetName val="Nov Price Out"/>
      <sheetName val="Dec Price Out"/>
      <sheetName val="Jan Price Out"/>
      <sheetName val="Feb Price Out"/>
      <sheetName val="Mar Price Out"/>
      <sheetName val="Apr Price O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135">
          <cell r="L135">
            <v>5584200</v>
          </cell>
          <cell r="O135">
            <v>537366954.79211998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>
        <row r="18">
          <cell r="H18" t="str">
            <v>FS &amp; NYC (illustrative)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17 DATA"/>
      <sheetName val="Regular_Run"/>
      <sheetName val="SC1-2"/>
      <sheetName val="SC1-3_SC1-4"/>
    </sheetNames>
    <sheetDataSet>
      <sheetData sheetId="0">
        <row r="7">
          <cell r="B7">
            <v>0.42819487926885397</v>
          </cell>
          <cell r="C7">
            <v>0.57180512073114587</v>
          </cell>
          <cell r="F7">
            <v>0.43091420638451883</v>
          </cell>
          <cell r="G7">
            <v>0.56908579361548117</v>
          </cell>
        </row>
        <row r="9">
          <cell r="D9">
            <v>0.12775156190721729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Summary"/>
      <sheetName val="Email to STAFF"/>
      <sheetName val="Prep"/>
      <sheetName val="Email from Don"/>
      <sheetName val="Email from Rich"/>
    </sheetNames>
    <sheetDataSet>
      <sheetData sheetId="0"/>
      <sheetData sheetId="1">
        <row r="4">
          <cell r="M4">
            <v>16905000</v>
          </cell>
        </row>
        <row r="7">
          <cell r="M7">
            <v>24500000</v>
          </cell>
        </row>
        <row r="26">
          <cell r="G26">
            <v>83540243.20788002</v>
          </cell>
          <cell r="M26">
            <v>57642767.813437209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neRibbonProperties"/>
      <sheetName val="BneWorkBookProperties"/>
      <sheetName val="BneLog"/>
      <sheetName val="01 - JE Documentation 51134"/>
      <sheetName val="02-JE Descriptions 51134"/>
      <sheetName val="03-JE Upload 51134"/>
      <sheetName val="04-100% Comp cur month 51134"/>
      <sheetName val="05-ACCTING SUMMARY"/>
      <sheetName val="06-Gen sendout"/>
      <sheetName val="07-Summary"/>
      <sheetName val="Sheet1"/>
      <sheetName val="08-FCCS Smart View"/>
      <sheetName val="May RE"/>
      <sheetName val="Batc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23">
          <cell r="B23">
            <v>58520009.839999996</v>
          </cell>
          <cell r="H23">
            <v>526553.41</v>
          </cell>
          <cell r="J23">
            <v>49123400.929999992</v>
          </cell>
        </row>
      </sheetData>
      <sheetData sheetId="10"/>
      <sheetData sheetId="11"/>
      <sheetData sheetId="12"/>
      <sheetData sheetId="13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neRibbonProperties"/>
      <sheetName val="BneWorkBookProperties"/>
      <sheetName val="BneLog"/>
      <sheetName val="01 - JE Documentation 51134"/>
      <sheetName val="02-JE Descriptions 51134"/>
      <sheetName val="03-JE Upload 51134"/>
      <sheetName val="04-100% Comp cur month 51134"/>
      <sheetName val="05-ACCTING SUMMARY"/>
      <sheetName val="06-Gen sendout"/>
      <sheetName val="07-Summary"/>
      <sheetName val="Sheet1"/>
      <sheetName val="08-FCCS Smart View"/>
      <sheetName val="May RE"/>
      <sheetName val="Batc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14">
          <cell r="A14">
            <v>44155</v>
          </cell>
          <cell r="C14">
            <v>1138097.8700000001</v>
          </cell>
        </row>
        <row r="15">
          <cell r="A15">
            <v>44185</v>
          </cell>
          <cell r="C15">
            <v>2873352.59</v>
          </cell>
        </row>
        <row r="16">
          <cell r="A16">
            <v>44217</v>
          </cell>
          <cell r="C16">
            <v>2963887.29</v>
          </cell>
        </row>
        <row r="17">
          <cell r="A17">
            <v>44248</v>
          </cell>
          <cell r="C17">
            <v>2947824.57</v>
          </cell>
        </row>
        <row r="23">
          <cell r="C23">
            <v>9923162.3200000003</v>
          </cell>
        </row>
      </sheetData>
      <sheetData sheetId="10"/>
      <sheetData sheetId="11"/>
      <sheetData sheetId="12"/>
      <sheetData sheetId="13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ERPT-2012"/>
      <sheetName val="TOTALRPT-2012"/>
      <sheetName val="LSERPT-2013"/>
      <sheetName val="TOTALRPT-2013"/>
      <sheetName val="LSERPT-2014"/>
      <sheetName val="TOTALRPT-2014"/>
      <sheetName val="LSERPT-2015"/>
      <sheetName val="TOTALRPT-2015"/>
      <sheetName val="TOTALRPT -2016"/>
      <sheetName val="TOTALRPT-2017"/>
      <sheetName val="TOTALRPT-2018"/>
      <sheetName val="TOTALRPT-2019"/>
      <sheetName val="TOTALRPT-2020"/>
      <sheetName val="TOTALRPT-2021"/>
      <sheetName val="Total Summary"/>
      <sheetName val="Final 2021 Capacity"/>
      <sheetName val="Historical look back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8">
          <cell r="D8">
            <v>5010569</v>
          </cell>
        </row>
        <row r="9">
          <cell r="D9">
            <v>594494</v>
          </cell>
        </row>
        <row r="10">
          <cell r="D10">
            <v>3849</v>
          </cell>
        </row>
        <row r="11">
          <cell r="D11">
            <v>11257</v>
          </cell>
        </row>
        <row r="12">
          <cell r="D12">
            <v>36</v>
          </cell>
        </row>
        <row r="13">
          <cell r="D13">
            <v>33051</v>
          </cell>
        </row>
        <row r="14">
          <cell r="D14">
            <v>384325</v>
          </cell>
        </row>
        <row r="15">
          <cell r="D15">
            <v>34615</v>
          </cell>
        </row>
        <row r="16">
          <cell r="D16">
            <v>3010291</v>
          </cell>
        </row>
        <row r="17">
          <cell r="D17">
            <v>1214716</v>
          </cell>
        </row>
        <row r="18">
          <cell r="D18">
            <v>170</v>
          </cell>
        </row>
        <row r="19">
          <cell r="D19">
            <v>23021</v>
          </cell>
        </row>
        <row r="20">
          <cell r="D20">
            <v>29085</v>
          </cell>
        </row>
        <row r="21">
          <cell r="D21">
            <v>161</v>
          </cell>
        </row>
        <row r="48">
          <cell r="C48">
            <v>1708533.1910073189</v>
          </cell>
        </row>
      </sheetData>
      <sheetData sheetId="16"/>
      <sheetData sheetId="17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Tariff"/>
      <sheetName val="Email"/>
    </sheetNames>
    <sheetDataSet>
      <sheetData sheetId="0">
        <row r="10">
          <cell r="E10">
            <v>43073843.123111241</v>
          </cell>
        </row>
        <row r="13">
          <cell r="E13">
            <v>12.450481060331809</v>
          </cell>
          <cell r="F13">
            <v>4.5372127915639684</v>
          </cell>
        </row>
      </sheetData>
      <sheetData sheetId="1"/>
      <sheetData sheetId="2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ERPT-2012"/>
      <sheetName val="TOTALRPT-2012"/>
      <sheetName val="LSERPT-2013"/>
      <sheetName val="TOTALRPT-2013"/>
      <sheetName val="LSERPT-2014"/>
      <sheetName val="TOTALRPT-2014"/>
      <sheetName val="LSERPT-2015"/>
      <sheetName val="TOTALRPT-2015"/>
      <sheetName val="TOTALRPT -2016"/>
      <sheetName val="TOTALRPT-2017"/>
      <sheetName val="TOTALRPT-2018"/>
      <sheetName val="TOTALRPT-2019"/>
      <sheetName val="TOTALRPT-2020"/>
      <sheetName val="Total Summary"/>
      <sheetName val="Final 2020 Capacity"/>
      <sheetName val="Historical look back"/>
      <sheetName val="SC 13 TOD Peak"/>
      <sheetName val="Final 2020 Capacity for CLT Nar"/>
      <sheetName val="Emai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8">
          <cell r="D8">
            <v>5549512</v>
          </cell>
        </row>
        <row r="77">
          <cell r="D77">
            <v>5549512</v>
          </cell>
          <cell r="F77">
            <v>3983790</v>
          </cell>
        </row>
        <row r="82">
          <cell r="D82">
            <v>34688</v>
          </cell>
          <cell r="F82">
            <v>25856</v>
          </cell>
        </row>
      </sheetData>
      <sheetData sheetId="15"/>
      <sheetData sheetId="16"/>
      <sheetData sheetId="17"/>
      <sheetData sheetId="18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AD SHEET"/>
      <sheetName val="Data"/>
    </sheetNames>
    <sheetDataSet>
      <sheetData sheetId="0" refreshError="1"/>
      <sheetData sheetId="1">
        <row r="40">
          <cell r="A40">
            <v>43466</v>
          </cell>
          <cell r="B40">
            <v>0.3872591868585859</v>
          </cell>
          <cell r="C40">
            <v>3.5058395949002086</v>
          </cell>
          <cell r="D40">
            <v>0.79274461278853348</v>
          </cell>
          <cell r="E40">
            <v>-0.19486594745111882</v>
          </cell>
        </row>
        <row r="41">
          <cell r="A41">
            <v>43497</v>
          </cell>
          <cell r="B41">
            <v>0.31023288743297939</v>
          </cell>
          <cell r="C41">
            <v>3.4765711191526947</v>
          </cell>
          <cell r="D41">
            <v>1.0773054503375383</v>
          </cell>
          <cell r="E41">
            <v>-1.3781369116242306</v>
          </cell>
        </row>
        <row r="42">
          <cell r="A42">
            <v>43525</v>
          </cell>
          <cell r="B42">
            <v>0.3068016696960611</v>
          </cell>
          <cell r="C42">
            <v>2.7419831251229367</v>
          </cell>
          <cell r="D42">
            <v>1.3356478765056712</v>
          </cell>
          <cell r="E42">
            <v>2.0392343965625974</v>
          </cell>
        </row>
        <row r="43">
          <cell r="A43">
            <v>43556</v>
          </cell>
          <cell r="B43">
            <v>0.3096021182157474</v>
          </cell>
          <cell r="C43">
            <v>3.0952031643632796</v>
          </cell>
          <cell r="D43">
            <v>1.5218262359770311</v>
          </cell>
          <cell r="E43">
            <v>1.5616990256871104</v>
          </cell>
        </row>
        <row r="44">
          <cell r="A44">
            <v>43586</v>
          </cell>
          <cell r="B44">
            <v>0.49670350146917325</v>
          </cell>
          <cell r="C44">
            <v>3.7406828028310009</v>
          </cell>
          <cell r="D44">
            <v>0.9471083250807274</v>
          </cell>
          <cell r="E44">
            <v>2.3590873432425252</v>
          </cell>
        </row>
        <row r="45">
          <cell r="A45">
            <v>43617</v>
          </cell>
          <cell r="B45">
            <v>0.41611387181519183</v>
          </cell>
          <cell r="C45">
            <v>3.7875144000534329</v>
          </cell>
          <cell r="D45">
            <v>1.4402699645032293</v>
          </cell>
          <cell r="E45">
            <v>1.5357040397027582</v>
          </cell>
        </row>
        <row r="46">
          <cell r="A46">
            <v>43647</v>
          </cell>
          <cell r="B46">
            <v>0.3141871150841074</v>
          </cell>
          <cell r="C46">
            <v>2.9343758601009107</v>
          </cell>
          <cell r="D46">
            <v>1.3061631398293172</v>
          </cell>
          <cell r="E46">
            <v>1.1504557290063466</v>
          </cell>
        </row>
        <row r="47">
          <cell r="A47">
            <v>43678</v>
          </cell>
          <cell r="B47">
            <v>0.34291349925577486</v>
          </cell>
          <cell r="C47">
            <v>3.6425971395217598</v>
          </cell>
          <cell r="D47">
            <v>1.3047178821096641</v>
          </cell>
          <cell r="E47">
            <v>0.17065752275573942</v>
          </cell>
        </row>
        <row r="48">
          <cell r="A48">
            <v>43709</v>
          </cell>
          <cell r="B48">
            <v>0.41317319390440882</v>
          </cell>
          <cell r="C48">
            <v>3.2788271375327906</v>
          </cell>
          <cell r="D48">
            <v>0.72767343207716417</v>
          </cell>
          <cell r="E48">
            <v>0.63265154890957775</v>
          </cell>
        </row>
        <row r="49">
          <cell r="A49">
            <v>43739</v>
          </cell>
          <cell r="B49">
            <v>0.47009407663314201</v>
          </cell>
          <cell r="C49">
            <v>3.5662169089956164</v>
          </cell>
          <cell r="D49">
            <v>0.76262635588876582</v>
          </cell>
          <cell r="E49">
            <v>1.0270013724261191</v>
          </cell>
        </row>
        <row r="50">
          <cell r="A50">
            <v>43770</v>
          </cell>
          <cell r="B50">
            <v>0.45334438167158669</v>
          </cell>
          <cell r="C50">
            <v>3.3770716814108903</v>
          </cell>
          <cell r="D50">
            <v>1.3122509902845054</v>
          </cell>
          <cell r="E50">
            <v>0.92675583211198431</v>
          </cell>
        </row>
        <row r="51">
          <cell r="A51">
            <v>43800</v>
          </cell>
          <cell r="B51">
            <v>0.39740080621146112</v>
          </cell>
          <cell r="C51">
            <v>3.1401115091028542</v>
          </cell>
          <cell r="D51">
            <v>1.1733961887466713</v>
          </cell>
          <cell r="E51">
            <v>-5.7565454789319848E-2</v>
          </cell>
        </row>
        <row r="52">
          <cell r="A52">
            <v>43831</v>
          </cell>
          <cell r="B52">
            <v>0.47589249633218328</v>
          </cell>
          <cell r="C52">
            <v>3.2948639205063786</v>
          </cell>
          <cell r="D52">
            <v>1.33676753738396</v>
          </cell>
          <cell r="E52">
            <v>-0.3192089249388016</v>
          </cell>
        </row>
        <row r="53">
          <cell r="A53">
            <v>43862</v>
          </cell>
          <cell r="B53">
            <v>0.41668668914615059</v>
          </cell>
          <cell r="C53">
            <v>3.3757463194264439</v>
          </cell>
          <cell r="D53">
            <v>1.0814024640334896</v>
          </cell>
          <cell r="E53">
            <v>-0.73977464277951555</v>
          </cell>
        </row>
        <row r="54">
          <cell r="A54">
            <v>43891</v>
          </cell>
          <cell r="B54">
            <v>0.34366725387369024</v>
          </cell>
          <cell r="C54">
            <v>3.0227874895210638</v>
          </cell>
          <cell r="D54">
            <v>1.1783087575955777</v>
          </cell>
          <cell r="E54">
            <v>-9.8553412329719925E-3</v>
          </cell>
        </row>
        <row r="55">
          <cell r="A55">
            <v>43922</v>
          </cell>
          <cell r="B55">
            <v>0.30940282593470242</v>
          </cell>
          <cell r="C55">
            <v>2.8413907428479459</v>
          </cell>
          <cell r="D55">
            <v>1.3273052566168042</v>
          </cell>
          <cell r="E55">
            <v>0.10896224012398922</v>
          </cell>
        </row>
        <row r="56">
          <cell r="A56">
            <v>43952</v>
          </cell>
          <cell r="B56">
            <v>0.36924740953023877</v>
          </cell>
          <cell r="C56">
            <v>3.0705881876634962</v>
          </cell>
          <cell r="D56">
            <v>1.1857282030131382</v>
          </cell>
          <cell r="E56">
            <v>2.2740893951954555</v>
          </cell>
        </row>
        <row r="57">
          <cell r="A57">
            <v>43983</v>
          </cell>
          <cell r="B57">
            <v>0.36997168147074044</v>
          </cell>
          <cell r="C57">
            <v>3.3630376706331409</v>
          </cell>
          <cell r="D57">
            <v>1.2790830496342349</v>
          </cell>
          <cell r="E57">
            <v>2.3427322426819854</v>
          </cell>
        </row>
        <row r="58">
          <cell r="A58">
            <v>44013</v>
          </cell>
          <cell r="B58">
            <v>0.33795032519422197</v>
          </cell>
          <cell r="C58">
            <v>2.8584704673339374</v>
          </cell>
          <cell r="D58">
            <v>1.2579990283399334</v>
          </cell>
          <cell r="E58">
            <v>1.9884001111763612</v>
          </cell>
        </row>
        <row r="59">
          <cell r="A59">
            <v>44044</v>
          </cell>
          <cell r="B59">
            <v>0.32626254857982895</v>
          </cell>
          <cell r="C59">
            <v>2.7973351141352922</v>
          </cell>
          <cell r="D59">
            <v>1.1599593485904132</v>
          </cell>
          <cell r="E59">
            <v>1.0365720360004713</v>
          </cell>
        </row>
        <row r="60">
          <cell r="A60">
            <v>44075</v>
          </cell>
          <cell r="B60">
            <v>0.35368145880157642</v>
          </cell>
          <cell r="C60">
            <v>2.886405699584226</v>
          </cell>
          <cell r="D60">
            <v>0.85478763005152725</v>
          </cell>
          <cell r="E60">
            <v>0.44135235483233159</v>
          </cell>
        </row>
        <row r="61">
          <cell r="A61">
            <v>44105</v>
          </cell>
          <cell r="B61">
            <v>0.4009750267353433</v>
          </cell>
          <cell r="C61">
            <v>2.7544632932034512</v>
          </cell>
          <cell r="D61">
            <v>0.6865750710766817</v>
          </cell>
          <cell r="E61">
            <v>0.60042939814159313</v>
          </cell>
        </row>
        <row r="62">
          <cell r="A62">
            <v>44136</v>
          </cell>
          <cell r="B62">
            <v>0.39724040869684807</v>
          </cell>
          <cell r="C62">
            <v>3.0147054037132688</v>
          </cell>
          <cell r="D62">
            <v>1.0902649158514206</v>
          </cell>
          <cell r="E62">
            <v>0.8114084443877857</v>
          </cell>
        </row>
        <row r="63">
          <cell r="A63">
            <v>44166</v>
          </cell>
          <cell r="B63">
            <v>0.38008959150517407</v>
          </cell>
          <cell r="C63">
            <v>2.8946131591088777</v>
          </cell>
          <cell r="D63">
            <v>1.1788141199887971</v>
          </cell>
          <cell r="E63">
            <v>0.63248118219295035</v>
          </cell>
        </row>
        <row r="64">
          <cell r="A64">
            <v>44197</v>
          </cell>
          <cell r="B64">
            <v>0.4058327165502793</v>
          </cell>
          <cell r="C64">
            <v>2.9316945376083936</v>
          </cell>
          <cell r="D64">
            <v>1.1217850975375221</v>
          </cell>
          <cell r="E64">
            <v>0.18772187299899507</v>
          </cell>
        </row>
        <row r="65">
          <cell r="A65">
            <v>44228</v>
          </cell>
          <cell r="B65">
            <v>0.38464625241992212</v>
          </cell>
          <cell r="C65">
            <v>2.997196734304199</v>
          </cell>
          <cell r="D65">
            <v>1.1005695273615181</v>
          </cell>
          <cell r="E65">
            <v>-0.43561695210143903</v>
          </cell>
        </row>
        <row r="66">
          <cell r="A66">
            <v>44256</v>
          </cell>
          <cell r="B66">
            <v>0.35494035710239891</v>
          </cell>
          <cell r="C66">
            <v>2.7771737899206617</v>
          </cell>
          <cell r="D66">
            <v>1.1787739222060714</v>
          </cell>
          <cell r="E66">
            <v>0.28953628778168683</v>
          </cell>
        </row>
        <row r="67">
          <cell r="A67">
            <v>44287</v>
          </cell>
          <cell r="B67">
            <v>0.33222141458881194</v>
          </cell>
          <cell r="C67">
            <v>2.7179841357255246</v>
          </cell>
          <cell r="D67">
            <v>1.3016698342514945</v>
          </cell>
          <cell r="E67">
            <v>0.5624334603436183</v>
          </cell>
        </row>
        <row r="68">
          <cell r="A68">
            <v>44317</v>
          </cell>
          <cell r="B68">
            <v>0.38259843504425894</v>
          </cell>
          <cell r="C68">
            <v>2.8453220877365335</v>
          </cell>
          <cell r="D68">
            <v>1.1840440491492137</v>
          </cell>
          <cell r="E68">
            <v>1.4395109147813043</v>
          </cell>
        </row>
        <row r="69">
          <cell r="A69">
            <v>44348</v>
          </cell>
          <cell r="B69">
            <v>0.38782060584361255</v>
          </cell>
          <cell r="C69">
            <v>3.0137776732184269</v>
          </cell>
          <cell r="D69">
            <v>1.271860278108973</v>
          </cell>
          <cell r="E69">
            <v>1.6893645279868381</v>
          </cell>
        </row>
        <row r="70">
          <cell r="A70">
            <v>44378</v>
          </cell>
          <cell r="B70">
            <v>0.35694466299138861</v>
          </cell>
          <cell r="C70">
            <v>2.7920660583983432</v>
          </cell>
          <cell r="D70">
            <v>1.2769706810967991</v>
          </cell>
          <cell r="E70">
            <v>1.629396224039096</v>
          </cell>
        </row>
        <row r="71">
          <cell r="A71">
            <v>44409</v>
          </cell>
          <cell r="B71">
            <v>0.34576634345459523</v>
          </cell>
          <cell r="C71">
            <v>2.8387220806545335</v>
          </cell>
          <cell r="D71">
            <v>1.2546546482234189</v>
          </cell>
          <cell r="E71">
            <v>1.1165055017086007</v>
          </cell>
        </row>
        <row r="72">
          <cell r="A72">
            <v>44440</v>
          </cell>
          <cell r="B72">
            <v>0.36459683490379391</v>
          </cell>
          <cell r="C72">
            <v>2.7689555864300246</v>
          </cell>
          <cell r="D72">
            <v>1.0229425896438822</v>
          </cell>
          <cell r="E72">
            <v>0.82675372678977777</v>
          </cell>
        </row>
        <row r="73">
          <cell r="A73">
            <v>44470</v>
          </cell>
          <cell r="B73">
            <v>0.40006569329401831</v>
          </cell>
          <cell r="C73">
            <v>2.7468805679226578</v>
          </cell>
          <cell r="D73">
            <v>0.87377165156330294</v>
          </cell>
          <cell r="E73">
            <v>0.82023455603681694</v>
          </cell>
        </row>
        <row r="74">
          <cell r="A74">
            <v>44501</v>
          </cell>
          <cell r="B74">
            <v>0.41267904423911783</v>
          </cell>
          <cell r="C74">
            <v>2.7587383576502598</v>
          </cell>
          <cell r="D74">
            <v>1.0375148023156329</v>
          </cell>
          <cell r="E74">
            <v>0.84465834714335097</v>
          </cell>
        </row>
        <row r="75">
          <cell r="A75">
            <v>44531</v>
          </cell>
          <cell r="B75">
            <v>0.40071212154871771</v>
          </cell>
          <cell r="C75">
            <v>2.6936777464489041</v>
          </cell>
          <cell r="D75">
            <v>1.1068099783416836</v>
          </cell>
          <cell r="E75">
            <v>0.56605810542258306</v>
          </cell>
        </row>
        <row r="76">
          <cell r="A76">
            <v>44562</v>
          </cell>
          <cell r="B76">
            <v>0.42078736399497452</v>
          </cell>
          <cell r="C76">
            <v>2.6830471845325294</v>
          </cell>
          <cell r="D76">
            <v>1.1680431479012123</v>
          </cell>
          <cell r="E76">
            <v>0.25015728972633988</v>
          </cell>
        </row>
        <row r="77">
          <cell r="A77">
            <v>44593</v>
          </cell>
          <cell r="B77">
            <v>0.41072691738900546</v>
          </cell>
          <cell r="C77">
            <v>2.7344261203074076</v>
          </cell>
          <cell r="D77">
            <v>1.129514571799358</v>
          </cell>
          <cell r="E77">
            <v>-0.1687692538570687</v>
          </cell>
        </row>
        <row r="78">
          <cell r="A78">
            <v>44621</v>
          </cell>
          <cell r="B78">
            <v>0.38001536143852499</v>
          </cell>
          <cell r="C78">
            <v>2.6425514772701129</v>
          </cell>
          <cell r="D78">
            <v>1.1540279558500912</v>
          </cell>
          <cell r="E78">
            <v>-1.4464390291355642E-2</v>
          </cell>
        </row>
        <row r="79">
          <cell r="A79">
            <v>44652</v>
          </cell>
          <cell r="B79">
            <v>0.3504137408501411</v>
          </cell>
          <cell r="C79">
            <v>2.5507133981475452</v>
          </cell>
          <cell r="D79">
            <v>1.2342577506421204</v>
          </cell>
          <cell r="E79">
            <v>0.16061672997122406</v>
          </cell>
        </row>
        <row r="80">
          <cell r="A80">
            <v>44682</v>
          </cell>
          <cell r="B80">
            <v>0.36316833156869499</v>
          </cell>
          <cell r="C80">
            <v>2.5663728067801554</v>
          </cell>
          <cell r="D80">
            <v>1.2095719383616481</v>
          </cell>
          <cell r="E80">
            <v>1.0087084424798021</v>
          </cell>
        </row>
        <row r="81">
          <cell r="A81">
            <v>44713</v>
          </cell>
          <cell r="B81">
            <v>0.37103223761293574</v>
          </cell>
          <cell r="C81">
            <v>2.6879421675243815</v>
          </cell>
          <cell r="D81">
            <v>1.2425218011166259</v>
          </cell>
          <cell r="E81">
            <v>1.512378413907107</v>
          </cell>
        </row>
        <row r="82">
          <cell r="A82">
            <v>44743</v>
          </cell>
          <cell r="B82">
            <v>0.35923986585287049</v>
          </cell>
          <cell r="C82">
            <v>2.5828814681488583</v>
          </cell>
          <cell r="D82">
            <v>1.2550033279174961</v>
          </cell>
          <cell r="E82">
            <v>1.6606382907574178</v>
          </cell>
        </row>
        <row r="83">
          <cell r="A83">
            <v>44774</v>
          </cell>
          <cell r="B83">
            <v>0.34762715593504129</v>
          </cell>
          <cell r="C83">
            <v>2.5324478097632799</v>
          </cell>
          <cell r="D83">
            <v>1.2311551631622062</v>
          </cell>
          <cell r="E83">
            <v>1.3685885298059768</v>
          </cell>
        </row>
        <row r="84">
          <cell r="A84">
            <v>44805</v>
          </cell>
          <cell r="B84">
            <v>0.35338315139386323</v>
          </cell>
          <cell r="C84">
            <v>2.5004946529588601</v>
          </cell>
          <cell r="D84">
            <v>1.0850101365049554</v>
          </cell>
          <cell r="E84">
            <v>1.0013207853085158</v>
          </cell>
        </row>
        <row r="85">
          <cell r="A85">
            <v>44835</v>
          </cell>
          <cell r="B85">
            <v>0.37695175570427203</v>
          </cell>
          <cell r="C85">
            <v>2.4253231117536167</v>
          </cell>
          <cell r="D85">
            <v>0.93259174891247387</v>
          </cell>
          <cell r="E85">
            <v>0.85582638119886045</v>
          </cell>
        </row>
        <row r="86">
          <cell r="A86">
            <v>44866</v>
          </cell>
          <cell r="B86">
            <v>0.39095574108612752</v>
          </cell>
          <cell r="C86">
            <v>2.4535426329836989</v>
          </cell>
          <cell r="D86">
            <v>0.99824080399800019</v>
          </cell>
          <cell r="E86">
            <v>0.84192988848221439</v>
          </cell>
        </row>
        <row r="87">
          <cell r="A87">
            <v>44896</v>
          </cell>
          <cell r="B87">
            <v>0.39067829880653671</v>
          </cell>
          <cell r="C87">
            <v>2.4286436146178221</v>
          </cell>
          <cell r="D87">
            <v>1.0705264265816203</v>
          </cell>
          <cell r="E87">
            <v>0.72059976614499055</v>
          </cell>
        </row>
      </sheetData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YC Forecast ENERGY 04 06 20"/>
      <sheetName val="NYC Forecast ENERGY 03 09  20 "/>
      <sheetName val="NYC Forecast 01 04 18"/>
      <sheetName val="Forward Energy"/>
      <sheetName val="Chart Data"/>
      <sheetName val="MTM Chart"/>
      <sheetName val="NYC Forecast ENERGY 10 07 19"/>
    </sheetNames>
    <sheetDataSet>
      <sheetData sheetId="0">
        <row r="7">
          <cell r="Z7"/>
        </row>
        <row r="8">
          <cell r="A8">
            <v>43922</v>
          </cell>
          <cell r="B8">
            <v>17.02</v>
          </cell>
          <cell r="C8">
            <v>14</v>
          </cell>
          <cell r="D8">
            <v>15.661000000000001</v>
          </cell>
          <cell r="F8">
            <v>16</v>
          </cell>
          <cell r="G8">
            <v>13.5</v>
          </cell>
          <cell r="H8">
            <v>14.875</v>
          </cell>
        </row>
        <row r="9">
          <cell r="A9">
            <v>43952</v>
          </cell>
          <cell r="B9">
            <v>18.600000000000001</v>
          </cell>
          <cell r="C9">
            <v>14.45</v>
          </cell>
          <cell r="D9">
            <v>16.732500000000002</v>
          </cell>
          <cell r="F9">
            <v>17.25</v>
          </cell>
          <cell r="G9">
            <v>13.75</v>
          </cell>
          <cell r="H9">
            <v>15.675000000000001</v>
          </cell>
        </row>
        <row r="10">
          <cell r="A10">
            <v>43983</v>
          </cell>
          <cell r="B10">
            <v>21.52</v>
          </cell>
          <cell r="C10">
            <v>16.05</v>
          </cell>
          <cell r="D10">
            <v>19.058500000000002</v>
          </cell>
          <cell r="F10">
            <v>19.5</v>
          </cell>
          <cell r="G10">
            <v>15.25</v>
          </cell>
          <cell r="H10">
            <v>17.587500000000002</v>
          </cell>
        </row>
        <row r="11">
          <cell r="A11">
            <v>44013</v>
          </cell>
          <cell r="B11">
            <v>31.02</v>
          </cell>
          <cell r="C11">
            <v>20.8</v>
          </cell>
          <cell r="D11">
            <v>26.420999999999999</v>
          </cell>
          <cell r="F11">
            <v>27</v>
          </cell>
          <cell r="G11">
            <v>19.25</v>
          </cell>
          <cell r="H11">
            <v>23.512500000000003</v>
          </cell>
        </row>
        <row r="12">
          <cell r="A12">
            <v>44044</v>
          </cell>
          <cell r="B12">
            <v>28.95</v>
          </cell>
          <cell r="C12">
            <v>20.010000000000002</v>
          </cell>
          <cell r="D12">
            <v>24.927</v>
          </cell>
          <cell r="F12">
            <v>25.25</v>
          </cell>
          <cell r="G12">
            <v>18.75</v>
          </cell>
          <cell r="H12">
            <v>22.325000000000003</v>
          </cell>
        </row>
        <row r="13">
          <cell r="A13">
            <v>44075</v>
          </cell>
          <cell r="B13">
            <v>24.7</v>
          </cell>
          <cell r="C13">
            <v>16.8</v>
          </cell>
          <cell r="D13">
            <v>21.145000000000003</v>
          </cell>
          <cell r="F13">
            <v>22.5</v>
          </cell>
          <cell r="G13">
            <v>16</v>
          </cell>
          <cell r="H13">
            <v>19.575000000000003</v>
          </cell>
        </row>
        <row r="14">
          <cell r="A14">
            <v>44105</v>
          </cell>
          <cell r="B14">
            <v>24.5</v>
          </cell>
          <cell r="C14">
            <v>17.75</v>
          </cell>
          <cell r="D14">
            <v>21.462500000000002</v>
          </cell>
          <cell r="F14">
            <v>22</v>
          </cell>
          <cell r="G14">
            <v>16.5</v>
          </cell>
          <cell r="H14">
            <v>19.525000000000002</v>
          </cell>
        </row>
        <row r="15">
          <cell r="A15">
            <v>44136</v>
          </cell>
          <cell r="B15">
            <v>28.75</v>
          </cell>
          <cell r="C15">
            <v>21.6</v>
          </cell>
          <cell r="D15">
            <v>25.532500000000002</v>
          </cell>
          <cell r="F15">
            <v>26.25</v>
          </cell>
          <cell r="G15">
            <v>20.75</v>
          </cell>
          <cell r="H15">
            <v>23.775000000000002</v>
          </cell>
        </row>
        <row r="16">
          <cell r="A16">
            <v>44166</v>
          </cell>
          <cell r="B16">
            <v>39</v>
          </cell>
          <cell r="C16">
            <v>29.4</v>
          </cell>
          <cell r="D16">
            <v>34.680000000000007</v>
          </cell>
          <cell r="F16">
            <v>36.5</v>
          </cell>
          <cell r="G16">
            <v>28.5</v>
          </cell>
          <cell r="H16">
            <v>32.900000000000006</v>
          </cell>
        </row>
        <row r="17">
          <cell r="A17">
            <v>44197</v>
          </cell>
          <cell r="B17">
            <v>56.08</v>
          </cell>
          <cell r="C17">
            <v>43.65</v>
          </cell>
          <cell r="D17">
            <v>50.486499999999999</v>
          </cell>
          <cell r="F17">
            <v>51</v>
          </cell>
          <cell r="G17">
            <v>41.75</v>
          </cell>
          <cell r="H17">
            <v>46.837500000000006</v>
          </cell>
        </row>
        <row r="18">
          <cell r="A18">
            <v>44228</v>
          </cell>
          <cell r="B18">
            <v>53.75</v>
          </cell>
          <cell r="C18">
            <v>41.3</v>
          </cell>
          <cell r="D18">
            <v>48.147500000000008</v>
          </cell>
          <cell r="F18">
            <v>49</v>
          </cell>
          <cell r="G18">
            <v>39.75</v>
          </cell>
          <cell r="H18">
            <v>44.837500000000006</v>
          </cell>
        </row>
        <row r="19">
          <cell r="A19">
            <v>44256</v>
          </cell>
          <cell r="B19">
            <v>37.520000000000003</v>
          </cell>
          <cell r="C19">
            <v>29.02</v>
          </cell>
          <cell r="D19">
            <v>33.695</v>
          </cell>
          <cell r="F19">
            <v>34.5</v>
          </cell>
          <cell r="G19">
            <v>28</v>
          </cell>
          <cell r="H19">
            <v>31.575000000000003</v>
          </cell>
        </row>
        <row r="20">
          <cell r="A20">
            <v>44287</v>
          </cell>
          <cell r="B20">
            <v>29.2</v>
          </cell>
          <cell r="C20">
            <v>20.7</v>
          </cell>
          <cell r="D20">
            <v>25.375</v>
          </cell>
          <cell r="F20">
            <v>26.5</v>
          </cell>
          <cell r="G20">
            <v>20</v>
          </cell>
          <cell r="H20">
            <v>23.575000000000003</v>
          </cell>
        </row>
        <row r="21">
          <cell r="A21">
            <v>44317</v>
          </cell>
          <cell r="B21">
            <v>26.95</v>
          </cell>
          <cell r="C21">
            <v>20.2</v>
          </cell>
          <cell r="D21">
            <v>23.912500000000001</v>
          </cell>
          <cell r="F21">
            <v>24.25</v>
          </cell>
          <cell r="G21">
            <v>19.5</v>
          </cell>
          <cell r="H21">
            <v>22.112500000000001</v>
          </cell>
        </row>
        <row r="22">
          <cell r="A22">
            <v>44348</v>
          </cell>
          <cell r="B22">
            <v>27.25</v>
          </cell>
          <cell r="C22">
            <v>19.75</v>
          </cell>
          <cell r="D22">
            <v>23.875</v>
          </cell>
          <cell r="F22">
            <v>24.5</v>
          </cell>
          <cell r="G22">
            <v>19</v>
          </cell>
          <cell r="H22">
            <v>22.025000000000002</v>
          </cell>
        </row>
        <row r="23">
          <cell r="A23">
            <v>44378</v>
          </cell>
          <cell r="B23">
            <v>37.01</v>
          </cell>
          <cell r="C23">
            <v>23.95</v>
          </cell>
          <cell r="D23">
            <v>31.132999999999999</v>
          </cell>
          <cell r="F23">
            <v>31.75</v>
          </cell>
          <cell r="G23">
            <v>22.5</v>
          </cell>
          <cell r="H23">
            <v>27.587500000000002</v>
          </cell>
        </row>
        <row r="24">
          <cell r="A24">
            <v>44409</v>
          </cell>
          <cell r="B24">
            <v>34.299999999999997</v>
          </cell>
          <cell r="C24">
            <v>23.08</v>
          </cell>
          <cell r="D24">
            <v>29.250999999999998</v>
          </cell>
          <cell r="F24">
            <v>29.75</v>
          </cell>
          <cell r="G24">
            <v>22</v>
          </cell>
          <cell r="H24">
            <v>26.262500000000003</v>
          </cell>
        </row>
        <row r="25">
          <cell r="A25">
            <v>44440</v>
          </cell>
          <cell r="B25">
            <v>27.7</v>
          </cell>
          <cell r="C25">
            <v>19.95</v>
          </cell>
          <cell r="D25">
            <v>24.212499999999999</v>
          </cell>
          <cell r="F25">
            <v>25</v>
          </cell>
          <cell r="G25">
            <v>19.25</v>
          </cell>
          <cell r="H25">
            <v>22.412500000000001</v>
          </cell>
        </row>
        <row r="26">
          <cell r="A26">
            <v>44470</v>
          </cell>
          <cell r="B26">
            <v>26.95</v>
          </cell>
          <cell r="C26">
            <v>21.2</v>
          </cell>
          <cell r="D26">
            <v>24.362500000000001</v>
          </cell>
          <cell r="F26">
            <v>24.25</v>
          </cell>
          <cell r="G26">
            <v>20.5</v>
          </cell>
          <cell r="H26">
            <v>22.5625</v>
          </cell>
        </row>
        <row r="27">
          <cell r="A27">
            <v>44501</v>
          </cell>
          <cell r="B27">
            <v>30.7</v>
          </cell>
          <cell r="C27">
            <v>23.2</v>
          </cell>
          <cell r="D27">
            <v>27.325000000000003</v>
          </cell>
          <cell r="F27">
            <v>28</v>
          </cell>
          <cell r="G27">
            <v>22.5</v>
          </cell>
          <cell r="H27">
            <v>25.525000000000002</v>
          </cell>
        </row>
        <row r="28">
          <cell r="A28">
            <v>44531</v>
          </cell>
          <cell r="B28">
            <v>38.5</v>
          </cell>
          <cell r="C28">
            <v>29.25</v>
          </cell>
          <cell r="D28">
            <v>34.337499999999999</v>
          </cell>
          <cell r="E28"/>
          <cell r="F28">
            <v>35.75</v>
          </cell>
          <cell r="G28">
            <v>28.5</v>
          </cell>
          <cell r="H28">
            <v>32.487500000000004</v>
          </cell>
        </row>
        <row r="29">
          <cell r="A29">
            <v>44562</v>
          </cell>
          <cell r="B29">
            <v>57.5</v>
          </cell>
          <cell r="C29">
            <v>45.02</v>
          </cell>
          <cell r="D29">
            <v>51.884</v>
          </cell>
          <cell r="F29">
            <v>50.75</v>
          </cell>
          <cell r="G29">
            <v>42</v>
          </cell>
          <cell r="H29">
            <v>46.8125</v>
          </cell>
        </row>
        <row r="30">
          <cell r="A30">
            <v>44593</v>
          </cell>
          <cell r="B30">
            <v>55</v>
          </cell>
          <cell r="C30">
            <v>42.7</v>
          </cell>
          <cell r="D30">
            <v>49.465000000000003</v>
          </cell>
          <cell r="F30">
            <v>48.75</v>
          </cell>
          <cell r="G30">
            <v>40</v>
          </cell>
          <cell r="H30">
            <v>44.8125</v>
          </cell>
        </row>
        <row r="31">
          <cell r="A31">
            <v>44621</v>
          </cell>
          <cell r="B31">
            <v>38.520000000000003</v>
          </cell>
          <cell r="C31">
            <v>29.5</v>
          </cell>
          <cell r="D31">
            <v>34.461000000000006</v>
          </cell>
          <cell r="F31">
            <v>34.5</v>
          </cell>
          <cell r="G31">
            <v>28</v>
          </cell>
          <cell r="H31">
            <v>31.575000000000003</v>
          </cell>
        </row>
        <row r="32">
          <cell r="A32">
            <v>44652</v>
          </cell>
          <cell r="B32">
            <v>30</v>
          </cell>
          <cell r="C32">
            <v>21.44</v>
          </cell>
          <cell r="D32">
            <v>26.148000000000003</v>
          </cell>
          <cell r="F32">
            <v>26.5</v>
          </cell>
          <cell r="G32">
            <v>20.25</v>
          </cell>
          <cell r="H32">
            <v>23.6875</v>
          </cell>
        </row>
        <row r="33">
          <cell r="A33">
            <v>44682</v>
          </cell>
          <cell r="B33">
            <v>27.75</v>
          </cell>
          <cell r="C33">
            <v>20.69</v>
          </cell>
          <cell r="D33">
            <v>24.573</v>
          </cell>
          <cell r="F33">
            <v>24.25</v>
          </cell>
          <cell r="G33">
            <v>19.5</v>
          </cell>
          <cell r="H33">
            <v>22.112500000000001</v>
          </cell>
        </row>
        <row r="34">
          <cell r="A34">
            <v>44713</v>
          </cell>
          <cell r="B34">
            <v>28.1</v>
          </cell>
          <cell r="C34">
            <v>20.25</v>
          </cell>
          <cell r="D34">
            <v>24.567500000000003</v>
          </cell>
          <cell r="F34">
            <v>24.5</v>
          </cell>
          <cell r="G34">
            <v>19</v>
          </cell>
          <cell r="H34">
            <v>22.025000000000002</v>
          </cell>
        </row>
        <row r="35">
          <cell r="A35">
            <v>44743</v>
          </cell>
          <cell r="B35">
            <v>38.770000000000003</v>
          </cell>
          <cell r="C35">
            <v>25.27</v>
          </cell>
          <cell r="D35">
            <v>32.695</v>
          </cell>
          <cell r="F35">
            <v>31.75</v>
          </cell>
          <cell r="G35">
            <v>22.25</v>
          </cell>
          <cell r="H35">
            <v>27.475000000000001</v>
          </cell>
        </row>
        <row r="36">
          <cell r="A36">
            <v>44774</v>
          </cell>
          <cell r="B36">
            <v>35.770000000000003</v>
          </cell>
          <cell r="C36">
            <v>24</v>
          </cell>
          <cell r="D36">
            <v>30.473500000000005</v>
          </cell>
          <cell r="F36">
            <v>29.75</v>
          </cell>
          <cell r="G36">
            <v>21.75</v>
          </cell>
          <cell r="H36">
            <v>26.15</v>
          </cell>
        </row>
        <row r="37">
          <cell r="A37">
            <v>44805</v>
          </cell>
          <cell r="B37">
            <v>28.5</v>
          </cell>
          <cell r="C37">
            <v>20.440000000000001</v>
          </cell>
          <cell r="D37">
            <v>24.873000000000001</v>
          </cell>
          <cell r="F37">
            <v>25</v>
          </cell>
          <cell r="G37">
            <v>19.25</v>
          </cell>
          <cell r="H37">
            <v>22.412500000000001</v>
          </cell>
        </row>
        <row r="38">
          <cell r="A38">
            <v>44835</v>
          </cell>
          <cell r="B38">
            <v>27.75</v>
          </cell>
          <cell r="C38">
            <v>21.69</v>
          </cell>
          <cell r="D38">
            <v>25.023000000000003</v>
          </cell>
          <cell r="F38">
            <v>24.25</v>
          </cell>
          <cell r="G38">
            <v>20.5</v>
          </cell>
          <cell r="H38">
            <v>22.5625</v>
          </cell>
        </row>
        <row r="39">
          <cell r="A39">
            <v>44866</v>
          </cell>
          <cell r="B39">
            <v>31.5</v>
          </cell>
          <cell r="C39">
            <v>23.94</v>
          </cell>
          <cell r="D39">
            <v>28.098000000000006</v>
          </cell>
          <cell r="F39">
            <v>28</v>
          </cell>
          <cell r="G39">
            <v>22.75</v>
          </cell>
          <cell r="H39">
            <v>25.637500000000003</v>
          </cell>
        </row>
        <row r="40">
          <cell r="A40">
            <v>44896</v>
          </cell>
          <cell r="B40">
            <v>39.35</v>
          </cell>
          <cell r="C40">
            <v>29.75</v>
          </cell>
          <cell r="D40">
            <v>35.03</v>
          </cell>
          <cell r="E40"/>
          <cell r="F40">
            <v>35.75</v>
          </cell>
          <cell r="G40">
            <v>28.5</v>
          </cell>
          <cell r="H40">
            <v>32.487500000000004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Sales incl BIR - Details"/>
      <sheetName val="FS Sales incl BIR - Details"/>
      <sheetName val="RA Sales incl BIR - Details"/>
    </sheetNames>
    <sheetDataSet>
      <sheetData sheetId="0">
        <row r="22">
          <cell r="A22">
            <v>41641</v>
          </cell>
        </row>
        <row r="26">
          <cell r="B26">
            <v>919</v>
          </cell>
        </row>
        <row r="27">
          <cell r="B27">
            <v>1183</v>
          </cell>
        </row>
        <row r="28">
          <cell r="B28">
            <v>1599</v>
          </cell>
        </row>
        <row r="29">
          <cell r="B29">
            <v>1695</v>
          </cell>
        </row>
        <row r="30">
          <cell r="B30">
            <v>1518</v>
          </cell>
        </row>
        <row r="31">
          <cell r="B31">
            <v>1103</v>
          </cell>
        </row>
      </sheetData>
      <sheetData sheetId="1"/>
      <sheetData sheetId="2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 Sales including BIR"/>
      <sheetName val="SC 6 Sales in KWh"/>
    </sheetNames>
    <sheetDataSet>
      <sheetData sheetId="0">
        <row r="24">
          <cell r="E24">
            <v>934</v>
          </cell>
        </row>
        <row r="25">
          <cell r="E25">
            <v>1172</v>
          </cell>
        </row>
        <row r="26">
          <cell r="E26">
            <v>1581</v>
          </cell>
        </row>
        <row r="27">
          <cell r="E27">
            <v>1710</v>
          </cell>
        </row>
        <row r="28">
          <cell r="E28">
            <v>1480</v>
          </cell>
        </row>
        <row r="29">
          <cell r="E29">
            <v>1110</v>
          </cell>
        </row>
      </sheetData>
      <sheetData sheetId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 Sales including BIR"/>
      <sheetName val="FS Sales including BIR &amp; RTP"/>
      <sheetName val="TOD Sales (incl BIR) Allocation"/>
      <sheetName val="SC 6 Sales in KWh"/>
      <sheetName val="Final Sales excluding BIR"/>
      <sheetName val="TOD Sales (excl BIR) Allocation"/>
      <sheetName val="Final Demand including BIR"/>
      <sheetName val="TOD Demand Allocation"/>
      <sheetName val="Net Energy+Demand Rev at Jan15"/>
      <sheetName val="TOD Energy+Dmd Rev Allocation"/>
    </sheetNames>
    <sheetDataSet>
      <sheetData sheetId="0">
        <row r="18">
          <cell r="E18">
            <v>999</v>
          </cell>
        </row>
        <row r="19">
          <cell r="E19">
            <v>1103</v>
          </cell>
        </row>
        <row r="20">
          <cell r="E20">
            <v>1176</v>
          </cell>
        </row>
        <row r="21">
          <cell r="E21">
            <v>1113</v>
          </cell>
        </row>
        <row r="22">
          <cell r="E22">
            <v>1021</v>
          </cell>
        </row>
        <row r="23">
          <cell r="E23">
            <v>920</v>
          </cell>
        </row>
        <row r="24">
          <cell r="E24">
            <v>910</v>
          </cell>
        </row>
        <row r="25">
          <cell r="E25">
            <v>1158</v>
          </cell>
        </row>
        <row r="26">
          <cell r="E26">
            <v>1545</v>
          </cell>
        </row>
        <row r="27">
          <cell r="E27">
            <v>1693</v>
          </cell>
        </row>
        <row r="28">
          <cell r="E28">
            <v>1459</v>
          </cell>
        </row>
        <row r="29">
          <cell r="E29">
            <v>1096</v>
          </cell>
        </row>
        <row r="30">
          <cell r="E30">
            <v>1003</v>
          </cell>
        </row>
        <row r="31">
          <cell r="E31">
            <v>1098</v>
          </cell>
        </row>
        <row r="32">
          <cell r="E32">
            <v>1187</v>
          </cell>
        </row>
        <row r="33">
          <cell r="E33">
            <v>1105</v>
          </cell>
        </row>
        <row r="34">
          <cell r="E34">
            <v>1036</v>
          </cell>
        </row>
        <row r="35">
          <cell r="E35">
            <v>892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YC Forecast"/>
      <sheetName val="Westchester Forecast"/>
      <sheetName val="A-1"/>
      <sheetName val="A-2"/>
      <sheetName val="A-3"/>
      <sheetName val="A-4"/>
      <sheetName val="A-4 (2)"/>
      <sheetName val="A-4 (3)"/>
      <sheetName val="A-5"/>
      <sheetName val="A-6"/>
      <sheetName val="A-6(old7)"/>
      <sheetName val="A-7 (old 8)"/>
    </sheetNames>
    <sheetDataSet>
      <sheetData sheetId="0" refreshError="1"/>
      <sheetData sheetId="1" refreshError="1"/>
      <sheetData sheetId="2">
        <row r="11">
          <cell r="B11">
            <v>6546906.2726133764</v>
          </cell>
        </row>
        <row r="12">
          <cell r="B12">
            <v>416666.66666666669</v>
          </cell>
        </row>
        <row r="13">
          <cell r="B13">
            <v>26376840</v>
          </cell>
        </row>
      </sheetData>
      <sheetData sheetId="3">
        <row r="8">
          <cell r="I8">
            <v>19390.372933483333</v>
          </cell>
        </row>
      </sheetData>
      <sheetData sheetId="4">
        <row r="25">
          <cell r="R25">
            <v>20352895.259914592</v>
          </cell>
        </row>
      </sheetData>
      <sheetData sheetId="5" refreshError="1"/>
      <sheetData sheetId="6" refreshError="1"/>
      <sheetData sheetId="7">
        <row r="16">
          <cell r="L16">
            <v>49016.74</v>
          </cell>
        </row>
      </sheetData>
      <sheetData sheetId="8">
        <row r="28">
          <cell r="B28">
            <v>2751882.28</v>
          </cell>
        </row>
      </sheetData>
      <sheetData sheetId="9" refreshError="1"/>
      <sheetData sheetId="10">
        <row r="63">
          <cell r="A63">
            <v>42005</v>
          </cell>
          <cell r="D63">
            <v>3036922</v>
          </cell>
        </row>
        <row r="64">
          <cell r="A64">
            <v>42036</v>
          </cell>
          <cell r="D64">
            <v>3097277</v>
          </cell>
        </row>
        <row r="65">
          <cell r="A65">
            <v>42064</v>
          </cell>
          <cell r="D65">
            <v>4131631</v>
          </cell>
        </row>
        <row r="66">
          <cell r="A66">
            <v>42095</v>
          </cell>
          <cell r="D66">
            <v>5016096</v>
          </cell>
        </row>
        <row r="67">
          <cell r="A67">
            <v>42125</v>
          </cell>
          <cell r="D67">
            <v>2385955</v>
          </cell>
        </row>
        <row r="68">
          <cell r="A68">
            <v>42156</v>
          </cell>
          <cell r="D68">
            <v>3261783</v>
          </cell>
        </row>
        <row r="69">
          <cell r="A69">
            <v>42186</v>
          </cell>
          <cell r="D69">
            <v>3219493</v>
          </cell>
        </row>
        <row r="70">
          <cell r="A70">
            <v>42217</v>
          </cell>
          <cell r="D70">
            <v>2854192</v>
          </cell>
        </row>
        <row r="71">
          <cell r="A71">
            <v>42248</v>
          </cell>
          <cell r="D71">
            <v>2909774</v>
          </cell>
        </row>
        <row r="72">
          <cell r="A72">
            <v>42278</v>
          </cell>
          <cell r="D72">
            <v>2731686</v>
          </cell>
        </row>
        <row r="73">
          <cell r="A73">
            <v>42309</v>
          </cell>
          <cell r="D73">
            <v>3198704</v>
          </cell>
        </row>
        <row r="74">
          <cell r="A74">
            <v>42339</v>
          </cell>
          <cell r="D74">
            <v>3432443</v>
          </cell>
        </row>
      </sheetData>
      <sheetData sheetId="11">
        <row r="21">
          <cell r="Q21">
            <v>-2.7419840506041666</v>
          </cell>
        </row>
      </sheetData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les Forecast"/>
      <sheetName val="Adj Sales Forecast"/>
      <sheetName val="MAC Cover Page "/>
      <sheetName val="Forecast MAC Total"/>
      <sheetName val="Valued History"/>
      <sheetName val="Appendicies --&gt;"/>
      <sheetName val="A-1"/>
      <sheetName val="A-2"/>
      <sheetName val="A-3"/>
      <sheetName val="A-4"/>
      <sheetName val="A-6"/>
      <sheetName val="A-7"/>
    </sheetNames>
    <sheetDataSet>
      <sheetData sheetId="0"/>
      <sheetData sheetId="1"/>
      <sheetData sheetId="2"/>
      <sheetData sheetId="3">
        <row r="12">
          <cell r="A12">
            <v>44075</v>
          </cell>
        </row>
      </sheetData>
      <sheetData sheetId="4">
        <row r="110">
          <cell r="A110">
            <v>43952</v>
          </cell>
          <cell r="B110">
            <v>16522605</v>
          </cell>
          <cell r="C110">
            <v>416666.66666666669</v>
          </cell>
          <cell r="D110">
            <v>4317553</v>
          </cell>
          <cell r="E110">
            <v>5687000</v>
          </cell>
          <cell r="F110">
            <v>648447.18999999994</v>
          </cell>
          <cell r="G110"/>
          <cell r="H110">
            <v>0</v>
          </cell>
          <cell r="I110">
            <v>2435200</v>
          </cell>
          <cell r="J110">
            <v>0</v>
          </cell>
          <cell r="K110">
            <v>1994504.44</v>
          </cell>
          <cell r="L110">
            <v>32021976.296666671</v>
          </cell>
          <cell r="M110">
            <v>14867225.371223785</v>
          </cell>
          <cell r="N110">
            <v>17154750.925442886</v>
          </cell>
          <cell r="O110">
            <v>2750500343</v>
          </cell>
          <cell r="P110">
            <v>6.2399999999999999E-3</v>
          </cell>
        </row>
        <row r="111">
          <cell r="A111">
            <v>43983</v>
          </cell>
          <cell r="B111">
            <v>23929290</v>
          </cell>
          <cell r="C111">
            <v>416666.66666666669</v>
          </cell>
          <cell r="D111">
            <v>4321136</v>
          </cell>
          <cell r="E111">
            <v>5687000</v>
          </cell>
          <cell r="F111">
            <v>247607.43</v>
          </cell>
          <cell r="G111"/>
          <cell r="H111">
            <v>0</v>
          </cell>
          <cell r="I111">
            <v>2435200</v>
          </cell>
          <cell r="J111">
            <v>0</v>
          </cell>
          <cell r="K111">
            <v>15429</v>
          </cell>
          <cell r="L111">
            <v>37052329.096666671</v>
          </cell>
          <cell r="M111">
            <v>16256311.508553915</v>
          </cell>
          <cell r="N111">
            <v>20796017.588112757</v>
          </cell>
          <cell r="O111">
            <v>3232787354</v>
          </cell>
          <cell r="P111">
            <v>6.43E-3</v>
          </cell>
        </row>
        <row r="112">
          <cell r="A112">
            <v>44013</v>
          </cell>
          <cell r="B112">
            <v>23929290</v>
          </cell>
          <cell r="C112">
            <v>416666.66666666669</v>
          </cell>
          <cell r="D112">
            <v>4324727</v>
          </cell>
          <cell r="E112">
            <v>5687000</v>
          </cell>
          <cell r="F112">
            <v>325357.18</v>
          </cell>
          <cell r="G112"/>
          <cell r="H112">
            <v>0</v>
          </cell>
          <cell r="I112">
            <v>2435200</v>
          </cell>
          <cell r="J112">
            <v>0</v>
          </cell>
          <cell r="K112">
            <v>0</v>
          </cell>
          <cell r="L112">
            <v>37118240.846666671</v>
          </cell>
          <cell r="M112">
            <v>17485698.751592871</v>
          </cell>
          <cell r="N112">
            <v>19632542.095073801</v>
          </cell>
          <cell r="O112">
            <v>4064039109</v>
          </cell>
          <cell r="P112">
            <v>4.8300000000000001E-3</v>
          </cell>
        </row>
        <row r="114">
          <cell r="A114">
            <v>44075</v>
          </cell>
          <cell r="B114">
            <v>23929290</v>
          </cell>
          <cell r="C114">
            <v>416666.66666666669</v>
          </cell>
          <cell r="D114">
            <v>4265954</v>
          </cell>
          <cell r="E114">
            <v>5687000</v>
          </cell>
          <cell r="F114">
            <v>194430.18</v>
          </cell>
          <cell r="G114"/>
          <cell r="H114">
            <v>0</v>
          </cell>
          <cell r="I114">
            <v>2435200</v>
          </cell>
          <cell r="J114">
            <v>0</v>
          </cell>
          <cell r="K114">
            <v>0</v>
          </cell>
          <cell r="L114">
            <v>36928540.846666671</v>
          </cell>
          <cell r="M114">
            <v>15610772.563591952</v>
          </cell>
          <cell r="N114">
            <v>21317768.283074722</v>
          </cell>
          <cell r="O114">
            <v>4098466482</v>
          </cell>
          <cell r="P114">
            <v>5.1999999999999998E-3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les Forecast"/>
      <sheetName val="Adj Sales Forecast"/>
      <sheetName val="Valued History"/>
      <sheetName val="MAC Cover Page "/>
      <sheetName val="Forecast MAC Total"/>
      <sheetName val="Appendicies --&gt;"/>
      <sheetName val="A-1"/>
      <sheetName val="A-2"/>
      <sheetName val="A-3"/>
      <sheetName val="A-4"/>
      <sheetName val="A-6"/>
      <sheetName val="A-7"/>
    </sheetNames>
    <sheetDataSet>
      <sheetData sheetId="0"/>
      <sheetData sheetId="1"/>
      <sheetData sheetId="2">
        <row r="110">
          <cell r="A110">
            <v>43952</v>
          </cell>
        </row>
        <row r="115">
          <cell r="A115">
            <v>44105</v>
          </cell>
          <cell r="B115">
            <v>16522605</v>
          </cell>
          <cell r="C115">
            <v>416666.66666666669</v>
          </cell>
          <cell r="D115">
            <v>4267249</v>
          </cell>
          <cell r="E115">
            <v>5687000</v>
          </cell>
          <cell r="F115">
            <v>244386.69</v>
          </cell>
          <cell r="G115"/>
          <cell r="H115">
            <v>0</v>
          </cell>
          <cell r="I115">
            <v>2435200</v>
          </cell>
          <cell r="J115">
            <v>0</v>
          </cell>
          <cell r="K115">
            <v>3170226.25</v>
          </cell>
          <cell r="L115">
            <v>32743333.606666669</v>
          </cell>
          <cell r="M115">
            <v>17579893.06804543</v>
          </cell>
          <cell r="N115">
            <v>15163440.538621239</v>
          </cell>
          <cell r="O115">
            <v>3545737555</v>
          </cell>
          <cell r="P115">
            <v>4.28E-3</v>
          </cell>
        </row>
      </sheetData>
      <sheetData sheetId="3"/>
      <sheetData sheetId="4">
        <row r="12">
          <cell r="A12">
            <v>44105</v>
          </cell>
        </row>
      </sheetData>
      <sheetData sheetId="5"/>
      <sheetData sheetId="6"/>
      <sheetData sheetId="7"/>
      <sheetData sheetId="8"/>
      <sheetData sheetId="9"/>
      <sheetData sheetId="10">
        <row r="14">
          <cell r="T14">
            <v>-2.4351572109228816</v>
          </cell>
        </row>
      </sheetData>
      <sheetData sheetId="1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les Forecast"/>
      <sheetName val="Adj Sales Forecast"/>
      <sheetName val="Valued History"/>
      <sheetName val="MAC Cover Page "/>
      <sheetName val="Forecast MAC Total"/>
      <sheetName val="Appendicies --&gt;"/>
      <sheetName val="A-1"/>
      <sheetName val="A-2"/>
      <sheetName val="A-3"/>
      <sheetName val="A-4"/>
      <sheetName val="A5"/>
      <sheetName val="A-6"/>
      <sheetName val="A-7"/>
    </sheetNames>
    <sheetDataSet>
      <sheetData sheetId="0" refreshError="1"/>
      <sheetData sheetId="1" refreshError="1"/>
      <sheetData sheetId="2" refreshError="1">
        <row r="116">
          <cell r="A116">
            <v>44136</v>
          </cell>
          <cell r="B116">
            <v>16522605</v>
          </cell>
          <cell r="C116">
            <v>416666.66666666669</v>
          </cell>
          <cell r="D116">
            <v>4268544</v>
          </cell>
          <cell r="E116">
            <v>5687000</v>
          </cell>
          <cell r="F116">
            <v>267502</v>
          </cell>
          <cell r="H116">
            <v>0</v>
          </cell>
          <cell r="I116">
            <v>2435200</v>
          </cell>
          <cell r="J116">
            <v>0</v>
          </cell>
          <cell r="K116">
            <v>3170226.25</v>
          </cell>
          <cell r="L116">
            <v>44874628.567924283</v>
          </cell>
          <cell r="M116">
            <v>7224998.7569564655</v>
          </cell>
          <cell r="N116">
            <v>37649629.810967818</v>
          </cell>
          <cell r="O116">
            <v>3025901901</v>
          </cell>
          <cell r="P116">
            <v>1.244E-2</v>
          </cell>
        </row>
        <row r="117">
          <cell r="B117">
            <v>16522605</v>
          </cell>
          <cell r="C117">
            <v>416666.66666666669</v>
          </cell>
          <cell r="D117">
            <v>4269840</v>
          </cell>
          <cell r="E117">
            <v>5687000</v>
          </cell>
          <cell r="F117">
            <v>358127</v>
          </cell>
          <cell r="H117">
            <v>12106884.651257616</v>
          </cell>
          <cell r="I117">
            <v>2435200</v>
          </cell>
          <cell r="J117">
            <v>0</v>
          </cell>
          <cell r="K117">
            <v>3170226.25</v>
          </cell>
          <cell r="L117">
            <v>44966549.567924283</v>
          </cell>
          <cell r="M117">
            <v>6050632.558176022</v>
          </cell>
          <cell r="N117">
            <v>38915917.009748265</v>
          </cell>
          <cell r="O117">
            <v>3442957975</v>
          </cell>
          <cell r="P117">
            <v>1.1299999999999999E-2</v>
          </cell>
        </row>
        <row r="118">
          <cell r="B118">
            <v>16781140</v>
          </cell>
          <cell r="C118">
            <v>416666.66666666669</v>
          </cell>
          <cell r="D118">
            <v>4271879</v>
          </cell>
          <cell r="E118">
            <v>5257931.9992777649</v>
          </cell>
          <cell r="F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3235997.3</v>
          </cell>
          <cell r="L118">
            <v>29963614.965944435</v>
          </cell>
          <cell r="M118">
            <v>8310505.190416187</v>
          </cell>
          <cell r="N118">
            <v>21653109.775528248</v>
          </cell>
          <cell r="O118">
            <v>3572998290</v>
          </cell>
          <cell r="P118">
            <v>6.0600000000000003E-3</v>
          </cell>
        </row>
      </sheetData>
      <sheetData sheetId="3" refreshError="1"/>
      <sheetData sheetId="4" refreshError="1">
        <row r="10">
          <cell r="B10" t="str">
            <v>(1)</v>
          </cell>
          <cell r="C10" t="str">
            <v>(2)</v>
          </cell>
          <cell r="D10" t="str">
            <v>(3)</v>
          </cell>
          <cell r="E10" t="str">
            <v>(4)</v>
          </cell>
          <cell r="F10" t="str">
            <v>(5)</v>
          </cell>
          <cell r="H10" t="str">
            <v>(6)</v>
          </cell>
          <cell r="I10" t="str">
            <v>(7)</v>
          </cell>
          <cell r="K10" t="str">
            <v>(5)</v>
          </cell>
          <cell r="L10" t="str">
            <v>(6)</v>
          </cell>
          <cell r="M10" t="str">
            <v>(7)</v>
          </cell>
          <cell r="N10" t="str">
            <v>(8)</v>
          </cell>
          <cell r="O10" t="str">
            <v>(9)</v>
          </cell>
          <cell r="P10" t="str">
            <v>(10)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les Forecast"/>
      <sheetName val="Adj Sales Forecast"/>
      <sheetName val="Valued History"/>
      <sheetName val="MAC Cover Page "/>
      <sheetName val="Forecast MAC Total"/>
      <sheetName val="Appendicies --&gt;"/>
      <sheetName val="A-1"/>
      <sheetName val="A-2"/>
      <sheetName val="A-3"/>
      <sheetName val="A-4"/>
      <sheetName val="A5"/>
      <sheetName val="A-6"/>
      <sheetName val="A-7"/>
    </sheetNames>
    <sheetDataSet>
      <sheetData sheetId="0" refreshError="1"/>
      <sheetData sheetId="1" refreshError="1"/>
      <sheetData sheetId="2">
        <row r="119">
          <cell r="B119">
            <v>16264070</v>
          </cell>
          <cell r="C119">
            <v>416666.66666666669</v>
          </cell>
          <cell r="D119">
            <v>4273921</v>
          </cell>
          <cell r="E119">
            <v>5244788.1504256632</v>
          </cell>
          <cell r="F119">
            <v>0</v>
          </cell>
          <cell r="G119"/>
          <cell r="H119">
            <v>0</v>
          </cell>
          <cell r="I119">
            <v>0</v>
          </cell>
          <cell r="J119">
            <v>0</v>
          </cell>
          <cell r="K119">
            <v>3251568.8</v>
          </cell>
          <cell r="L119">
            <v>29451014.61709233</v>
          </cell>
          <cell r="M119">
            <v>8750321.4547538161</v>
          </cell>
          <cell r="N119">
            <v>20700693.162338514</v>
          </cell>
          <cell r="O119">
            <v>3434015632</v>
          </cell>
          <cell r="P119">
            <v>6.0299999999999998E-3</v>
          </cell>
        </row>
      </sheetData>
      <sheetData sheetId="3" refreshError="1"/>
      <sheetData sheetId="4">
        <row r="12">
          <cell r="A12">
            <v>44228</v>
          </cell>
        </row>
      </sheetData>
      <sheetData sheetId="5" refreshError="1"/>
      <sheetData sheetId="6" refreshError="1"/>
      <sheetData sheetId="7" refreshError="1"/>
      <sheetData sheetId="8">
        <row r="25">
          <cell r="H25">
            <v>0</v>
          </cell>
        </row>
      </sheetData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les Forecast"/>
      <sheetName val="Adj Sales Forecast"/>
      <sheetName val="Valued History"/>
      <sheetName val="MAC Cover Page "/>
      <sheetName val="Forecast MAC Total"/>
      <sheetName val="Appendicies --&gt;"/>
      <sheetName val="A-1"/>
      <sheetName val="A-2"/>
      <sheetName val="A-3"/>
      <sheetName val="A-4"/>
      <sheetName val="A5"/>
      <sheetName val="A-6"/>
      <sheetName val="A-7"/>
    </sheetNames>
    <sheetDataSet>
      <sheetData sheetId="0" refreshError="1"/>
      <sheetData sheetId="1">
        <row r="48">
          <cell r="C48">
            <v>3353789526</v>
          </cell>
        </row>
      </sheetData>
      <sheetData sheetId="2">
        <row r="120">
          <cell r="A120">
            <v>44256</v>
          </cell>
          <cell r="B120">
            <v>16522605</v>
          </cell>
          <cell r="C120">
            <v>416666.66666666669</v>
          </cell>
          <cell r="D120">
            <v>4275964</v>
          </cell>
          <cell r="E120">
            <v>5231475.8898346787</v>
          </cell>
          <cell r="F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3251568.8</v>
          </cell>
          <cell r="L120">
            <v>29698280.356501348</v>
          </cell>
          <cell r="M120">
            <v>9940507.1910923384</v>
          </cell>
          <cell r="N120">
            <v>19757773.16540901</v>
          </cell>
          <cell r="O120">
            <v>3168100302</v>
          </cell>
          <cell r="P120">
            <v>6.2399999999999999E-3</v>
          </cell>
        </row>
        <row r="121">
          <cell r="A121">
            <v>44287</v>
          </cell>
          <cell r="B121">
            <v>16522605</v>
          </cell>
          <cell r="C121">
            <v>416666.66666666669</v>
          </cell>
          <cell r="D121">
            <v>4278009</v>
          </cell>
          <cell r="E121">
            <v>5218163.6292437734</v>
          </cell>
          <cell r="F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3251568.8</v>
          </cell>
          <cell r="L121">
            <v>29687013.095910441</v>
          </cell>
          <cell r="M121">
            <v>6891375.4913031794</v>
          </cell>
          <cell r="N121">
            <v>22795637.604607262</v>
          </cell>
          <cell r="O121">
            <v>2768888624</v>
          </cell>
          <cell r="P121">
            <v>8.2299999999999995E-3</v>
          </cell>
        </row>
        <row r="122">
          <cell r="A122">
            <v>44317</v>
          </cell>
          <cell r="B122">
            <v>16522605</v>
          </cell>
          <cell r="C122">
            <v>416666.66666666669</v>
          </cell>
          <cell r="D122">
            <v>4280057</v>
          </cell>
          <cell r="E122">
            <v>5204851.3686527889</v>
          </cell>
          <cell r="F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3251568.8</v>
          </cell>
          <cell r="L122">
            <v>29675748.835319456</v>
          </cell>
          <cell r="M122">
            <v>1806183.4112213366</v>
          </cell>
          <cell r="N122">
            <v>27869565.424098119</v>
          </cell>
          <cell r="O122">
            <v>2754778878</v>
          </cell>
          <cell r="P122">
            <v>1.0120000000000001E-2</v>
          </cell>
        </row>
      </sheetData>
      <sheetData sheetId="3" refreshError="1"/>
      <sheetData sheetId="4">
        <row r="12">
          <cell r="A12">
            <v>44317</v>
          </cell>
          <cell r="B12">
            <v>16522605</v>
          </cell>
          <cell r="C12">
            <v>416666.66666666669</v>
          </cell>
          <cell r="D12">
            <v>4280057</v>
          </cell>
          <cell r="E12">
            <v>5204851.3686527889</v>
          </cell>
          <cell r="K12">
            <v>3251568.8</v>
          </cell>
          <cell r="M12">
            <v>1806183.4112213366</v>
          </cell>
          <cell r="O12">
            <v>2754778878</v>
          </cell>
        </row>
        <row r="19">
          <cell r="F19"/>
          <cell r="G19"/>
          <cell r="H19"/>
          <cell r="I19"/>
          <cell r="J19"/>
        </row>
        <row r="22">
          <cell r="F22"/>
          <cell r="G22"/>
          <cell r="H22"/>
          <cell r="I22"/>
          <cell r="J22"/>
        </row>
        <row r="24">
          <cell r="F24"/>
          <cell r="G24"/>
          <cell r="H24"/>
          <cell r="I24"/>
          <cell r="J24"/>
        </row>
        <row r="25">
          <cell r="F25"/>
          <cell r="G25"/>
          <cell r="H25"/>
          <cell r="I25"/>
          <cell r="J25"/>
        </row>
        <row r="26">
          <cell r="F26"/>
          <cell r="G26"/>
          <cell r="H26"/>
          <cell r="I26"/>
          <cell r="J26"/>
        </row>
        <row r="27">
          <cell r="F27"/>
          <cell r="G27"/>
          <cell r="H27"/>
          <cell r="I27"/>
          <cell r="J27"/>
        </row>
        <row r="28">
          <cell r="F28"/>
          <cell r="G28"/>
          <cell r="H28"/>
          <cell r="I28"/>
          <cell r="J28"/>
        </row>
        <row r="29">
          <cell r="F29"/>
          <cell r="G29"/>
          <cell r="H29"/>
          <cell r="I29"/>
          <cell r="J29"/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les Forecast"/>
      <sheetName val="Adj Sales Forecast"/>
      <sheetName val="Valued History"/>
      <sheetName val="MAC Cover Page "/>
      <sheetName val="Forecast MAC Total"/>
      <sheetName val="Appendicies --&gt;"/>
      <sheetName val="A-1"/>
      <sheetName val="A-2"/>
      <sheetName val="A-3"/>
      <sheetName val="A-4"/>
      <sheetName val="A5"/>
      <sheetName val="A-6"/>
      <sheetName val="A-7"/>
    </sheetNames>
    <sheetDataSet>
      <sheetData sheetId="0" refreshError="1"/>
      <sheetData sheetId="1" refreshError="1"/>
      <sheetData sheetId="2">
        <row r="125">
          <cell r="A125">
            <v>44348</v>
          </cell>
          <cell r="B125">
            <v>23929290</v>
          </cell>
          <cell r="C125">
            <v>416666.66666666669</v>
          </cell>
          <cell r="D125">
            <v>4282107</v>
          </cell>
          <cell r="E125">
            <v>5191539.1080618836</v>
          </cell>
          <cell r="F125">
            <v>0</v>
          </cell>
          <cell r="G125"/>
          <cell r="H125">
            <v>0</v>
          </cell>
          <cell r="I125">
            <v>0</v>
          </cell>
          <cell r="J125">
            <v>0</v>
          </cell>
          <cell r="K125">
            <v>5852144.4900000002</v>
          </cell>
          <cell r="L125">
            <v>39671747.264728554</v>
          </cell>
          <cell r="M125">
            <v>2119337.9398259707</v>
          </cell>
          <cell r="N125">
            <v>37552409.324902579</v>
          </cell>
          <cell r="O125">
            <v>3353789526</v>
          </cell>
          <cell r="P125">
            <v>1.12E-2</v>
          </cell>
        </row>
      </sheetData>
      <sheetData sheetId="3" refreshError="1"/>
      <sheetData sheetId="4">
        <row r="12">
          <cell r="A12">
            <v>44348</v>
          </cell>
          <cell r="B12">
            <v>23929290</v>
          </cell>
          <cell r="C12">
            <v>416666.66666666669</v>
          </cell>
          <cell r="D12">
            <v>4282107</v>
          </cell>
          <cell r="E12">
            <v>5191539.1080618836</v>
          </cell>
          <cell r="F12">
            <v>0</v>
          </cell>
          <cell r="G12"/>
          <cell r="H12">
            <v>0</v>
          </cell>
          <cell r="I12">
            <v>0</v>
          </cell>
          <cell r="J12">
            <v>0</v>
          </cell>
          <cell r="K12">
            <v>5852144.4900000002</v>
          </cell>
          <cell r="M12">
            <v>2119337.9398259707</v>
          </cell>
          <cell r="O12">
            <v>3353789526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les Forecast"/>
      <sheetName val="Adj Sales Forecast"/>
      <sheetName val="Valued History"/>
      <sheetName val="MAC Cover Page "/>
      <sheetName val="Forecast MAC Total"/>
      <sheetName val="Appendicies --&gt;"/>
      <sheetName val="A-1"/>
      <sheetName val="A-2"/>
      <sheetName val="A-3"/>
      <sheetName val="A-4"/>
      <sheetName val="A5"/>
      <sheetName val="A-6"/>
      <sheetName val="A-7"/>
    </sheetNames>
    <sheetDataSet>
      <sheetData sheetId="0" refreshError="1"/>
      <sheetData sheetId="1" refreshError="1"/>
      <sheetData sheetId="2" refreshError="1">
        <row r="126">
          <cell r="A126">
            <v>44378</v>
          </cell>
          <cell r="B126">
            <v>23929290</v>
          </cell>
          <cell r="C126">
            <v>416666.66666666669</v>
          </cell>
          <cell r="D126">
            <v>4311174</v>
          </cell>
          <cell r="E126">
            <v>5183821.1018058425</v>
          </cell>
          <cell r="F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5852144.4900000002</v>
          </cell>
          <cell r="L126">
            <v>39693096.25847251</v>
          </cell>
          <cell r="M126">
            <v>5998167.9532495569</v>
          </cell>
          <cell r="N126">
            <v>33694928.305222951</v>
          </cell>
          <cell r="O126">
            <v>4119732369</v>
          </cell>
          <cell r="P126">
            <v>8.1799999999999998E-3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les Forecast"/>
      <sheetName val="Adj Sales Forecast"/>
      <sheetName val="Valued History"/>
      <sheetName val="MAC Cover Page "/>
      <sheetName val="Forecast MAC Total"/>
      <sheetName val="Appendicies --&gt;"/>
      <sheetName val="A-1"/>
      <sheetName val="A-2"/>
      <sheetName val="A-3"/>
      <sheetName val="A-4"/>
      <sheetName val="A5"/>
      <sheetName val="A-6"/>
      <sheetName val="A-7"/>
    </sheetNames>
    <sheetDataSet>
      <sheetData sheetId="0"/>
      <sheetData sheetId="1"/>
      <sheetData sheetId="2">
        <row r="127">
          <cell r="A127">
            <v>44409</v>
          </cell>
          <cell r="B127">
            <v>23929290</v>
          </cell>
          <cell r="C127">
            <v>416666.66666666669</v>
          </cell>
          <cell r="D127">
            <v>4314685</v>
          </cell>
          <cell r="E127">
            <v>5170508.8412149353</v>
          </cell>
          <cell r="F127">
            <v>0</v>
          </cell>
          <cell r="G127"/>
          <cell r="H127">
            <v>0</v>
          </cell>
          <cell r="I127">
            <v>0</v>
          </cell>
          <cell r="J127">
            <v>0</v>
          </cell>
          <cell r="K127">
            <v>5852144.4900000002</v>
          </cell>
          <cell r="L127">
            <v>39683294.997881606</v>
          </cell>
          <cell r="M127">
            <v>6991177.9403704945</v>
          </cell>
          <cell r="N127">
            <v>32692117.057511114</v>
          </cell>
          <cell r="O127">
            <v>4316690250</v>
          </cell>
          <cell r="P127">
            <v>7.5700000000000003E-3</v>
          </cell>
        </row>
      </sheetData>
      <sheetData sheetId="3"/>
      <sheetData sheetId="4">
        <row r="12">
          <cell r="A12">
            <v>44409</v>
          </cell>
          <cell r="B12">
            <v>23929290</v>
          </cell>
          <cell r="C12">
            <v>416666.66666666669</v>
          </cell>
          <cell r="D12">
            <v>4314685</v>
          </cell>
          <cell r="E12">
            <v>5170508.8412149353</v>
          </cell>
          <cell r="K12">
            <v>5852144.4900000002</v>
          </cell>
          <cell r="M12">
            <v>6991177.9403704945</v>
          </cell>
          <cell r="O12">
            <v>4316690250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les Forecast"/>
      <sheetName val="Adj Sales Forecast"/>
      <sheetName val="Valued History"/>
      <sheetName val="MAC Cover Page "/>
      <sheetName val="Forecast MAC Total"/>
      <sheetName val="Appendicies --&gt;"/>
      <sheetName val="A-1"/>
      <sheetName val="A-2"/>
      <sheetName val="A-3"/>
      <sheetName val="A-4"/>
      <sheetName val="A5"/>
      <sheetName val="A-6"/>
      <sheetName val="A-7"/>
    </sheetNames>
    <sheetDataSet>
      <sheetData sheetId="0" refreshError="1"/>
      <sheetData sheetId="1" refreshError="1"/>
      <sheetData sheetId="2">
        <row r="128">
          <cell r="A128">
            <v>44440</v>
          </cell>
          <cell r="B128">
            <v>23929290</v>
          </cell>
          <cell r="C128">
            <v>416666.66666666669</v>
          </cell>
          <cell r="D128">
            <v>4318203</v>
          </cell>
          <cell r="E128">
            <v>5278919.9835397992</v>
          </cell>
          <cell r="F128">
            <v>0</v>
          </cell>
          <cell r="G128"/>
          <cell r="H128">
            <v>0</v>
          </cell>
          <cell r="I128">
            <v>0</v>
          </cell>
          <cell r="J128">
            <v>0</v>
          </cell>
          <cell r="K128">
            <v>5852144.4900000002</v>
          </cell>
          <cell r="L128">
            <v>39795224.140206471</v>
          </cell>
          <cell r="M128">
            <v>2851362.9613164552</v>
          </cell>
          <cell r="N128">
            <v>36943861.17889002</v>
          </cell>
          <cell r="O128">
            <v>3986762526</v>
          </cell>
          <cell r="P128">
            <v>9.2700000000000005E-3</v>
          </cell>
        </row>
      </sheetData>
      <sheetData sheetId="3" refreshError="1"/>
      <sheetData sheetId="4">
        <row r="12">
          <cell r="A12">
            <v>44440</v>
          </cell>
          <cell r="B12">
            <v>23929290</v>
          </cell>
          <cell r="C12">
            <v>416666.66666666669</v>
          </cell>
          <cell r="D12">
            <v>4318203</v>
          </cell>
          <cell r="E12">
            <v>5278919.9835397992</v>
          </cell>
          <cell r="K12">
            <v>5852144.4900000002</v>
          </cell>
          <cell r="M12">
            <v>2851362.9613164552</v>
          </cell>
          <cell r="O12">
            <v>3986762526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les Forecast"/>
      <sheetName val="Adj Sales Forecast"/>
      <sheetName val="Demand Forecast"/>
      <sheetName val="Adj Demand Forecast "/>
      <sheetName val="Forecasted Conv kW by Period"/>
      <sheetName val="Forecasted TOD kW by Period"/>
      <sheetName val="TOD % of Reg kW"/>
      <sheetName val="Forecasted TOD kWh by Period"/>
      <sheetName val="TOD OnOff kWh Ratios"/>
      <sheetName val="TODS On Off %"/>
      <sheetName val="MSC Cover Page "/>
      <sheetName val="Capacity Estimates"/>
      <sheetName val="SC 1 Rate III MSC Cap"/>
      <sheetName val="May - Oct Capacity MSC by Class"/>
      <sheetName val="Nov - Apr Capacity MSC by Class"/>
      <sheetName val="Lookup Tables for Level Billing"/>
      <sheetName val="MSC - Energy SC1"/>
      <sheetName val="Level Billing Summary"/>
      <sheetName val="Nov - Apr Capacity (UCAP Price)"/>
      <sheetName val="MAC Cover Page "/>
      <sheetName val="Valued History"/>
      <sheetName val="Forecast MAC Total"/>
      <sheetName val="NYISO Strip Auction Price"/>
      <sheetName val="MTM MSC Estimates 1,9 Oct"/>
      <sheetName val="MTM MSC Estimates 1,9 Nov"/>
      <sheetName val="MTM MSC Estimates 1,9 Dec"/>
      <sheetName val="MTM MSC Estimates 1,9 Jan"/>
      <sheetName val="MTM MSC Estimates 1,9 Feb"/>
      <sheetName val="MTM MSC Estimates 1,9 Mar"/>
      <sheetName val="MTM MSC Estimates 1,9 Apr"/>
      <sheetName val="MTM MSC Estimates 1,9 May21"/>
      <sheetName val="MTM MSC Estimates 1,9 Jun21"/>
      <sheetName val="MTM MSC Estimates 1,9 Jul21"/>
      <sheetName val="MTM MSC Estimates 1,9 Aug21"/>
      <sheetName val="MTM MSC Estimates 1,9 Sep21"/>
      <sheetName val="MTM MSC Estimates 1,9 Oct21"/>
      <sheetName val="May Price Out"/>
      <sheetName val="Jun Price Out"/>
      <sheetName val="Jul Price Out"/>
      <sheetName val="Aug Price Out"/>
      <sheetName val="Sep Price Out"/>
      <sheetName val="Oct Price Out"/>
      <sheetName val="Nov Price Out"/>
      <sheetName val="Dec Price Out"/>
      <sheetName val="Jan Price Out"/>
      <sheetName val="Feb Price Out"/>
      <sheetName val="Mar Price Out"/>
      <sheetName val="Apr Price Ou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20">
          <cell r="G20">
            <v>5.6599999999999998E-2</v>
          </cell>
        </row>
      </sheetData>
      <sheetData sheetId="14">
        <row r="20">
          <cell r="G20">
            <v>4.4900000000000002E-2</v>
          </cell>
        </row>
      </sheetData>
      <sheetData sheetId="15"/>
      <sheetData sheetId="16"/>
      <sheetData sheetId="17"/>
      <sheetData sheetId="18"/>
      <sheetData sheetId="19"/>
      <sheetData sheetId="20"/>
      <sheetData sheetId="21">
        <row r="8">
          <cell r="L8" t="str">
            <v>Climate Change Implementation Plan</v>
          </cell>
          <cell r="M8" t="str">
            <v>EV Make Ready Program</v>
          </cell>
        </row>
      </sheetData>
      <sheetData sheetId="22"/>
      <sheetData sheetId="23">
        <row r="5">
          <cell r="E5">
            <v>2.7799999999999999E-3</v>
          </cell>
        </row>
      </sheetData>
      <sheetData sheetId="24">
        <row r="5">
          <cell r="E5">
            <v>3.0300000000000001E-3</v>
          </cell>
        </row>
      </sheetData>
      <sheetData sheetId="25">
        <row r="5">
          <cell r="E5">
            <v>2.8999999999999998E-3</v>
          </cell>
        </row>
      </sheetData>
      <sheetData sheetId="26">
        <row r="5">
          <cell r="E5">
            <v>2.9399999999999999E-3</v>
          </cell>
        </row>
      </sheetData>
      <sheetData sheetId="27">
        <row r="5">
          <cell r="E5">
            <v>3.0000000000000001E-3</v>
          </cell>
        </row>
      </sheetData>
      <sheetData sheetId="28">
        <row r="5">
          <cell r="E5">
            <v>2.81E-3</v>
          </cell>
        </row>
      </sheetData>
      <sheetData sheetId="29">
        <row r="5">
          <cell r="E5">
            <v>2.8800000000000002E-3</v>
          </cell>
        </row>
      </sheetData>
      <sheetData sheetId="30">
        <row r="5">
          <cell r="E5">
            <v>3.0699999999999998E-3</v>
          </cell>
        </row>
      </sheetData>
      <sheetData sheetId="31">
        <row r="5">
          <cell r="E5">
            <v>2.98E-3</v>
          </cell>
        </row>
      </sheetData>
      <sheetData sheetId="32">
        <row r="5">
          <cell r="E5">
            <v>2.6700000000000001E-3</v>
          </cell>
        </row>
      </sheetData>
      <sheetData sheetId="33">
        <row r="5">
          <cell r="E5">
            <v>2.7899999999999999E-3</v>
          </cell>
        </row>
      </sheetData>
      <sheetData sheetId="34">
        <row r="5">
          <cell r="E5">
            <v>2.7499999999999998E-3</v>
          </cell>
        </row>
      </sheetData>
      <sheetData sheetId="35">
        <row r="5">
          <cell r="E5">
            <v>2.7399999999999998E-3</v>
          </cell>
        </row>
      </sheetData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les Forecast"/>
      <sheetName val="Adj Sales Forecast"/>
      <sheetName val="Valued History"/>
      <sheetName val="MAC Cover Page "/>
      <sheetName val="Forecast MAC Total"/>
      <sheetName val="Appendicies --&gt;"/>
      <sheetName val="A-1"/>
      <sheetName val="A-2"/>
      <sheetName val="A-3"/>
      <sheetName val="A-4"/>
      <sheetName val="A5"/>
      <sheetName val="A-6"/>
      <sheetName val="A-7"/>
    </sheetNames>
    <sheetDataSet>
      <sheetData sheetId="0" refreshError="1"/>
      <sheetData sheetId="1" refreshError="1"/>
      <sheetData sheetId="2" refreshError="1"/>
      <sheetData sheetId="3" refreshError="1"/>
      <sheetData sheetId="4">
        <row r="12">
          <cell r="A12">
            <v>44378</v>
          </cell>
          <cell r="B12">
            <v>23929290</v>
          </cell>
          <cell r="C12">
            <v>416666.66666666669</v>
          </cell>
          <cell r="D12">
            <v>4311174</v>
          </cell>
          <cell r="E12">
            <v>5183821.1018058425</v>
          </cell>
          <cell r="K12">
            <v>5852144.4900000002</v>
          </cell>
          <cell r="M12">
            <v>5998167.9532495569</v>
          </cell>
          <cell r="O12">
            <v>4119732369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"/>
      <sheetName val="2026"/>
      <sheetName val="2025"/>
      <sheetName val="2024"/>
      <sheetName val="2023"/>
      <sheetName val="2022"/>
      <sheetName val="2021"/>
      <sheetName val="2020"/>
      <sheetName val="2020 ERRP Authority letter"/>
      <sheetName val="2020-2025"/>
      <sheetName val="2019"/>
      <sheetName val="2018"/>
      <sheetName val="2017"/>
      <sheetName val="2016"/>
      <sheetName val="2015"/>
      <sheetName val="2014"/>
      <sheetName val="2008-2016 summary Electric"/>
      <sheetName val="SCH2-PROD 2016 CASE"/>
      <sheetName val="SCH2 - PROD 2014 case"/>
      <sheetName val="2016-2020 summary Electric"/>
      <sheetName val="2018 ERRP Authority Letter"/>
      <sheetName val="ERRP carrying charge 2019-22"/>
      <sheetName val="Authority Letter 2016"/>
      <sheetName val="Authority Letter 2015"/>
      <sheetName val="ERRP Deferral"/>
      <sheetName val="PJM OATT Adjustment"/>
      <sheetName val="ERRP Carrying Charges in rates"/>
      <sheetName val="ERRP 2015 Authority Letter"/>
      <sheetName val="2013"/>
      <sheetName val="2012"/>
      <sheetName val="2011"/>
      <sheetName val="2010"/>
      <sheetName val="2009"/>
      <sheetName val="2008"/>
      <sheetName val="2007"/>
      <sheetName val="2006"/>
      <sheetName val="2005"/>
      <sheetName val="ERRP Deferral Refund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8">
          <cell r="B8">
            <v>5243734.4411730021</v>
          </cell>
          <cell r="C8">
            <v>5230279.8454316612</v>
          </cell>
          <cell r="D8">
            <v>5216826.3120732345</v>
          </cell>
          <cell r="E8">
            <v>5203373.8410976464</v>
          </cell>
        </row>
        <row r="9">
          <cell r="B9">
            <v>416666.66666666669</v>
          </cell>
          <cell r="C9">
            <v>416666.66666666669</v>
          </cell>
          <cell r="D9">
            <v>416666.66666666669</v>
          </cell>
          <cell r="E9">
            <v>416666.66666666669</v>
          </cell>
        </row>
        <row r="10">
          <cell r="B10">
            <v>16781140</v>
          </cell>
          <cell r="C10">
            <v>16264070</v>
          </cell>
          <cell r="D10">
            <v>16522605</v>
          </cell>
          <cell r="E10">
            <v>16522605</v>
          </cell>
        </row>
      </sheetData>
      <sheetData sheetId="6">
        <row r="8">
          <cell r="K8">
            <v>5265461.1382669527</v>
          </cell>
          <cell r="L8">
            <v>5252003.3553770231</v>
          </cell>
          <cell r="M8">
            <v>5238546.6348699294</v>
          </cell>
        </row>
        <row r="9">
          <cell r="K9">
            <v>416666.66666666669</v>
          </cell>
          <cell r="L9">
            <v>416666.66666666669</v>
          </cell>
          <cell r="M9">
            <v>416666.66666666669</v>
          </cell>
        </row>
        <row r="10">
          <cell r="K10">
            <v>16522605</v>
          </cell>
          <cell r="L10">
            <v>16522605</v>
          </cell>
          <cell r="M10">
            <v>16522605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ad Sheet"/>
      <sheetName val="Current"/>
      <sheetName val="2022  5_year Budget"/>
      <sheetName val="% Change"/>
      <sheetName val="Plots"/>
      <sheetName val="Table A Format"/>
      <sheetName val="Forecasted 2019-2020 Winter"/>
      <sheetName val="Forecasted 2020 Summer Period"/>
      <sheetName val="Temp"/>
      <sheetName val="Fuel Volumes Template for HP"/>
      <sheetName val="Fuel $ Template for HP"/>
      <sheetName val="Fuel Rates for HP"/>
      <sheetName val="Rate Case Exh1"/>
      <sheetName val="File Check (1)"/>
      <sheetName val="Rate Case Exh3"/>
      <sheetName val="File Check(2)"/>
      <sheetName val="File Check (4)"/>
      <sheetName val="Rate Case Exh4"/>
      <sheetName val="File Check (5)"/>
    </sheetNames>
    <sheetDataSet>
      <sheetData sheetId="0"/>
      <sheetData sheetId="1">
        <row r="64">
          <cell r="GJ64">
            <v>4321.7269999999999</v>
          </cell>
          <cell r="GK64">
            <v>4325.2579999999998</v>
          </cell>
          <cell r="GL64">
            <v>4328.7939999999999</v>
          </cell>
          <cell r="GM64">
            <v>4332.5450000000001</v>
          </cell>
          <cell r="GN64">
            <v>4336.3029999999999</v>
          </cell>
          <cell r="GO64">
            <v>4340.0680000000002</v>
          </cell>
          <cell r="GP64">
            <v>4343.84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lectric Schedule"/>
      <sheetName val="Gas Schedule"/>
    </sheetNames>
    <sheetDataSet>
      <sheetData sheetId="0">
        <row r="18">
          <cell r="CE18">
            <v>2681918.2400000002</v>
          </cell>
        </row>
      </sheetData>
      <sheetData sheetId="1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AD SHEET"/>
      <sheetName val="CoverPage"/>
      <sheetName val="ASSUMPTIONS"/>
      <sheetName val="Summary"/>
      <sheetName val="Other"/>
      <sheetName val="FuelCost"/>
      <sheetName val="GROSSENERGY"/>
      <sheetName val="GROSSENERGY$"/>
      <sheetName val="GROSSCAPACITY"/>
      <sheetName val="GROSSCAPACITY$"/>
      <sheetName val="ER-6"/>
      <sheetName val="ER-7"/>
      <sheetName val="ERRP"/>
      <sheetName val="Waterside"/>
      <sheetName val="HUD-10"/>
      <sheetName val="HUD-GT"/>
      <sheetName val="59TH-GT"/>
      <sheetName val="74TH-GT"/>
      <sheetName val="BNYCP"/>
      <sheetName val="Linden"/>
      <sheetName val="2015 RFP2"/>
      <sheetName val="Selkirk"/>
      <sheetName val="Indeck"/>
      <sheetName val="2016 RFP1"/>
      <sheetName val="2016 RFP2"/>
      <sheetName val="SCS Astoria"/>
      <sheetName val="2017 RFP"/>
      <sheetName val="IP-2"/>
      <sheetName val="2018 RFP"/>
      <sheetName val="2019 RFP"/>
      <sheetName val="2020 RFP"/>
      <sheetName val="2021 RFP"/>
      <sheetName val="GRAPH"/>
      <sheetName val="Data"/>
    </sheetNames>
    <sheetDataSet>
      <sheetData sheetId="0" refreshError="1"/>
      <sheetData sheetId="1" refreshError="1"/>
      <sheetData sheetId="2" refreshError="1"/>
      <sheetData sheetId="3">
        <row r="54">
          <cell r="T54">
            <v>3566188.0325377621</v>
          </cell>
        </row>
        <row r="55">
          <cell r="T55">
            <v>101061.63384623826</v>
          </cell>
        </row>
        <row r="56">
          <cell r="T56">
            <v>7281110.8872864693</v>
          </cell>
        </row>
        <row r="60">
          <cell r="T60">
            <v>19931248.551120743</v>
          </cell>
        </row>
        <row r="61">
          <cell r="T61">
            <v>16230172.452957571</v>
          </cell>
        </row>
        <row r="62">
          <cell r="T62">
            <v>3253026.4129627161</v>
          </cell>
        </row>
        <row r="63">
          <cell r="T63">
            <v>-2735649.8204298262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lectric Schedule"/>
      <sheetName val="Gas Schedule"/>
    </sheetNames>
    <sheetDataSet>
      <sheetData sheetId="0">
        <row r="18">
          <cell r="CE18">
            <v>2681918.2400000002</v>
          </cell>
        </row>
        <row r="19">
          <cell r="CE19">
            <v>2681918.2400000002</v>
          </cell>
        </row>
        <row r="20">
          <cell r="CE20">
            <v>2616147.19</v>
          </cell>
        </row>
        <row r="21">
          <cell r="CE21">
            <v>2600575.69</v>
          </cell>
        </row>
        <row r="22">
          <cell r="CE22">
            <v>2600575.69</v>
          </cell>
        </row>
        <row r="23">
          <cell r="CE23">
            <v>2600575.69</v>
          </cell>
        </row>
        <row r="24">
          <cell r="CE24">
            <v>2600575.6399999997</v>
          </cell>
        </row>
      </sheetData>
      <sheetData sheetId="1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YC Forecast ENERGY 09 07 21"/>
      <sheetName val="Forward Energy"/>
      <sheetName val="MTM Chart"/>
    </sheetNames>
    <sheetDataSet>
      <sheetData sheetId="0">
        <row r="8">
          <cell r="A8">
            <v>44440</v>
          </cell>
          <cell r="B8">
            <v>46.2</v>
          </cell>
          <cell r="C8">
            <v>33.5</v>
          </cell>
          <cell r="D8">
            <v>40.485000000000007</v>
          </cell>
          <cell r="F8">
            <v>43.5</v>
          </cell>
          <cell r="G8">
            <v>32.25</v>
          </cell>
          <cell r="H8">
            <v>38.4375</v>
          </cell>
        </row>
        <row r="9">
          <cell r="A9">
            <v>44470</v>
          </cell>
          <cell r="B9">
            <v>46.25</v>
          </cell>
          <cell r="C9">
            <v>35.299999999999997</v>
          </cell>
          <cell r="D9">
            <v>41.322500000000005</v>
          </cell>
          <cell r="F9">
            <v>43</v>
          </cell>
          <cell r="G9">
            <v>33.75</v>
          </cell>
          <cell r="H9">
            <v>38.837500000000006</v>
          </cell>
        </row>
        <row r="10">
          <cell r="A10">
            <v>44501</v>
          </cell>
          <cell r="B10">
            <v>55.05</v>
          </cell>
          <cell r="C10">
            <v>41.4</v>
          </cell>
          <cell r="D10">
            <v>48.907499999999999</v>
          </cell>
          <cell r="F10">
            <v>52.25</v>
          </cell>
          <cell r="G10">
            <v>39.5</v>
          </cell>
          <cell r="H10">
            <v>46.512500000000003</v>
          </cell>
        </row>
        <row r="11">
          <cell r="A11">
            <v>44531</v>
          </cell>
          <cell r="B11">
            <v>74.38</v>
          </cell>
          <cell r="C11">
            <v>58.25</v>
          </cell>
          <cell r="D11">
            <v>67.121499999999997</v>
          </cell>
          <cell r="F11">
            <v>70.25</v>
          </cell>
          <cell r="G11">
            <v>55.5</v>
          </cell>
          <cell r="H11">
            <v>63.612500000000004</v>
          </cell>
        </row>
        <row r="12">
          <cell r="A12">
            <v>44562</v>
          </cell>
          <cell r="B12">
            <v>106.76</v>
          </cell>
          <cell r="C12">
            <v>84.02</v>
          </cell>
          <cell r="D12">
            <v>96.527000000000015</v>
          </cell>
          <cell r="F12">
            <v>98.5</v>
          </cell>
          <cell r="G12">
            <v>80</v>
          </cell>
          <cell r="H12">
            <v>90.175000000000011</v>
          </cell>
        </row>
        <row r="13">
          <cell r="A13">
            <v>44593</v>
          </cell>
          <cell r="B13">
            <v>102.55</v>
          </cell>
          <cell r="C13">
            <v>80.5</v>
          </cell>
          <cell r="D13">
            <v>92.627499999999998</v>
          </cell>
          <cell r="F13">
            <v>95</v>
          </cell>
          <cell r="G13">
            <v>77</v>
          </cell>
          <cell r="H13">
            <v>86.9</v>
          </cell>
        </row>
        <row r="14">
          <cell r="A14">
            <v>44621</v>
          </cell>
          <cell r="B14">
            <v>62</v>
          </cell>
          <cell r="C14">
            <v>45.51</v>
          </cell>
          <cell r="D14">
            <v>54.579499999999996</v>
          </cell>
          <cell r="F14">
            <v>57.5</v>
          </cell>
          <cell r="G14">
            <v>43.25</v>
          </cell>
          <cell r="H14">
            <v>51.087500000000006</v>
          </cell>
        </row>
        <row r="15">
          <cell r="A15">
            <v>44652</v>
          </cell>
          <cell r="B15">
            <v>41.77</v>
          </cell>
          <cell r="C15">
            <v>31.75</v>
          </cell>
          <cell r="D15">
            <v>37.261000000000003</v>
          </cell>
          <cell r="F15">
            <v>38.75</v>
          </cell>
          <cell r="G15">
            <v>30.25</v>
          </cell>
          <cell r="H15">
            <v>34.924999999999997</v>
          </cell>
        </row>
        <row r="16">
          <cell r="A16">
            <v>44682</v>
          </cell>
          <cell r="B16">
            <v>39.270000000000003</v>
          </cell>
          <cell r="C16">
            <v>29.2</v>
          </cell>
          <cell r="D16">
            <v>34.738500000000002</v>
          </cell>
          <cell r="F16">
            <v>36.25</v>
          </cell>
          <cell r="G16">
            <v>27.75</v>
          </cell>
          <cell r="H16">
            <v>32.424999999999997</v>
          </cell>
        </row>
        <row r="17">
          <cell r="A17">
            <v>44713</v>
          </cell>
          <cell r="B17">
            <v>40.520000000000003</v>
          </cell>
          <cell r="C17">
            <v>29.75</v>
          </cell>
          <cell r="D17">
            <v>35.673500000000004</v>
          </cell>
          <cell r="F17">
            <v>36.5</v>
          </cell>
          <cell r="G17">
            <v>28.25</v>
          </cell>
          <cell r="H17">
            <v>32.787500000000001</v>
          </cell>
        </row>
        <row r="18">
          <cell r="A18">
            <v>44743</v>
          </cell>
          <cell r="B18">
            <v>54.08</v>
          </cell>
          <cell r="C18">
            <v>36.520000000000003</v>
          </cell>
          <cell r="D18">
            <v>46.177999999999997</v>
          </cell>
          <cell r="F18">
            <v>47</v>
          </cell>
          <cell r="G18">
            <v>33.5</v>
          </cell>
          <cell r="H18">
            <v>40.925000000000004</v>
          </cell>
        </row>
        <row r="19">
          <cell r="A19">
            <v>44774</v>
          </cell>
          <cell r="B19">
            <v>50.76</v>
          </cell>
          <cell r="C19">
            <v>34.76</v>
          </cell>
          <cell r="D19">
            <v>43.56</v>
          </cell>
          <cell r="F19">
            <v>44.5</v>
          </cell>
          <cell r="G19">
            <v>32.5</v>
          </cell>
          <cell r="H19">
            <v>39.1</v>
          </cell>
        </row>
        <row r="20">
          <cell r="A20">
            <v>44805</v>
          </cell>
          <cell r="B20">
            <v>41.27</v>
          </cell>
          <cell r="C20">
            <v>29</v>
          </cell>
          <cell r="D20">
            <v>35.748500000000007</v>
          </cell>
          <cell r="F20">
            <v>37.25</v>
          </cell>
          <cell r="G20">
            <v>27.5</v>
          </cell>
          <cell r="H20">
            <v>32.862499999999997</v>
          </cell>
        </row>
        <row r="21">
          <cell r="A21">
            <v>44835</v>
          </cell>
          <cell r="B21">
            <v>38.299999999999997</v>
          </cell>
          <cell r="C21">
            <v>28.25</v>
          </cell>
          <cell r="D21">
            <v>33.777500000000003</v>
          </cell>
          <cell r="F21">
            <v>34.5</v>
          </cell>
          <cell r="G21">
            <v>26.75</v>
          </cell>
          <cell r="H21">
            <v>31.012500000000003</v>
          </cell>
        </row>
        <row r="22">
          <cell r="A22">
            <v>44866</v>
          </cell>
          <cell r="B22">
            <v>45.05</v>
          </cell>
          <cell r="C22">
            <v>35.200000000000003</v>
          </cell>
          <cell r="D22">
            <v>40.6175</v>
          </cell>
          <cell r="F22">
            <v>41.25</v>
          </cell>
          <cell r="G22">
            <v>33.5</v>
          </cell>
          <cell r="H22">
            <v>37.762500000000003</v>
          </cell>
        </row>
        <row r="23">
          <cell r="A23">
            <v>44896</v>
          </cell>
          <cell r="B23">
            <v>61.5</v>
          </cell>
          <cell r="C23">
            <v>48.27</v>
          </cell>
          <cell r="D23">
            <v>55.546500000000009</v>
          </cell>
          <cell r="F23">
            <v>57.25</v>
          </cell>
          <cell r="G23">
            <v>46.25</v>
          </cell>
          <cell r="H23">
            <v>52.300000000000004</v>
          </cell>
        </row>
        <row r="24">
          <cell r="A24">
            <v>44927</v>
          </cell>
          <cell r="B24">
            <v>85.13</v>
          </cell>
          <cell r="C24">
            <v>69.88</v>
          </cell>
          <cell r="D24">
            <v>78.267499999999998</v>
          </cell>
          <cell r="F24">
            <v>77</v>
          </cell>
          <cell r="G24">
            <v>65.75</v>
          </cell>
          <cell r="H24">
            <v>71.9375</v>
          </cell>
        </row>
        <row r="25">
          <cell r="A25">
            <v>44958</v>
          </cell>
          <cell r="B25">
            <v>81</v>
          </cell>
          <cell r="C25">
            <v>66.17</v>
          </cell>
          <cell r="D25">
            <v>74.32650000000001</v>
          </cell>
          <cell r="F25">
            <v>73.5</v>
          </cell>
          <cell r="G25">
            <v>62.75</v>
          </cell>
          <cell r="H25">
            <v>68.662500000000009</v>
          </cell>
        </row>
        <row r="26">
          <cell r="A26">
            <v>44986</v>
          </cell>
          <cell r="B26">
            <v>49.02</v>
          </cell>
          <cell r="C26">
            <v>36.01</v>
          </cell>
          <cell r="D26">
            <v>43.165500000000009</v>
          </cell>
          <cell r="F26">
            <v>44</v>
          </cell>
          <cell r="G26">
            <v>33.75</v>
          </cell>
          <cell r="H26">
            <v>39.387500000000003</v>
          </cell>
        </row>
        <row r="27">
          <cell r="A27">
            <v>45017</v>
          </cell>
          <cell r="B27">
            <v>37.25</v>
          </cell>
          <cell r="C27">
            <v>28.7</v>
          </cell>
          <cell r="D27">
            <v>33.402500000000003</v>
          </cell>
          <cell r="F27">
            <v>33.5</v>
          </cell>
          <cell r="G27">
            <v>27</v>
          </cell>
          <cell r="H27">
            <v>30.575000000000003</v>
          </cell>
        </row>
        <row r="28">
          <cell r="A28">
            <v>45047</v>
          </cell>
          <cell r="B28">
            <v>35.25</v>
          </cell>
          <cell r="C28">
            <v>26.7</v>
          </cell>
          <cell r="D28">
            <v>31.402500000000003</v>
          </cell>
          <cell r="F28">
            <v>31.5</v>
          </cell>
          <cell r="G28">
            <v>25</v>
          </cell>
          <cell r="H28">
            <v>28.575000000000003</v>
          </cell>
        </row>
        <row r="29">
          <cell r="A29">
            <v>45078</v>
          </cell>
          <cell r="B29">
            <v>36.33</v>
          </cell>
          <cell r="C29">
            <v>27.52</v>
          </cell>
          <cell r="D29">
            <v>32.365499999999997</v>
          </cell>
          <cell r="F29">
            <v>32.25</v>
          </cell>
          <cell r="G29">
            <v>25.5</v>
          </cell>
          <cell r="H29">
            <v>29.212499999999999</v>
          </cell>
        </row>
        <row r="30">
          <cell r="A30">
            <v>45108</v>
          </cell>
          <cell r="B30">
            <v>49.83</v>
          </cell>
          <cell r="C30">
            <v>33.770000000000003</v>
          </cell>
          <cell r="D30">
            <v>42.603000000000002</v>
          </cell>
          <cell r="F30">
            <v>42.75</v>
          </cell>
          <cell r="G30">
            <v>30.75</v>
          </cell>
          <cell r="H30">
            <v>37.35</v>
          </cell>
        </row>
        <row r="31">
          <cell r="A31">
            <v>45139</v>
          </cell>
          <cell r="B31">
            <v>46.5</v>
          </cell>
          <cell r="C31">
            <v>32.01</v>
          </cell>
          <cell r="D31">
            <v>39.979500000000002</v>
          </cell>
          <cell r="F31">
            <v>40.25</v>
          </cell>
          <cell r="G31">
            <v>29.75</v>
          </cell>
          <cell r="H31">
            <v>35.525000000000006</v>
          </cell>
        </row>
        <row r="32">
          <cell r="A32">
            <v>45170</v>
          </cell>
          <cell r="B32">
            <v>37.020000000000003</v>
          </cell>
          <cell r="C32">
            <v>26.7</v>
          </cell>
          <cell r="D32">
            <v>32.376000000000005</v>
          </cell>
          <cell r="F32">
            <v>33</v>
          </cell>
          <cell r="G32">
            <v>25</v>
          </cell>
          <cell r="H32">
            <v>29.400000000000002</v>
          </cell>
        </row>
        <row r="33">
          <cell r="A33">
            <v>45200</v>
          </cell>
          <cell r="B33">
            <v>34.270000000000003</v>
          </cell>
          <cell r="C33">
            <v>25.95</v>
          </cell>
          <cell r="D33">
            <v>30.526000000000003</v>
          </cell>
          <cell r="F33">
            <v>30.25</v>
          </cell>
          <cell r="G33">
            <v>24.25</v>
          </cell>
          <cell r="H33">
            <v>27.550000000000004</v>
          </cell>
        </row>
        <row r="34">
          <cell r="A34">
            <v>45231</v>
          </cell>
          <cell r="B34">
            <v>42.27</v>
          </cell>
          <cell r="C34">
            <v>31.7</v>
          </cell>
          <cell r="D34">
            <v>37.513500000000008</v>
          </cell>
          <cell r="F34">
            <v>38.25</v>
          </cell>
          <cell r="G34">
            <v>30</v>
          </cell>
          <cell r="H34">
            <v>34.537500000000001</v>
          </cell>
        </row>
        <row r="35">
          <cell r="A35">
            <v>45261</v>
          </cell>
          <cell r="B35">
            <v>58.08</v>
          </cell>
          <cell r="C35">
            <v>44.83</v>
          </cell>
          <cell r="D35">
            <v>52.117500000000007</v>
          </cell>
          <cell r="F35">
            <v>54</v>
          </cell>
          <cell r="G35">
            <v>42.75</v>
          </cell>
          <cell r="H35">
            <v>48.9375</v>
          </cell>
        </row>
        <row r="36">
          <cell r="A36">
            <v>45292</v>
          </cell>
          <cell r="B36">
            <v>86.26</v>
          </cell>
          <cell r="C36">
            <v>70.260000000000005</v>
          </cell>
          <cell r="D36">
            <v>79.06</v>
          </cell>
          <cell r="F36">
            <v>77</v>
          </cell>
          <cell r="G36">
            <v>66</v>
          </cell>
          <cell r="H36">
            <v>72.05</v>
          </cell>
        </row>
        <row r="37">
          <cell r="A37">
            <v>45323</v>
          </cell>
          <cell r="B37">
            <v>82.52</v>
          </cell>
          <cell r="C37">
            <v>67.08</v>
          </cell>
          <cell r="D37">
            <v>75.572000000000003</v>
          </cell>
          <cell r="F37">
            <v>73.5</v>
          </cell>
          <cell r="G37">
            <v>63</v>
          </cell>
          <cell r="H37">
            <v>68.775000000000006</v>
          </cell>
        </row>
        <row r="38">
          <cell r="A38">
            <v>45352</v>
          </cell>
          <cell r="B38">
            <v>50.58</v>
          </cell>
          <cell r="C38">
            <v>36.950000000000003</v>
          </cell>
          <cell r="D38">
            <v>44.4465</v>
          </cell>
          <cell r="F38">
            <v>44.5</v>
          </cell>
          <cell r="G38">
            <v>34.25</v>
          </cell>
          <cell r="H38">
            <v>39.887500000000003</v>
          </cell>
        </row>
        <row r="39">
          <cell r="A39">
            <v>45383</v>
          </cell>
          <cell r="B39">
            <v>39.020000000000003</v>
          </cell>
          <cell r="C39">
            <v>29.52</v>
          </cell>
          <cell r="D39">
            <v>34.745000000000005</v>
          </cell>
          <cell r="F39">
            <v>34</v>
          </cell>
          <cell r="G39">
            <v>27.5</v>
          </cell>
          <cell r="H39">
            <v>31.075000000000003</v>
          </cell>
        </row>
        <row r="40">
          <cell r="A40">
            <v>45413</v>
          </cell>
          <cell r="B40">
            <v>37.020000000000003</v>
          </cell>
          <cell r="C40">
            <v>27.52</v>
          </cell>
          <cell r="D40">
            <v>32.745000000000005</v>
          </cell>
          <cell r="F40">
            <v>32</v>
          </cell>
          <cell r="G40">
            <v>25.5</v>
          </cell>
          <cell r="H40">
            <v>29.075000000000003</v>
          </cell>
        </row>
        <row r="41">
          <cell r="A41">
            <v>45444</v>
          </cell>
          <cell r="B41">
            <v>38.01</v>
          </cell>
          <cell r="C41">
            <v>28.2</v>
          </cell>
          <cell r="D41">
            <v>33.595500000000001</v>
          </cell>
          <cell r="F41">
            <v>32.75</v>
          </cell>
          <cell r="G41">
            <v>26</v>
          </cell>
          <cell r="H41">
            <v>29.712500000000006</v>
          </cell>
        </row>
        <row r="42">
          <cell r="A42">
            <v>45474</v>
          </cell>
          <cell r="B42">
            <v>52.27</v>
          </cell>
          <cell r="C42">
            <v>34.51</v>
          </cell>
          <cell r="D42">
            <v>44.278000000000006</v>
          </cell>
          <cell r="F42">
            <v>43.25</v>
          </cell>
          <cell r="G42">
            <v>31.25</v>
          </cell>
          <cell r="H42">
            <v>37.85</v>
          </cell>
        </row>
        <row r="43">
          <cell r="A43">
            <v>45505</v>
          </cell>
          <cell r="B43">
            <v>48</v>
          </cell>
          <cell r="C43">
            <v>33.33</v>
          </cell>
          <cell r="D43">
            <v>41.398499999999999</v>
          </cell>
          <cell r="F43">
            <v>40.75</v>
          </cell>
          <cell r="G43">
            <v>30.25</v>
          </cell>
          <cell r="H43">
            <v>36.025000000000006</v>
          </cell>
        </row>
        <row r="44">
          <cell r="A44">
            <v>45536</v>
          </cell>
          <cell r="B44">
            <v>38.630000000000003</v>
          </cell>
          <cell r="C44">
            <v>27.52</v>
          </cell>
          <cell r="D44">
            <v>33.630500000000005</v>
          </cell>
          <cell r="F44">
            <v>33.5</v>
          </cell>
          <cell r="G44">
            <v>25.5</v>
          </cell>
          <cell r="H44">
            <v>29.9</v>
          </cell>
        </row>
        <row r="45">
          <cell r="A45">
            <v>45566</v>
          </cell>
          <cell r="B45">
            <v>35.880000000000003</v>
          </cell>
          <cell r="C45">
            <v>26.77</v>
          </cell>
          <cell r="D45">
            <v>31.780500000000004</v>
          </cell>
          <cell r="F45">
            <v>30.75</v>
          </cell>
          <cell r="G45">
            <v>24.75</v>
          </cell>
          <cell r="H45">
            <v>28.050000000000004</v>
          </cell>
        </row>
        <row r="46">
          <cell r="A46">
            <v>45597</v>
          </cell>
          <cell r="B46">
            <v>43.88</v>
          </cell>
          <cell r="C46">
            <v>32.520000000000003</v>
          </cell>
          <cell r="D46">
            <v>38.768000000000008</v>
          </cell>
          <cell r="F46">
            <v>38.75</v>
          </cell>
          <cell r="G46">
            <v>30.5</v>
          </cell>
          <cell r="H46">
            <v>35.037500000000001</v>
          </cell>
        </row>
        <row r="47">
          <cell r="A47">
            <v>45627</v>
          </cell>
          <cell r="B47">
            <v>60.01</v>
          </cell>
          <cell r="C47">
            <v>45.45</v>
          </cell>
          <cell r="D47">
            <v>53.458000000000006</v>
          </cell>
          <cell r="F47">
            <v>54.75</v>
          </cell>
          <cell r="G47">
            <v>43.25</v>
          </cell>
          <cell r="H47">
            <v>49.575000000000003</v>
          </cell>
        </row>
        <row r="48">
          <cell r="A48">
            <v>45658</v>
          </cell>
          <cell r="B48">
            <v>93.892598240834545</v>
          </cell>
          <cell r="C48">
            <v>76.738618612878938</v>
          </cell>
          <cell r="D48">
            <v>86.17330740825453</v>
          </cell>
          <cell r="F48">
            <v>81.697579656862743</v>
          </cell>
          <cell r="G48">
            <v>71.668702812358504</v>
          </cell>
          <cell r="H48">
            <v>77.184585076835845</v>
          </cell>
        </row>
        <row r="49">
          <cell r="A49">
            <v>45689</v>
          </cell>
          <cell r="B49">
            <v>89.821669450888777</v>
          </cell>
          <cell r="C49">
            <v>73.265393346881851</v>
          </cell>
          <cell r="D49">
            <v>82.371345204085671</v>
          </cell>
          <cell r="F49">
            <v>77.984053308823533</v>
          </cell>
          <cell r="G49">
            <v>68.411034502705846</v>
          </cell>
          <cell r="H49">
            <v>73.676194846070587</v>
          </cell>
        </row>
        <row r="50">
          <cell r="A50">
            <v>45717</v>
          </cell>
          <cell r="B50">
            <v>55.05550219129853</v>
          </cell>
          <cell r="C50">
            <v>40.357130056161068</v>
          </cell>
          <cell r="D50">
            <v>48.441234730486677</v>
          </cell>
          <cell r="F50">
            <v>47.214834996498602</v>
          </cell>
          <cell r="G50">
            <v>37.191713201867856</v>
          </cell>
          <cell r="H50">
            <v>42.70443018891477</v>
          </cell>
        </row>
        <row r="51">
          <cell r="A51">
            <v>45748</v>
          </cell>
          <cell r="B51">
            <v>42.472631386011635</v>
          </cell>
          <cell r="C51">
            <v>32.242015676803106</v>
          </cell>
          <cell r="D51">
            <v>37.868854316867797</v>
          </cell>
          <cell r="F51">
            <v>36.074255952380959</v>
          </cell>
          <cell r="G51">
            <v>29.861959505149379</v>
          </cell>
          <cell r="H51">
            <v>33.278722551126748</v>
          </cell>
        </row>
        <row r="52">
          <cell r="A52">
            <v>45778</v>
          </cell>
          <cell r="B52">
            <v>40.295664118660966</v>
          </cell>
          <cell r="C52">
            <v>30.057597270515636</v>
          </cell>
          <cell r="D52">
            <v>35.68853403699557</v>
          </cell>
          <cell r="F52">
            <v>33.952240896358546</v>
          </cell>
          <cell r="G52">
            <v>27.690180632047603</v>
          </cell>
          <cell r="H52">
            <v>31.134313777418626</v>
          </cell>
        </row>
        <row r="53">
          <cell r="A53">
            <v>45809</v>
          </cell>
          <cell r="B53">
            <v>41.373262915999547</v>
          </cell>
          <cell r="C53">
            <v>30.800299528653376</v>
          </cell>
          <cell r="D53">
            <v>36.615429391693773</v>
          </cell>
          <cell r="F53">
            <v>34.747996542366948</v>
          </cell>
          <cell r="G53">
            <v>28.233125350323046</v>
          </cell>
          <cell r="H53">
            <v>31.816304505947194</v>
          </cell>
        </row>
        <row r="54">
          <cell r="A54">
            <v>45839</v>
          </cell>
          <cell r="B54">
            <v>56.895039532209857</v>
          </cell>
          <cell r="C54">
            <v>37.69213960049035</v>
          </cell>
          <cell r="D54">
            <v>48.253734562936081</v>
          </cell>
          <cell r="F54">
            <v>45.888575586484599</v>
          </cell>
          <cell r="G54">
            <v>33.934044892215198</v>
          </cell>
          <cell r="H54">
            <v>40.509036774063368</v>
          </cell>
        </row>
        <row r="55">
          <cell r="A55">
            <v>45870</v>
          </cell>
          <cell r="B55">
            <v>52.247214416416163</v>
          </cell>
          <cell r="C55">
            <v>36.403332740780741</v>
          </cell>
          <cell r="D55">
            <v>45.117467662380221</v>
          </cell>
          <cell r="F55">
            <v>43.236056766456585</v>
          </cell>
          <cell r="G55">
            <v>32.848155455664319</v>
          </cell>
          <cell r="H55">
            <v>38.561501176600068</v>
          </cell>
        </row>
        <row r="56">
          <cell r="A56">
            <v>45901</v>
          </cell>
          <cell r="B56">
            <v>42.048122768878265</v>
          </cell>
          <cell r="C56">
            <v>30.057597270515636</v>
          </cell>
          <cell r="D56">
            <v>36.652386294615084</v>
          </cell>
          <cell r="F56">
            <v>35.54375218837535</v>
          </cell>
          <cell r="G56">
            <v>27.690180632047603</v>
          </cell>
          <cell r="H56">
            <v>32.009644988027866</v>
          </cell>
        </row>
        <row r="57">
          <cell r="A57">
            <v>45931</v>
          </cell>
          <cell r="B57">
            <v>39.054792776271086</v>
          </cell>
          <cell r="C57">
            <v>29.238440368157828</v>
          </cell>
          <cell r="D57">
            <v>34.63743419262012</v>
          </cell>
          <cell r="F57">
            <v>32.625981486344543</v>
          </cell>
          <cell r="G57">
            <v>26.875763554634439</v>
          </cell>
          <cell r="H57">
            <v>30.038383417075</v>
          </cell>
        </row>
        <row r="58">
          <cell r="A58">
            <v>45962</v>
          </cell>
          <cell r="B58">
            <v>47.762661845673783</v>
          </cell>
          <cell r="C58">
            <v>35.518643286234322</v>
          </cell>
          <cell r="D58">
            <v>42.252853493926025</v>
          </cell>
          <cell r="F58">
            <v>41.114041710434172</v>
          </cell>
          <cell r="G58">
            <v>33.119627814802037</v>
          </cell>
          <cell r="H58">
            <v>37.516555457399711</v>
          </cell>
        </row>
        <row r="59">
          <cell r="A59">
            <v>45992</v>
          </cell>
          <cell r="B59">
            <v>65.319902856856956</v>
          </cell>
          <cell r="C59">
            <v>49.640908282882833</v>
          </cell>
          <cell r="D59">
            <v>58.264355298568603</v>
          </cell>
          <cell r="F59">
            <v>58.090162158613452</v>
          </cell>
          <cell r="G59">
            <v>46.964718130825837</v>
          </cell>
          <cell r="H59">
            <v>53.083712346109024</v>
          </cell>
        </row>
        <row r="60">
          <cell r="A60">
            <v>46023</v>
          </cell>
          <cell r="B60">
            <v>94.011507329515766</v>
          </cell>
          <cell r="C60">
            <v>76.778842731417953</v>
          </cell>
          <cell r="D60">
            <v>86.256808260371741</v>
          </cell>
          <cell r="F60">
            <v>82.797579656862737</v>
          </cell>
          <cell r="G60">
            <v>77.498929033776605</v>
          </cell>
          <cell r="H60">
            <v>80.413186876473986</v>
          </cell>
        </row>
        <row r="61">
          <cell r="A61">
            <v>46054</v>
          </cell>
          <cell r="B61">
            <v>89.935422963501509</v>
          </cell>
          <cell r="C61">
            <v>73.303796903266672</v>
          </cell>
          <cell r="D61">
            <v>82.451191236395829</v>
          </cell>
          <cell r="F61">
            <v>79.03405330882353</v>
          </cell>
          <cell r="G61">
            <v>73.976250441332212</v>
          </cell>
          <cell r="H61">
            <v>76.758042018452443</v>
          </cell>
        </row>
        <row r="62">
          <cell r="A62">
            <v>46082</v>
          </cell>
          <cell r="B62">
            <v>55.125226532887858</v>
          </cell>
          <cell r="C62">
            <v>40.378284072386755</v>
          </cell>
          <cell r="D62">
            <v>48.489102425662367</v>
          </cell>
          <cell r="F62">
            <v>47.850549282212882</v>
          </cell>
          <cell r="G62">
            <v>40.217247263740127</v>
          </cell>
          <cell r="H62">
            <v>44.415563373900142</v>
          </cell>
        </row>
        <row r="63">
          <cell r="A63">
            <v>46113</v>
          </cell>
          <cell r="B63">
            <v>42.526420310662004</v>
          </cell>
          <cell r="C63">
            <v>32.258915989630772</v>
          </cell>
          <cell r="D63">
            <v>37.906043366197949</v>
          </cell>
          <cell r="F63">
            <v>36.559970238095239</v>
          </cell>
          <cell r="G63">
            <v>32.291220430740253</v>
          </cell>
          <cell r="H63">
            <v>34.639032824785495</v>
          </cell>
        </row>
        <row r="64">
          <cell r="A64">
            <v>46143</v>
          </cell>
          <cell r="B64">
            <v>40.346696050761345</v>
          </cell>
          <cell r="C64">
            <v>30.073352575699147</v>
          </cell>
          <cell r="D64">
            <v>35.723691486983356</v>
          </cell>
          <cell r="F64">
            <v>34.409383753501402</v>
          </cell>
          <cell r="G64">
            <v>29.942768035777323</v>
          </cell>
          <cell r="H64">
            <v>32.399406680525566</v>
          </cell>
        </row>
        <row r="65">
          <cell r="A65">
            <v>46174</v>
          </cell>
          <cell r="B65">
            <v>41.425659559412175</v>
          </cell>
          <cell r="C65">
            <v>30.816444136435905</v>
          </cell>
          <cell r="D65">
            <v>36.651512619072854</v>
          </cell>
          <cell r="F65">
            <v>35.21585368522409</v>
          </cell>
          <cell r="G65">
            <v>30.529881134518057</v>
          </cell>
          <cell r="H65">
            <v>33.107166037406373</v>
          </cell>
        </row>
        <row r="66">
          <cell r="A66">
            <v>46204</v>
          </cell>
          <cell r="B66">
            <v>56.967093532503938</v>
          </cell>
          <cell r="C66">
            <v>37.711896707390167</v>
          </cell>
          <cell r="D66">
            <v>48.302254961202749</v>
          </cell>
          <cell r="F66">
            <v>46.506432729341739</v>
          </cell>
          <cell r="G66">
            <v>36.694568671295741</v>
          </cell>
          <cell r="H66">
            <v>42.091093903221036</v>
          </cell>
        </row>
        <row r="67">
          <cell r="A67">
            <v>46235</v>
          </cell>
          <cell r="B67">
            <v>52.313382237616004</v>
          </cell>
          <cell r="C67">
            <v>36.422414293170512</v>
          </cell>
          <cell r="D67">
            <v>45.162446662615537</v>
          </cell>
          <cell r="F67">
            <v>43.818199623599433</v>
          </cell>
          <cell r="G67">
            <v>35.520342473814281</v>
          </cell>
          <cell r="H67">
            <v>40.084163906196117</v>
          </cell>
        </row>
        <row r="68">
          <cell r="A68">
            <v>46266</v>
          </cell>
          <cell r="B68">
            <v>42.10137407998139</v>
          </cell>
          <cell r="C68">
            <v>30.073352575699147</v>
          </cell>
          <cell r="D68">
            <v>36.688764403054378</v>
          </cell>
          <cell r="F68">
            <v>36.022323616946771</v>
          </cell>
          <cell r="G68">
            <v>29.942768035777323</v>
          </cell>
          <cell r="H68">
            <v>33.28652360542052</v>
          </cell>
        </row>
        <row r="69">
          <cell r="A69">
            <v>46296</v>
          </cell>
          <cell r="B69">
            <v>39.10425322261797</v>
          </cell>
          <cell r="C69">
            <v>29.253766295474783</v>
          </cell>
          <cell r="D69">
            <v>34.671534105403538</v>
          </cell>
          <cell r="F69">
            <v>33.065267200630252</v>
          </cell>
          <cell r="G69">
            <v>29.062098387666229</v>
          </cell>
          <cell r="H69">
            <v>31.263841234796445</v>
          </cell>
        </row>
        <row r="70">
          <cell r="A70">
            <v>46327</v>
          </cell>
          <cell r="B70">
            <v>47.823150262220643</v>
          </cell>
          <cell r="C70">
            <v>35.537261110528213</v>
          </cell>
          <cell r="D70">
            <v>42.294500143959048</v>
          </cell>
          <cell r="F70">
            <v>41.667613139005596</v>
          </cell>
          <cell r="G70">
            <v>35.813899023184646</v>
          </cell>
          <cell r="H70">
            <v>39.033441786886172</v>
          </cell>
        </row>
        <row r="71">
          <cell r="A71">
            <v>46357</v>
          </cell>
          <cell r="B71">
            <v>65.402626418319514</v>
          </cell>
          <cell r="C71">
            <v>49.666928581596153</v>
          </cell>
          <cell r="D71">
            <v>58.321562391794004</v>
          </cell>
          <cell r="F71">
            <v>58.872305015756304</v>
          </cell>
          <cell r="G71">
            <v>50.785283041073306</v>
          </cell>
          <cell r="H71">
            <v>55.233145127148958</v>
          </cell>
        </row>
        <row r="72">
          <cell r="A72" t="str">
            <v>Totals</v>
          </cell>
          <cell r="D72">
            <v>47.597035714285724</v>
          </cell>
          <cell r="H72">
            <v>43.975446428571438</v>
          </cell>
        </row>
        <row r="74">
          <cell r="A74" t="str">
            <v>NOTE:</v>
          </cell>
          <cell r="B74" t="str">
            <v>Energy Prices are based on forward prices as of:</v>
          </cell>
          <cell r="G74">
            <v>44446</v>
          </cell>
        </row>
        <row r="107">
          <cell r="F107" t="str">
            <v>Energy Prices based on forward prices as of:</v>
          </cell>
        </row>
        <row r="108">
          <cell r="F108" t="str">
            <v>Forecast Ancillary Services, and NTAC are based on 5-year average of actual settled prices</v>
          </cell>
        </row>
        <row r="109">
          <cell r="F109" t="str">
            <v>IP2 Contract Cost is ICAP.</v>
          </cell>
        </row>
        <row r="110">
          <cell r="F110" t="str">
            <v>Market capacity rates are based on demand curve projections.</v>
          </cell>
        </row>
        <row r="111">
          <cell r="F111" t="str">
            <v>Effective capacity rates are based on demand curve projections and include the impact of projected excess capacity purchases.</v>
          </cell>
        </row>
      </sheetData>
      <sheetData sheetId="1" refreshError="1"/>
      <sheetData sheetId="2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AD SHEET"/>
      <sheetName val="Data"/>
    </sheetNames>
    <sheetDataSet>
      <sheetData sheetId="0" refreshError="1"/>
      <sheetData sheetId="1">
        <row r="64">
          <cell r="A64">
            <v>44197</v>
          </cell>
          <cell r="B64">
            <v>0.6182240617809458</v>
          </cell>
          <cell r="C64">
            <v>2.5881427034556168</v>
          </cell>
          <cell r="D64">
            <v>1.7028115258418337</v>
          </cell>
          <cell r="E64">
            <v>0.79945791535436617</v>
          </cell>
        </row>
        <row r="65">
          <cell r="A65">
            <v>44228</v>
          </cell>
          <cell r="B65">
            <v>0.90456620269594767</v>
          </cell>
          <cell r="C65">
            <v>3.1216632015650263</v>
          </cell>
          <cell r="D65">
            <v>1.7853674561782602</v>
          </cell>
          <cell r="E65">
            <v>0.73965765969138664</v>
          </cell>
        </row>
        <row r="66">
          <cell r="A66">
            <v>44256</v>
          </cell>
          <cell r="B66">
            <v>1.011023126708783</v>
          </cell>
          <cell r="C66">
            <v>2.7717188577260541</v>
          </cell>
          <cell r="D66">
            <v>1.466728885034108</v>
          </cell>
          <cell r="E66">
            <v>-1.2694770323169102</v>
          </cell>
        </row>
        <row r="67">
          <cell r="A67">
            <v>44287</v>
          </cell>
          <cell r="B67">
            <v>0.98664720147433105</v>
          </cell>
          <cell r="C67">
            <v>2.6989683947592686</v>
          </cell>
          <cell r="D67">
            <v>1.678537027110782</v>
          </cell>
          <cell r="E67">
            <v>-0.18542346994980566</v>
          </cell>
        </row>
        <row r="68">
          <cell r="A68">
            <v>44317</v>
          </cell>
          <cell r="B68">
            <v>1.0683823828887373</v>
          </cell>
          <cell r="C68">
            <v>2.3918436189611931</v>
          </cell>
          <cell r="D68">
            <v>2.0716438058282072</v>
          </cell>
          <cell r="E68">
            <v>1.3965211536427045</v>
          </cell>
        </row>
        <row r="69">
          <cell r="A69">
            <v>44348</v>
          </cell>
          <cell r="B69">
            <v>0.91213177222352226</v>
          </cell>
          <cell r="C69">
            <v>2.6083734872135524</v>
          </cell>
          <cell r="D69">
            <v>2.7246112928503834</v>
          </cell>
          <cell r="E69">
            <v>1.3499790252545205</v>
          </cell>
        </row>
        <row r="70">
          <cell r="A70">
            <v>44378</v>
          </cell>
          <cell r="B70">
            <v>0.70053908425083733</v>
          </cell>
          <cell r="C70">
            <v>2.213206916402616</v>
          </cell>
          <cell r="D70">
            <v>2.735699619541216</v>
          </cell>
          <cell r="E70">
            <v>-2.9673083292208195E-2</v>
          </cell>
        </row>
        <row r="71">
          <cell r="A71">
            <v>44409</v>
          </cell>
          <cell r="B71">
            <v>0.55954738010758132</v>
          </cell>
          <cell r="C71">
            <v>3.0289712151132213</v>
          </cell>
          <cell r="D71">
            <v>2.5483770687574321</v>
          </cell>
          <cell r="E71">
            <v>1.7044350722992214</v>
          </cell>
        </row>
        <row r="72">
          <cell r="A72">
            <v>44440</v>
          </cell>
          <cell r="B72">
            <v>0.51099234866171384</v>
          </cell>
          <cell r="C72">
            <v>3.0687306563066983</v>
          </cell>
          <cell r="D72">
            <v>1.7047530120461947</v>
          </cell>
          <cell r="E72">
            <v>0.94881039861538463</v>
          </cell>
        </row>
        <row r="73">
          <cell r="A73">
            <v>44470</v>
          </cell>
          <cell r="B73">
            <v>0.52362095113212925</v>
          </cell>
          <cell r="C73">
            <v>2.914923713066655</v>
          </cell>
          <cell r="D73">
            <v>1.283318618207141</v>
          </cell>
          <cell r="E73">
            <v>0.8633008425883989</v>
          </cell>
        </row>
        <row r="74">
          <cell r="A74">
            <v>44501</v>
          </cell>
          <cell r="B74">
            <v>0.50325385351892993</v>
          </cell>
          <cell r="C74">
            <v>3.0962927315628628</v>
          </cell>
          <cell r="D74">
            <v>1.2794260121565406</v>
          </cell>
          <cell r="E74">
            <v>1.0158632454920915</v>
          </cell>
        </row>
        <row r="75">
          <cell r="A75">
            <v>44531</v>
          </cell>
          <cell r="B75">
            <v>0.52662396956252444</v>
          </cell>
          <cell r="C75">
            <v>2.6841220503130319</v>
          </cell>
          <cell r="D75">
            <v>1.3587649347253965</v>
          </cell>
          <cell r="E75">
            <v>0.69340473788730739</v>
          </cell>
        </row>
        <row r="76">
          <cell r="A76">
            <v>44562</v>
          </cell>
          <cell r="B76">
            <v>0.53684112430954456</v>
          </cell>
          <cell r="C76">
            <v>2.5392835416187323</v>
          </cell>
          <cell r="D76">
            <v>1.4392772331691468</v>
          </cell>
          <cell r="E76">
            <v>0.46676461654754486</v>
          </cell>
        </row>
        <row r="77">
          <cell r="A77">
            <v>44593</v>
          </cell>
          <cell r="B77">
            <v>0.59873378511529685</v>
          </cell>
          <cell r="C77">
            <v>2.563680928096709</v>
          </cell>
          <cell r="D77">
            <v>1.4363310966375109</v>
          </cell>
          <cell r="E77">
            <v>0.2333530625017402</v>
          </cell>
        </row>
        <row r="78">
          <cell r="A78">
            <v>44621</v>
          </cell>
          <cell r="B78">
            <v>0.66378819725020244</v>
          </cell>
          <cell r="C78">
            <v>2.4265158035193979</v>
          </cell>
          <cell r="D78">
            <v>1.4132312112379308</v>
          </cell>
          <cell r="E78">
            <v>-0.38241660825106638</v>
          </cell>
        </row>
        <row r="79">
          <cell r="A79">
            <v>44652</v>
          </cell>
          <cell r="B79">
            <v>0.71403978809864987</v>
          </cell>
          <cell r="C79">
            <v>2.417342849187647</v>
          </cell>
          <cell r="D79">
            <v>1.4987574329567994</v>
          </cell>
          <cell r="E79">
            <v>-0.14101611773963885</v>
          </cell>
        </row>
        <row r="80">
          <cell r="A80">
            <v>44682</v>
          </cell>
          <cell r="B80">
            <v>0.77967275778797474</v>
          </cell>
          <cell r="C80">
            <v>2.3600536347885561</v>
          </cell>
          <cell r="D80">
            <v>1.6243315253025958</v>
          </cell>
          <cell r="E80">
            <v>0.72967305927254777</v>
          </cell>
        </row>
        <row r="81">
          <cell r="A81">
            <v>44713</v>
          </cell>
          <cell r="B81">
            <v>0.74643048432717574</v>
          </cell>
          <cell r="C81">
            <v>2.2025706507217993</v>
          </cell>
          <cell r="D81">
            <v>1.8033406756287635</v>
          </cell>
          <cell r="E81">
            <v>1.0212575335929375</v>
          </cell>
        </row>
        <row r="82">
          <cell r="A82">
            <v>44743</v>
          </cell>
          <cell r="B82">
            <v>0.6439690360925121</v>
          </cell>
          <cell r="C82">
            <v>2.006568597170185</v>
          </cell>
          <cell r="D82">
            <v>1.9684837964437871</v>
          </cell>
          <cell r="E82">
            <v>0.55800971991079151</v>
          </cell>
        </row>
        <row r="83">
          <cell r="A83">
            <v>44774</v>
          </cell>
          <cell r="B83">
            <v>0.56337119767005928</v>
          </cell>
          <cell r="C83">
            <v>2.2481003140051428</v>
          </cell>
          <cell r="D83">
            <v>1.9434958460244474</v>
          </cell>
          <cell r="E83">
            <v>0.75328718625706459</v>
          </cell>
        </row>
        <row r="84">
          <cell r="A84">
            <v>44805</v>
          </cell>
          <cell r="B84">
            <v>0.53735904613227914</v>
          </cell>
          <cell r="C84">
            <v>2.60131629675681</v>
          </cell>
          <cell r="D84">
            <v>1.64658229567196</v>
          </cell>
          <cell r="E84">
            <v>0.55227616802075796</v>
          </cell>
        </row>
        <row r="85">
          <cell r="A85">
            <v>44835</v>
          </cell>
          <cell r="B85">
            <v>0.55018601849215876</v>
          </cell>
          <cell r="C85">
            <v>2.5050115156847239</v>
          </cell>
          <cell r="D85">
            <v>1.3844063255996175</v>
          </cell>
          <cell r="E85">
            <v>0.62410859483165559</v>
          </cell>
        </row>
        <row r="86">
          <cell r="A86">
            <v>44866</v>
          </cell>
          <cell r="B86">
            <v>0.52901375516078042</v>
          </cell>
          <cell r="C86">
            <v>2.8086645274480544</v>
          </cell>
          <cell r="D86">
            <v>1.3217636213207875</v>
          </cell>
          <cell r="E86">
            <v>0.91854397495874673</v>
          </cell>
        </row>
        <row r="87">
          <cell r="A87">
            <v>44896</v>
          </cell>
          <cell r="B87">
            <v>0.57180971122121549</v>
          </cell>
          <cell r="C87">
            <v>2.3940047927204064</v>
          </cell>
          <cell r="D87">
            <v>1.4262759258022013</v>
          </cell>
          <cell r="E87">
            <v>0.83248765078979181</v>
          </cell>
        </row>
        <row r="88">
          <cell r="A88">
            <v>44927</v>
          </cell>
          <cell r="B88">
            <v>0.57467115213323039</v>
          </cell>
          <cell r="C88">
            <v>2.190092661106168</v>
          </cell>
          <cell r="D88">
            <v>1.4986601526538457</v>
          </cell>
          <cell r="E88">
            <v>0.73279945837037364</v>
          </cell>
        </row>
        <row r="89">
          <cell r="A89">
            <v>44958</v>
          </cell>
          <cell r="B89">
            <v>0.66316057301942632</v>
          </cell>
          <cell r="C89">
            <v>2.1405573660157069</v>
          </cell>
          <cell r="D89">
            <v>1.5547547145308656</v>
          </cell>
          <cell r="E89">
            <v>0.60965240973346857</v>
          </cell>
        </row>
        <row r="90">
          <cell r="A90">
            <v>44986</v>
          </cell>
          <cell r="B90">
            <v>0.75028311749945953</v>
          </cell>
          <cell r="C90">
            <v>1.9511345173294701</v>
          </cell>
          <cell r="D90">
            <v>1.4973673813334425</v>
          </cell>
          <cell r="E90">
            <v>-0.10814720527525989</v>
          </cell>
        </row>
        <row r="91">
          <cell r="A91">
            <v>45017</v>
          </cell>
          <cell r="B91">
            <v>0.80031330614297502</v>
          </cell>
          <cell r="C91">
            <v>1.8294733222582187</v>
          </cell>
          <cell r="D91">
            <v>1.5430073056836164</v>
          </cell>
          <cell r="E91">
            <v>-0.13568349955999107</v>
          </cell>
        </row>
        <row r="92">
          <cell r="A92">
            <v>45047</v>
          </cell>
          <cell r="B92">
            <v>0.86217043824066553</v>
          </cell>
          <cell r="C92">
            <v>1.6406971893973687</v>
          </cell>
          <cell r="D92">
            <v>1.6954974856245091</v>
          </cell>
          <cell r="E92">
            <v>0.46370680344881759</v>
          </cell>
        </row>
        <row r="93">
          <cell r="A93">
            <v>45078</v>
          </cell>
          <cell r="B93">
            <v>0.84572578325800718</v>
          </cell>
          <cell r="C93">
            <v>1.6084440650448477</v>
          </cell>
          <cell r="D93">
            <v>1.9797367349320414</v>
          </cell>
          <cell r="E93">
            <v>0.82466254143627327</v>
          </cell>
        </row>
        <row r="94">
          <cell r="A94">
            <v>45108</v>
          </cell>
          <cell r="B94">
            <v>0.75898992171484092</v>
          </cell>
          <cell r="C94">
            <v>1.5230388808297868</v>
          </cell>
          <cell r="D94">
            <v>2.1659142214622715</v>
          </cell>
          <cell r="E94">
            <v>0.54441542987278246</v>
          </cell>
        </row>
        <row r="95">
          <cell r="A95">
            <v>45139</v>
          </cell>
          <cell r="B95">
            <v>0.66022460530183058</v>
          </cell>
          <cell r="C95">
            <v>1.8000576782500741</v>
          </cell>
          <cell r="D95">
            <v>2.2059253394266056</v>
          </cell>
          <cell r="E95">
            <v>0.88663827957546282</v>
          </cell>
        </row>
        <row r="96">
          <cell r="A96">
            <v>45170</v>
          </cell>
          <cell r="B96">
            <v>0.59220015134941351</v>
          </cell>
          <cell r="C96">
            <v>2.0554527286924156</v>
          </cell>
          <cell r="D96">
            <v>1.9407964966428415</v>
          </cell>
          <cell r="E96">
            <v>0.818590781446767</v>
          </cell>
        </row>
        <row r="97">
          <cell r="A97">
            <v>45200</v>
          </cell>
          <cell r="B97">
            <v>0.5645518180807787</v>
          </cell>
          <cell r="C97">
            <v>2.1142584291279807</v>
          </cell>
          <cell r="D97">
            <v>1.6373294842731103</v>
          </cell>
          <cell r="E97">
            <v>0.7811477500783971</v>
          </cell>
        </row>
        <row r="98">
          <cell r="A98">
            <v>45231</v>
          </cell>
          <cell r="B98">
            <v>0.54034281121031691</v>
          </cell>
          <cell r="C98">
            <v>2.2753016271467921</v>
          </cell>
          <cell r="D98">
            <v>1.4689621505058872</v>
          </cell>
          <cell r="E98">
            <v>0.87417568015190805</v>
          </cell>
        </row>
        <row r="99">
          <cell r="A99">
            <v>45261</v>
          </cell>
          <cell r="B99">
            <v>0.54477982580109341</v>
          </cell>
          <cell r="C99">
            <v>2.1325741041358208</v>
          </cell>
          <cell r="D99">
            <v>1.4307412903848431</v>
          </cell>
          <cell r="E99">
            <v>0.81856093724522883</v>
          </cell>
        </row>
        <row r="100">
          <cell r="A100">
            <v>45292</v>
          </cell>
          <cell r="B100">
            <v>0.55026798201124039</v>
          </cell>
          <cell r="C100">
            <v>1.9707530336384416</v>
          </cell>
          <cell r="D100">
            <v>1.4498549916481696</v>
          </cell>
          <cell r="E100">
            <v>0.70917148735209401</v>
          </cell>
        </row>
        <row r="101">
          <cell r="A101">
            <v>45323</v>
          </cell>
          <cell r="B101">
            <v>0.59060758053930096</v>
          </cell>
          <cell r="C101">
            <v>1.845962500813644</v>
          </cell>
          <cell r="D101">
            <v>1.4726989486161788</v>
          </cell>
          <cell r="E101">
            <v>0.56533711173484913</v>
          </cell>
        </row>
        <row r="102">
          <cell r="A102">
            <v>45352</v>
          </cell>
          <cell r="B102">
            <v>0.64882161895706592</v>
          </cell>
          <cell r="C102">
            <v>1.6638760019316234</v>
          </cell>
          <cell r="D102">
            <v>1.4639991224509328</v>
          </cell>
          <cell r="E102">
            <v>0.160027602485843</v>
          </cell>
        </row>
        <row r="103">
          <cell r="A103">
            <v>45383</v>
          </cell>
          <cell r="B103">
            <v>0.70299908303893921</v>
          </cell>
          <cell r="C103">
            <v>1.5150537702668718</v>
          </cell>
          <cell r="D103">
            <v>1.4924407458855704</v>
          </cell>
          <cell r="E103">
            <v>1.0838896918014027E-2</v>
          </cell>
        </row>
        <row r="104">
          <cell r="A104">
            <v>45413</v>
          </cell>
          <cell r="B104">
            <v>0.76196034052662964</v>
          </cell>
          <cell r="C104">
            <v>1.347253792172757</v>
          </cell>
          <cell r="D104">
            <v>1.5761776256745614</v>
          </cell>
          <cell r="E104">
            <v>0.30376441413934835</v>
          </cell>
        </row>
        <row r="105">
          <cell r="A105">
            <v>45444</v>
          </cell>
          <cell r="B105">
            <v>0.77901923715961052</v>
          </cell>
          <cell r="C105">
            <v>1.2283415081317446</v>
          </cell>
          <cell r="D105">
            <v>1.7338581654774821</v>
          </cell>
          <cell r="E105">
            <v>0.61336222582697686</v>
          </cell>
        </row>
        <row r="106">
          <cell r="A106">
            <v>45474</v>
          </cell>
          <cell r="B106">
            <v>0.74024935803164349</v>
          </cell>
          <cell r="C106">
            <v>1.1458328841140268</v>
          </cell>
          <cell r="D106">
            <v>1.9005285872152557</v>
          </cell>
          <cell r="E106">
            <v>0.58228740035938187</v>
          </cell>
        </row>
        <row r="107">
          <cell r="A107">
            <v>45505</v>
          </cell>
          <cell r="B107">
            <v>0.67602362975879426</v>
          </cell>
          <cell r="C107">
            <v>1.2790569893778452</v>
          </cell>
          <cell r="D107">
            <v>1.9876195899703912</v>
          </cell>
          <cell r="E107">
            <v>0.70112506663782281</v>
          </cell>
        </row>
        <row r="108">
          <cell r="A108">
            <v>45536</v>
          </cell>
          <cell r="B108">
            <v>0.62040161424982032</v>
          </cell>
          <cell r="C108">
            <v>1.5213309516808058</v>
          </cell>
          <cell r="D108">
            <v>1.890654493063896</v>
          </cell>
          <cell r="E108">
            <v>0.69327927068579265</v>
          </cell>
        </row>
        <row r="109">
          <cell r="A109">
            <v>45566</v>
          </cell>
          <cell r="B109">
            <v>0.58888526626814452</v>
          </cell>
          <cell r="C109">
            <v>1.6367985029003447</v>
          </cell>
          <cell r="D109">
            <v>1.7007611990001299</v>
          </cell>
          <cell r="E109">
            <v>0.69795372157040947</v>
          </cell>
        </row>
        <row r="110">
          <cell r="A110">
            <v>45597</v>
          </cell>
          <cell r="B110">
            <v>0.56178177472684654</v>
          </cell>
          <cell r="C110">
            <v>1.8220516485061096</v>
          </cell>
          <cell r="D110">
            <v>1.5480620424567335</v>
          </cell>
          <cell r="E110">
            <v>0.79715677456286849</v>
          </cell>
        </row>
        <row r="111">
          <cell r="A111">
            <v>45627</v>
          </cell>
          <cell r="B111">
            <v>0.56003827161900044</v>
          </cell>
          <cell r="C111">
            <v>1.7635231642115343</v>
          </cell>
          <cell r="D111">
            <v>1.4882853252751278</v>
          </cell>
          <cell r="E111">
            <v>0.81134053429018937</v>
          </cell>
        </row>
        <row r="112">
          <cell r="A112">
            <v>45658</v>
          </cell>
          <cell r="B112">
            <v>0.56125391934561786</v>
          </cell>
          <cell r="C112">
            <v>1.6407382222558018</v>
          </cell>
          <cell r="D112">
            <v>1.4812714487130676</v>
          </cell>
          <cell r="E112">
            <v>0.76616300357571165</v>
          </cell>
        </row>
        <row r="113">
          <cell r="A113">
            <v>45689</v>
          </cell>
          <cell r="B113">
            <v>0.59406899806249069</v>
          </cell>
          <cell r="C113">
            <v>1.5035570394455569</v>
          </cell>
          <cell r="D113">
            <v>1.4974991401432949</v>
          </cell>
          <cell r="E113">
            <v>0.67682888215493531</v>
          </cell>
        </row>
        <row r="114">
          <cell r="A114">
            <v>45717</v>
          </cell>
          <cell r="B114">
            <v>0.64681068314537671</v>
          </cell>
          <cell r="C114">
            <v>1.3057549654239204</v>
          </cell>
          <cell r="D114">
            <v>1.4890911960177413</v>
          </cell>
          <cell r="E114">
            <v>0.35138454038011341</v>
          </cell>
        </row>
        <row r="115">
          <cell r="A115">
            <v>45748</v>
          </cell>
          <cell r="B115">
            <v>0.69923343886816691</v>
          </cell>
          <cell r="C115">
            <v>1.1131811585477542</v>
          </cell>
          <cell r="D115">
            <v>1.5034076109011674</v>
          </cell>
          <cell r="E115">
            <v>0.14448111952956244</v>
          </cell>
        </row>
        <row r="116">
          <cell r="A116">
            <v>45778</v>
          </cell>
          <cell r="B116">
            <v>0.75564941412590725</v>
          </cell>
          <cell r="C116">
            <v>0.89754562997458476</v>
          </cell>
          <cell r="D116">
            <v>1.5696225832753514</v>
          </cell>
          <cell r="E116">
            <v>0.26410836416182271</v>
          </cell>
        </row>
        <row r="117">
          <cell r="A117">
            <v>45809</v>
          </cell>
          <cell r="B117">
            <v>0.78401096216735811</v>
          </cell>
          <cell r="C117">
            <v>0.75178295317703603</v>
          </cell>
          <cell r="D117">
            <v>1.7132100167400566</v>
          </cell>
          <cell r="E117">
            <v>0.49156037389672391</v>
          </cell>
        </row>
        <row r="118">
          <cell r="A118">
            <v>45839</v>
          </cell>
          <cell r="B118">
            <v>0.76681530102030016</v>
          </cell>
          <cell r="C118">
            <v>0.66829959788785032</v>
          </cell>
          <cell r="D118">
            <v>1.8732157105394101</v>
          </cell>
          <cell r="E118">
            <v>0.52745589450640296</v>
          </cell>
        </row>
        <row r="119">
          <cell r="A119">
            <v>45870</v>
          </cell>
          <cell r="B119">
            <v>0.71746970927530629</v>
          </cell>
          <cell r="C119">
            <v>0.76986640708574883</v>
          </cell>
          <cell r="D119">
            <v>1.9849940876189542</v>
          </cell>
          <cell r="E119">
            <v>0.66066878380652283</v>
          </cell>
        </row>
        <row r="120">
          <cell r="A120">
            <v>45901</v>
          </cell>
          <cell r="B120">
            <v>0.6618852960374616</v>
          </cell>
          <cell r="C120">
            <v>0.9759786822363713</v>
          </cell>
          <cell r="D120">
            <v>1.9503597912361614</v>
          </cell>
          <cell r="E120">
            <v>0.70830190493640133</v>
          </cell>
        </row>
        <row r="121">
          <cell r="A121">
            <v>45931</v>
          </cell>
          <cell r="B121">
            <v>0.61930191910596166</v>
          </cell>
          <cell r="C121">
            <v>1.1373943030380362</v>
          </cell>
          <cell r="D121">
            <v>1.8097025664363908</v>
          </cell>
          <cell r="E121">
            <v>0.72392632038040228</v>
          </cell>
        </row>
        <row r="122">
          <cell r="A122">
            <v>45962</v>
          </cell>
          <cell r="B122">
            <v>0.58518210603727172</v>
          </cell>
          <cell r="C122">
            <v>1.3175043239479525</v>
          </cell>
          <cell r="D122">
            <v>1.6591073314588507</v>
          </cell>
          <cell r="E122">
            <v>0.77979627386889527</v>
          </cell>
        </row>
        <row r="123">
          <cell r="A123">
            <v>45992</v>
          </cell>
          <cell r="B123">
            <v>0.56879557737365927</v>
          </cell>
          <cell r="C123">
            <v>1.3565719547057915</v>
          </cell>
          <cell r="D123">
            <v>1.559310319644418</v>
          </cell>
          <cell r="E123">
            <v>0.79737350481830216</v>
          </cell>
        </row>
        <row r="124">
          <cell r="A124">
            <v>46023</v>
          </cell>
          <cell r="B124">
            <v>0.56227826402604419</v>
          </cell>
          <cell r="C124">
            <v>1.3032783159872421</v>
          </cell>
          <cell r="D124">
            <v>1.5124367699125183</v>
          </cell>
          <cell r="E124">
            <v>0.7675203751411025</v>
          </cell>
        </row>
        <row r="125">
          <cell r="A125">
            <v>46054</v>
          </cell>
          <cell r="B125">
            <v>0.57730827666347007</v>
          </cell>
          <cell r="C125">
            <v>1.1928498984079732</v>
          </cell>
          <cell r="D125">
            <v>1.4987679071461275</v>
          </cell>
          <cell r="E125">
            <v>0.69430168604299736</v>
          </cell>
        </row>
        <row r="126">
          <cell r="A126">
            <v>46082</v>
          </cell>
          <cell r="B126">
            <v>0.61256221385734566</v>
          </cell>
          <cell r="C126">
            <v>1.0149246155172618</v>
          </cell>
          <cell r="D126">
            <v>1.4876565331902323</v>
          </cell>
          <cell r="E126">
            <v>0.47500387873798777</v>
          </cell>
        </row>
        <row r="127">
          <cell r="A127">
            <v>46113</v>
          </cell>
          <cell r="B127">
            <v>0.65683923740544936</v>
          </cell>
          <cell r="C127">
            <v>0.81396290948551087</v>
          </cell>
          <cell r="D127">
            <v>1.4927903557918005</v>
          </cell>
          <cell r="E127">
            <v>0.27633194348088802</v>
          </cell>
        </row>
        <row r="128">
          <cell r="A128">
            <v>46143</v>
          </cell>
          <cell r="B128">
            <v>0.7078220573658589</v>
          </cell>
          <cell r="C128">
            <v>0.58877887161645659</v>
          </cell>
          <cell r="D128">
            <v>1.5328452301333786</v>
          </cell>
          <cell r="E128">
            <v>0.28013416631573673</v>
          </cell>
        </row>
        <row r="129">
          <cell r="A129">
            <v>46174</v>
          </cell>
          <cell r="B129">
            <v>0.74466857851467161</v>
          </cell>
          <cell r="C129">
            <v>0.39866300130368126</v>
          </cell>
          <cell r="D129">
            <v>1.628189660621074</v>
          </cell>
          <cell r="E129">
            <v>0.41629773308879353</v>
          </cell>
        </row>
        <row r="130">
          <cell r="A130">
            <v>46204</v>
          </cell>
          <cell r="B130">
            <v>0.74910045402032166</v>
          </cell>
          <cell r="C130">
            <v>0.27609845638932401</v>
          </cell>
          <cell r="D130">
            <v>1.7575309047492036</v>
          </cell>
          <cell r="E130">
            <v>0.48558469026084294</v>
          </cell>
        </row>
        <row r="131">
          <cell r="A131">
            <v>46235</v>
          </cell>
          <cell r="B131">
            <v>0.722923561768686</v>
          </cell>
          <cell r="C131">
            <v>0.30190674255203537</v>
          </cell>
          <cell r="D131">
            <v>1.8719188717719382</v>
          </cell>
          <cell r="E131">
            <v>0.58324080774150788</v>
          </cell>
        </row>
        <row r="132">
          <cell r="A132">
            <v>46266</v>
          </cell>
          <cell r="B132">
            <v>0.68203350845616351</v>
          </cell>
          <cell r="C132">
            <v>0.45470905218349145</v>
          </cell>
          <cell r="D132">
            <v>1.8962130069609835</v>
          </cell>
          <cell r="E132">
            <v>0.64201569777630241</v>
          </cell>
        </row>
        <row r="133">
          <cell r="A133">
            <v>46296</v>
          </cell>
          <cell r="B133">
            <v>0.64306355057160824</v>
          </cell>
          <cell r="C133">
            <v>0.61885593123281435</v>
          </cell>
          <cell r="D133">
            <v>1.8257224448396219</v>
          </cell>
          <cell r="E133">
            <v>0.67647785937585414</v>
          </cell>
        </row>
        <row r="134">
          <cell r="A134">
            <v>46327</v>
          </cell>
          <cell r="B134">
            <v>0.60827274547683374</v>
          </cell>
          <cell r="C134">
            <v>0.80757598853889312</v>
          </cell>
          <cell r="D134">
            <v>1.714653565898707</v>
          </cell>
          <cell r="E134">
            <v>0.73247719179586801</v>
          </cell>
        </row>
        <row r="135">
          <cell r="A135">
            <v>46357</v>
          </cell>
          <cell r="B135">
            <v>0.58634483498658185</v>
          </cell>
          <cell r="C135">
            <v>0.90160331175061303</v>
          </cell>
          <cell r="D135">
            <v>1.61922569417924</v>
          </cell>
          <cell r="E135">
            <v>0.76841710567505683</v>
          </cell>
        </row>
        <row r="136">
          <cell r="A136">
            <v>46388</v>
          </cell>
          <cell r="B136">
            <v>0.5740554633362065</v>
          </cell>
          <cell r="C136">
            <v>0.90592274459315192</v>
          </cell>
          <cell r="D136">
            <v>1.5580399017460165</v>
          </cell>
          <cell r="E136">
            <v>0.76762939751673198</v>
          </cell>
        </row>
        <row r="137">
          <cell r="A137">
            <v>46419</v>
          </cell>
          <cell r="B137">
            <v>0.57987205034959344</v>
          </cell>
          <cell r="C137">
            <v>0.83421878807846828</v>
          </cell>
          <cell r="D137">
            <v>1.5280867126953639</v>
          </cell>
          <cell r="E137">
            <v>0.72659734080784921</v>
          </cell>
        </row>
        <row r="138">
          <cell r="A138">
            <v>46447</v>
          </cell>
          <cell r="B138">
            <v>0.60477924942547734</v>
          </cell>
          <cell r="C138">
            <v>0.68243606502384901</v>
          </cell>
          <cell r="D138">
            <v>1.5082302886496755</v>
          </cell>
          <cell r="E138">
            <v>0.56989577518344992</v>
          </cell>
        </row>
        <row r="139">
          <cell r="A139">
            <v>46478</v>
          </cell>
          <cell r="B139">
            <v>0.64140779378114277</v>
          </cell>
          <cell r="C139">
            <v>0.48398588045183671</v>
          </cell>
          <cell r="D139">
            <v>1.5031646359980797</v>
          </cell>
          <cell r="E139">
            <v>0.39015115334433759</v>
          </cell>
        </row>
        <row r="140">
          <cell r="A140">
            <v>46508</v>
          </cell>
          <cell r="B140">
            <v>0.686571764763513</v>
          </cell>
          <cell r="C140">
            <v>0.24770619775073716</v>
          </cell>
          <cell r="D140">
            <v>1.5271992713512224</v>
          </cell>
          <cell r="E140">
            <v>0.33113620929155863</v>
          </cell>
        </row>
        <row r="141">
          <cell r="A141">
            <v>46539</v>
          </cell>
          <cell r="B141">
            <v>0.72545576755226393</v>
          </cell>
          <cell r="C141">
            <v>2.9294702325040473E-2</v>
          </cell>
          <cell r="D141">
            <v>1.5989495550158939</v>
          </cell>
          <cell r="E141">
            <v>0.39253263139215866</v>
          </cell>
        </row>
        <row r="142">
          <cell r="A142">
            <v>46569</v>
          </cell>
          <cell r="B142">
            <v>0.74170682253628739</v>
          </cell>
          <cell r="C142">
            <v>-0.12823207402834164</v>
          </cell>
          <cell r="D142">
            <v>1.7071614313301002</v>
          </cell>
          <cell r="E142">
            <v>0.4495264618878908</v>
          </cell>
        </row>
        <row r="143">
          <cell r="A143">
            <v>46600</v>
          </cell>
          <cell r="B143">
            <v>0.73095172902914185</v>
          </cell>
          <cell r="C143">
            <v>-0.15627106736572283</v>
          </cell>
          <cell r="D143">
            <v>1.8178089555127732</v>
          </cell>
          <cell r="E143">
            <v>0.53574062883095308</v>
          </cell>
        </row>
        <row r="144">
          <cell r="A144">
            <v>46631</v>
          </cell>
          <cell r="B144">
            <v>0.70145556563797717</v>
          </cell>
          <cell r="C144">
            <v>-5.6443301201302004E-2</v>
          </cell>
          <cell r="D144">
            <v>1.8705476773056728</v>
          </cell>
          <cell r="E144">
            <v>0.60544971509365242</v>
          </cell>
        </row>
        <row r="145">
          <cell r="A145">
            <v>46661</v>
          </cell>
          <cell r="B145">
            <v>0.66631915023838106</v>
          </cell>
          <cell r="C145">
            <v>9.5249540547669168E-2</v>
          </cell>
          <cell r="D145">
            <v>1.8441300914718397</v>
          </cell>
          <cell r="E145">
            <v>0.65282590248589034</v>
          </cell>
        </row>
        <row r="146">
          <cell r="A146">
            <v>46692</v>
          </cell>
          <cell r="B146">
            <v>0.63152328799771684</v>
          </cell>
          <cell r="C146">
            <v>0.28053113551701964</v>
          </cell>
          <cell r="D146">
            <v>1.7655052700753093</v>
          </cell>
          <cell r="E146">
            <v>0.70448131765913602</v>
          </cell>
        </row>
        <row r="147">
          <cell r="A147">
            <v>46722</v>
          </cell>
          <cell r="B147">
            <v>0.60454674708891876</v>
          </cell>
          <cell r="C147">
            <v>0.41602428128255065</v>
          </cell>
          <cell r="D147">
            <v>1.6773866384935692</v>
          </cell>
          <cell r="E147">
            <v>0.74368831145290781</v>
          </cell>
        </row>
        <row r="148">
          <cell r="A148">
            <v>46753</v>
          </cell>
          <cell r="B148">
            <v>0.58635680538502211</v>
          </cell>
          <cell r="C148">
            <v>0.47622897394581115</v>
          </cell>
          <cell r="D148">
            <v>1.6063124871614183</v>
          </cell>
          <cell r="E148">
            <v>0.75563159889091258</v>
          </cell>
        </row>
        <row r="149">
          <cell r="A149">
            <v>46784</v>
          </cell>
          <cell r="B149">
            <v>0.58247348444577696</v>
          </cell>
          <cell r="C149">
            <v>0.45558657684125003</v>
          </cell>
          <cell r="D149">
            <v>1.5598698985410819</v>
          </cell>
          <cell r="E149">
            <v>0.73304055615816788</v>
          </cell>
        </row>
        <row r="150">
          <cell r="A150">
            <v>46813</v>
          </cell>
          <cell r="B150">
            <v>0.59557210804359428</v>
          </cell>
          <cell r="C150">
            <v>0.34779809273519696</v>
          </cell>
          <cell r="D150">
            <v>1.5289066547305179</v>
          </cell>
          <cell r="E150">
            <v>0.62774519155944342</v>
          </cell>
        </row>
        <row r="151">
          <cell r="A151">
            <v>46844</v>
          </cell>
          <cell r="B151">
            <v>0.62234781181844512</v>
          </cell>
          <cell r="C151">
            <v>0.17382448605528733</v>
          </cell>
          <cell r="D151">
            <v>1.5134420753127289</v>
          </cell>
          <cell r="E151">
            <v>0.4804933699860281</v>
          </cell>
        </row>
        <row r="152">
          <cell r="A152">
            <v>46874</v>
          </cell>
          <cell r="B152">
            <v>0.65977236144156559</v>
          </cell>
          <cell r="C152">
            <v>-5.2564945162900889E-2</v>
          </cell>
          <cell r="D152">
            <v>1.5217321630275147</v>
          </cell>
          <cell r="E152">
            <v>0.39306427889483786</v>
          </cell>
        </row>
        <row r="153">
          <cell r="A153">
            <v>46905</v>
          </cell>
          <cell r="B153">
            <v>0.69741726723751674</v>
          </cell>
          <cell r="C153">
            <v>-0.28682413319100386</v>
          </cell>
          <cell r="D153">
            <v>1.5676508854229994</v>
          </cell>
          <cell r="E153">
            <v>0.39873973056765699</v>
          </cell>
        </row>
        <row r="154">
          <cell r="A154">
            <v>46935</v>
          </cell>
          <cell r="B154">
            <v>0.7214104527579106</v>
          </cell>
          <cell r="C154">
            <v>-0.4791472901444086</v>
          </cell>
          <cell r="D154">
            <v>1.6499985267313257</v>
          </cell>
          <cell r="E154">
            <v>0.43314765332101191</v>
          </cell>
        </row>
        <row r="155">
          <cell r="A155">
            <v>46966</v>
          </cell>
          <cell r="B155">
            <v>0.72417404907841232</v>
          </cell>
          <cell r="C155">
            <v>-0.56663354897508311</v>
          </cell>
          <cell r="D155">
            <v>1.7474312201868407</v>
          </cell>
          <cell r="E155">
            <v>0.49631918580362122</v>
          </cell>
        </row>
        <row r="156">
          <cell r="A156">
            <v>46997</v>
          </cell>
          <cell r="B156">
            <v>0.7079592930627413</v>
          </cell>
          <cell r="C156">
            <v>-0.5296226052655294</v>
          </cell>
          <cell r="D156">
            <v>1.8154057811600843</v>
          </cell>
          <cell r="E156">
            <v>0.56002594611929934</v>
          </cell>
        </row>
        <row r="157">
          <cell r="A157">
            <v>47027</v>
          </cell>
          <cell r="B157">
            <v>0.68132532173386795</v>
          </cell>
          <cell r="C157">
            <v>-0.41363060989014111</v>
          </cell>
          <cell r="D157">
            <v>1.8251660246579076</v>
          </cell>
          <cell r="E157">
            <v>0.61233891352508585</v>
          </cell>
        </row>
        <row r="158">
          <cell r="A158">
            <v>47058</v>
          </cell>
          <cell r="B158">
            <v>0.65061166923557168</v>
          </cell>
          <cell r="C158">
            <v>-0.24473753229973</v>
          </cell>
          <cell r="D158">
            <v>1.7826227213224579</v>
          </cell>
          <cell r="E158">
            <v>0.66540908412629396</v>
          </cell>
        </row>
        <row r="159">
          <cell r="A159">
            <v>47088</v>
          </cell>
          <cell r="B159">
            <v>0.62302873013666105</v>
          </cell>
          <cell r="C159">
            <v>-9.0684763410449232E-2</v>
          </cell>
          <cell r="D159">
            <v>1.7154644438294313</v>
          </cell>
          <cell r="E159">
            <v>0.7107308963451382</v>
          </cell>
        </row>
      </sheetData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17 DATA"/>
      <sheetName val="Regular_Run"/>
      <sheetName val="SC1-2"/>
      <sheetName val="SC1-3_SC1-4"/>
    </sheetNames>
    <sheetDataSet>
      <sheetData sheetId="0">
        <row r="7">
          <cell r="B7">
            <v>0.42819487926885397</v>
          </cell>
          <cell r="C7">
            <v>0.57180512073114587</v>
          </cell>
          <cell r="F7">
            <v>0.43091420638451883</v>
          </cell>
          <cell r="G7">
            <v>0.56908579361548117</v>
          </cell>
        </row>
        <row r="11">
          <cell r="B11">
            <v>0.49464156605313719</v>
          </cell>
          <cell r="C11">
            <v>0.50535843394686286</v>
          </cell>
          <cell r="F11">
            <v>0.47569672724097356</v>
          </cell>
          <cell r="G11">
            <v>0.52430327275902633</v>
          </cell>
        </row>
        <row r="15">
          <cell r="B15">
            <v>0.47862902881722114</v>
          </cell>
          <cell r="C15">
            <v>0.52137097118277886</v>
          </cell>
          <cell r="F15">
            <v>0.46226148114583754</v>
          </cell>
          <cell r="G15">
            <v>0.53773851885416268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SC-Capacity"/>
      <sheetName val="Summary"/>
    </sheetNames>
    <sheetDataSet>
      <sheetData sheetId="0">
        <row r="18">
          <cell r="E18">
            <v>8.5000000000000006E-3</v>
          </cell>
          <cell r="G18">
            <v>6.5799999999999999E-3</v>
          </cell>
        </row>
        <row r="23">
          <cell r="E23">
            <v>4.8999999999999998E-3</v>
          </cell>
        </row>
      </sheetData>
      <sheetData sheetId="1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SC-Capacity"/>
      <sheetName val="Email"/>
    </sheetNames>
    <sheetDataSet>
      <sheetData sheetId="0">
        <row r="18">
          <cell r="E18">
            <v>6.9279999999999994E-2</v>
          </cell>
        </row>
        <row r="43">
          <cell r="E43">
            <v>13.73</v>
          </cell>
        </row>
      </sheetData>
      <sheetData sheetId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YC Forecast ENERGY 09 08 20"/>
      <sheetName val="Forward Energy"/>
      <sheetName val="MTM Chart"/>
    </sheetNames>
    <sheetDataSet>
      <sheetData sheetId="0">
        <row r="8">
          <cell r="A8">
            <v>44075</v>
          </cell>
          <cell r="B8">
            <v>25.25</v>
          </cell>
          <cell r="C8">
            <v>17.38</v>
          </cell>
          <cell r="D8">
            <v>21.708500000000001</v>
          </cell>
          <cell r="F8">
            <v>22</v>
          </cell>
          <cell r="G8">
            <v>16.25</v>
          </cell>
          <cell r="H8">
            <v>19.412500000000001</v>
          </cell>
        </row>
        <row r="9">
          <cell r="A9">
            <v>44105</v>
          </cell>
          <cell r="B9">
            <v>24</v>
          </cell>
          <cell r="C9">
            <v>17.010000000000002</v>
          </cell>
          <cell r="D9">
            <v>20.854500000000002</v>
          </cell>
          <cell r="F9">
            <v>20.75</v>
          </cell>
          <cell r="G9">
            <v>15.75</v>
          </cell>
          <cell r="H9">
            <v>18.5</v>
          </cell>
        </row>
        <row r="10">
          <cell r="A10">
            <v>44136</v>
          </cell>
          <cell r="B10">
            <v>32.75</v>
          </cell>
          <cell r="C10">
            <v>24.9</v>
          </cell>
          <cell r="D10">
            <v>29.217500000000001</v>
          </cell>
          <cell r="F10">
            <v>30.5</v>
          </cell>
          <cell r="G10">
            <v>24</v>
          </cell>
          <cell r="H10">
            <v>27.575000000000003</v>
          </cell>
        </row>
        <row r="11">
          <cell r="A11">
            <v>44166</v>
          </cell>
          <cell r="B11">
            <v>43.25</v>
          </cell>
          <cell r="C11">
            <v>34.020000000000003</v>
          </cell>
          <cell r="D11">
            <v>39.096500000000006</v>
          </cell>
          <cell r="F11">
            <v>41</v>
          </cell>
          <cell r="G11">
            <v>33</v>
          </cell>
          <cell r="H11">
            <v>37.4</v>
          </cell>
        </row>
        <row r="12">
          <cell r="A12">
            <v>44197</v>
          </cell>
          <cell r="B12">
            <v>60.51</v>
          </cell>
          <cell r="C12">
            <v>47.26</v>
          </cell>
          <cell r="D12">
            <v>54.547499999999999</v>
          </cell>
          <cell r="F12">
            <v>55.25</v>
          </cell>
          <cell r="G12">
            <v>45</v>
          </cell>
          <cell r="H12">
            <v>50.637500000000003</v>
          </cell>
        </row>
        <row r="13">
          <cell r="A13">
            <v>44228</v>
          </cell>
          <cell r="B13">
            <v>58.38</v>
          </cell>
          <cell r="C13">
            <v>45.69</v>
          </cell>
          <cell r="D13">
            <v>52.669499999999999</v>
          </cell>
          <cell r="F13">
            <v>53.25</v>
          </cell>
          <cell r="G13">
            <v>43.5</v>
          </cell>
          <cell r="H13">
            <v>48.862499999999997</v>
          </cell>
        </row>
        <row r="14">
          <cell r="A14">
            <v>44256</v>
          </cell>
          <cell r="B14">
            <v>42.33</v>
          </cell>
          <cell r="C14">
            <v>31</v>
          </cell>
          <cell r="D14">
            <v>37.231500000000004</v>
          </cell>
          <cell r="F14">
            <v>39.25</v>
          </cell>
          <cell r="G14">
            <v>29.75</v>
          </cell>
          <cell r="H14">
            <v>34.975000000000001</v>
          </cell>
        </row>
        <row r="15">
          <cell r="A15">
            <v>44287</v>
          </cell>
          <cell r="B15">
            <v>31.65</v>
          </cell>
          <cell r="C15">
            <v>22.44</v>
          </cell>
          <cell r="D15">
            <v>27.505499999999998</v>
          </cell>
          <cell r="F15">
            <v>28.75</v>
          </cell>
          <cell r="G15">
            <v>21.25</v>
          </cell>
          <cell r="H15">
            <v>25.375</v>
          </cell>
        </row>
        <row r="16">
          <cell r="A16">
            <v>44317</v>
          </cell>
          <cell r="B16">
            <v>29.65</v>
          </cell>
          <cell r="C16">
            <v>22.44</v>
          </cell>
          <cell r="D16">
            <v>26.405500000000004</v>
          </cell>
          <cell r="F16">
            <v>26.75</v>
          </cell>
          <cell r="G16">
            <v>21.25</v>
          </cell>
          <cell r="H16">
            <v>24.274999999999999</v>
          </cell>
        </row>
        <row r="17">
          <cell r="A17">
            <v>44348</v>
          </cell>
          <cell r="B17">
            <v>30.27</v>
          </cell>
          <cell r="C17">
            <v>22.46</v>
          </cell>
          <cell r="D17">
            <v>26.755500000000005</v>
          </cell>
          <cell r="F17">
            <v>27.25</v>
          </cell>
          <cell r="G17">
            <v>21.25</v>
          </cell>
          <cell r="H17">
            <v>24.55</v>
          </cell>
        </row>
        <row r="18">
          <cell r="A18">
            <v>44378</v>
          </cell>
          <cell r="B18">
            <v>39.770000000000003</v>
          </cell>
          <cell r="C18">
            <v>26.5</v>
          </cell>
          <cell r="D18">
            <v>33.798500000000004</v>
          </cell>
          <cell r="F18">
            <v>34.25</v>
          </cell>
          <cell r="G18">
            <v>24.75</v>
          </cell>
          <cell r="H18">
            <v>29.975000000000001</v>
          </cell>
        </row>
        <row r="19">
          <cell r="A19">
            <v>44409</v>
          </cell>
          <cell r="B19">
            <v>37.380000000000003</v>
          </cell>
          <cell r="C19">
            <v>25.21</v>
          </cell>
          <cell r="D19">
            <v>31.903500000000005</v>
          </cell>
          <cell r="F19">
            <v>32.25</v>
          </cell>
          <cell r="G19">
            <v>23.75</v>
          </cell>
          <cell r="H19">
            <v>28.425000000000001</v>
          </cell>
        </row>
        <row r="20">
          <cell r="A20">
            <v>44440</v>
          </cell>
          <cell r="B20">
            <v>29.77</v>
          </cell>
          <cell r="C20">
            <v>22.5</v>
          </cell>
          <cell r="D20">
            <v>26.4985</v>
          </cell>
          <cell r="F20">
            <v>26.75</v>
          </cell>
          <cell r="G20">
            <v>21.25</v>
          </cell>
          <cell r="H20">
            <v>24.274999999999999</v>
          </cell>
        </row>
        <row r="21">
          <cell r="A21">
            <v>44470</v>
          </cell>
          <cell r="B21">
            <v>29.77</v>
          </cell>
          <cell r="C21">
            <v>23.5</v>
          </cell>
          <cell r="D21">
            <v>26.948500000000003</v>
          </cell>
          <cell r="F21">
            <v>26.75</v>
          </cell>
          <cell r="G21">
            <v>22.25</v>
          </cell>
          <cell r="H21">
            <v>24.725000000000001</v>
          </cell>
        </row>
        <row r="22">
          <cell r="A22">
            <v>44501</v>
          </cell>
          <cell r="B22">
            <v>33.520000000000003</v>
          </cell>
          <cell r="C22">
            <v>23.5</v>
          </cell>
          <cell r="D22">
            <v>29.011000000000003</v>
          </cell>
          <cell r="F22">
            <v>30.5</v>
          </cell>
          <cell r="G22">
            <v>22.25</v>
          </cell>
          <cell r="H22">
            <v>26.787500000000001</v>
          </cell>
        </row>
        <row r="23">
          <cell r="A23">
            <v>44531</v>
          </cell>
          <cell r="B23">
            <v>44.27</v>
          </cell>
          <cell r="C23">
            <v>32.51</v>
          </cell>
          <cell r="D23">
            <v>38.978000000000009</v>
          </cell>
          <cell r="E23"/>
          <cell r="F23">
            <v>41.25</v>
          </cell>
          <cell r="G23">
            <v>31.25</v>
          </cell>
          <cell r="H23">
            <v>36.75</v>
          </cell>
        </row>
        <row r="24">
          <cell r="A24">
            <v>44562</v>
          </cell>
          <cell r="B24">
            <v>62.5</v>
          </cell>
          <cell r="C24">
            <v>47.25</v>
          </cell>
          <cell r="D24">
            <v>55.637500000000003</v>
          </cell>
          <cell r="F24">
            <v>54.25</v>
          </cell>
          <cell r="G24">
            <v>44</v>
          </cell>
          <cell r="H24">
            <v>49.637500000000003</v>
          </cell>
        </row>
        <row r="25">
          <cell r="A25">
            <v>44593</v>
          </cell>
          <cell r="B25">
            <v>59.51</v>
          </cell>
          <cell r="C25">
            <v>45.3</v>
          </cell>
          <cell r="D25">
            <v>53.115499999999997</v>
          </cell>
          <cell r="F25">
            <v>52.25</v>
          </cell>
          <cell r="G25">
            <v>42.5</v>
          </cell>
          <cell r="H25">
            <v>47.862499999999997</v>
          </cell>
        </row>
        <row r="26">
          <cell r="A26">
            <v>44621</v>
          </cell>
          <cell r="B26">
            <v>42.5</v>
          </cell>
          <cell r="C26">
            <v>30.5</v>
          </cell>
          <cell r="D26">
            <v>37.1</v>
          </cell>
          <cell r="F26">
            <v>37.25</v>
          </cell>
          <cell r="G26">
            <v>28.75</v>
          </cell>
          <cell r="H26">
            <v>33.424999999999997</v>
          </cell>
        </row>
        <row r="27">
          <cell r="A27">
            <v>44652</v>
          </cell>
          <cell r="B27">
            <v>32.51</v>
          </cell>
          <cell r="C27">
            <v>22.3</v>
          </cell>
          <cell r="D27">
            <v>27.915500000000002</v>
          </cell>
          <cell r="F27">
            <v>28.25</v>
          </cell>
          <cell r="G27">
            <v>20.75</v>
          </cell>
          <cell r="H27">
            <v>24.875</v>
          </cell>
        </row>
        <row r="28">
          <cell r="A28">
            <v>44682</v>
          </cell>
          <cell r="B28">
            <v>30.51</v>
          </cell>
          <cell r="C28">
            <v>22.05</v>
          </cell>
          <cell r="D28">
            <v>26.703000000000003</v>
          </cell>
          <cell r="F28">
            <v>26.25</v>
          </cell>
          <cell r="G28">
            <v>20.5</v>
          </cell>
          <cell r="H28">
            <v>23.662500000000001</v>
          </cell>
        </row>
        <row r="29">
          <cell r="A29">
            <v>44713</v>
          </cell>
          <cell r="B29">
            <v>31.52</v>
          </cell>
          <cell r="C29">
            <v>22.12</v>
          </cell>
          <cell r="D29">
            <v>27.290000000000003</v>
          </cell>
          <cell r="F29">
            <v>26.5</v>
          </cell>
          <cell r="G29">
            <v>20.5</v>
          </cell>
          <cell r="H29">
            <v>23.8</v>
          </cell>
        </row>
        <row r="30">
          <cell r="A30">
            <v>44743</v>
          </cell>
          <cell r="B30">
            <v>41.77</v>
          </cell>
          <cell r="C30">
            <v>26.8</v>
          </cell>
          <cell r="D30">
            <v>35.033500000000004</v>
          </cell>
          <cell r="F30">
            <v>33.75</v>
          </cell>
          <cell r="G30">
            <v>24.25</v>
          </cell>
          <cell r="H30">
            <v>29.475000000000001</v>
          </cell>
        </row>
        <row r="31">
          <cell r="A31">
            <v>44774</v>
          </cell>
          <cell r="B31">
            <v>38.01</v>
          </cell>
          <cell r="C31">
            <v>25.27</v>
          </cell>
          <cell r="D31">
            <v>32.277000000000001</v>
          </cell>
          <cell r="F31">
            <v>31.75</v>
          </cell>
          <cell r="G31">
            <v>23.25</v>
          </cell>
          <cell r="H31">
            <v>27.925000000000004</v>
          </cell>
        </row>
        <row r="32">
          <cell r="A32">
            <v>44805</v>
          </cell>
          <cell r="B32">
            <v>30.26</v>
          </cell>
          <cell r="C32">
            <v>22.3</v>
          </cell>
          <cell r="D32">
            <v>26.678000000000001</v>
          </cell>
          <cell r="F32">
            <v>26</v>
          </cell>
          <cell r="G32">
            <v>20.75</v>
          </cell>
          <cell r="H32">
            <v>23.637500000000003</v>
          </cell>
        </row>
      </sheetData>
      <sheetData sheetId="1"/>
      <sheetData sheetId="2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AD SHEET"/>
      <sheetName val="Data"/>
    </sheetNames>
    <sheetDataSet>
      <sheetData sheetId="0"/>
      <sheetData sheetId="1">
        <row r="61">
          <cell r="A61">
            <v>44105</v>
          </cell>
          <cell r="B61">
            <v>0.42090922418729393</v>
          </cell>
          <cell r="C61">
            <v>2.784089405935176</v>
          </cell>
          <cell r="D61">
            <v>0.71874491454227429</v>
          </cell>
          <cell r="E61">
            <v>0.38945994736833872</v>
          </cell>
        </row>
        <row r="62">
          <cell r="A62">
            <v>44136</v>
          </cell>
          <cell r="B62">
            <v>0.40720750742282336</v>
          </cell>
          <cell r="C62">
            <v>3.0295184600791312</v>
          </cell>
          <cell r="D62">
            <v>1.1063498375842169</v>
          </cell>
          <cell r="E62">
            <v>0.70592371900115847</v>
          </cell>
        </row>
        <row r="63">
          <cell r="A63">
            <v>44166</v>
          </cell>
          <cell r="B63">
            <v>0.38507314086816175</v>
          </cell>
          <cell r="C63">
            <v>2.9020196872918085</v>
          </cell>
          <cell r="D63">
            <v>1.1868565808551954</v>
          </cell>
          <cell r="E63">
            <v>0.57973881949963668</v>
          </cell>
        </row>
        <row r="64">
          <cell r="A64">
            <v>44197</v>
          </cell>
          <cell r="B64">
            <v>0.40832449123177317</v>
          </cell>
          <cell r="C64">
            <v>2.9353978016998585</v>
          </cell>
          <cell r="D64">
            <v>1.1258063279707211</v>
          </cell>
          <cell r="E64">
            <v>0.16135069165233823</v>
          </cell>
        </row>
        <row r="65">
          <cell r="A65">
            <v>44228</v>
          </cell>
          <cell r="B65">
            <v>0.38589213976066905</v>
          </cell>
          <cell r="C65">
            <v>2.9990483663499314</v>
          </cell>
          <cell r="D65">
            <v>1.1025801425781174</v>
          </cell>
          <cell r="E65">
            <v>-0.4488025427747675</v>
          </cell>
        </row>
        <row r="66">
          <cell r="A66">
            <v>44256</v>
          </cell>
          <cell r="B66">
            <v>0.38131201031970807</v>
          </cell>
          <cell r="C66">
            <v>2.8128209537484103</v>
          </cell>
          <cell r="D66">
            <v>1.2135854820761247</v>
          </cell>
          <cell r="E66">
            <v>0.10368344633055671</v>
          </cell>
        </row>
        <row r="67">
          <cell r="A67">
            <v>44287</v>
          </cell>
          <cell r="B67">
            <v>0.40354042381875677</v>
          </cell>
          <cell r="C67">
            <v>2.8788153875178022</v>
          </cell>
          <cell r="D67">
            <v>1.3597568705924585</v>
          </cell>
          <cell r="E67">
            <v>0.53881453346040176</v>
          </cell>
        </row>
      </sheetData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AD SHEET"/>
      <sheetName val="Data"/>
    </sheetNames>
    <sheetDataSet>
      <sheetData sheetId="0" refreshError="1"/>
      <sheetData sheetId="1">
        <row r="40">
          <cell r="A40">
            <v>43466</v>
          </cell>
        </row>
        <row r="61">
          <cell r="A61">
            <v>44105</v>
          </cell>
          <cell r="B61">
            <v>0.60240503057194728</v>
          </cell>
          <cell r="C61">
            <v>3.0285157378626963</v>
          </cell>
          <cell r="D61">
            <v>0.96114209284740904</v>
          </cell>
          <cell r="E61">
            <v>0.52858120069670733</v>
          </cell>
        </row>
        <row r="62">
          <cell r="A62">
            <v>44136</v>
          </cell>
          <cell r="B62">
            <v>0.51242913013987423</v>
          </cell>
          <cell r="C62">
            <v>4.1440253305187111</v>
          </cell>
          <cell r="D62">
            <v>1.2388158219273746</v>
          </cell>
          <cell r="E62">
            <v>1.4100954646795842</v>
          </cell>
        </row>
        <row r="63">
          <cell r="A63">
            <v>44166</v>
          </cell>
          <cell r="B63">
            <v>0.70258736500077679</v>
          </cell>
          <cell r="C63">
            <v>2.5037794002357856</v>
          </cell>
          <cell r="D63">
            <v>1.7028115258418337</v>
          </cell>
          <cell r="E63">
            <v>0.79945791535436617</v>
          </cell>
        </row>
        <row r="64">
          <cell r="A64">
            <v>44197</v>
          </cell>
          <cell r="B64">
            <v>0.6182240617809458</v>
          </cell>
          <cell r="C64">
            <v>2.5881427034556168</v>
          </cell>
          <cell r="D64">
            <v>1.7028115258418337</v>
          </cell>
          <cell r="E64">
            <v>0.79945791535436617</v>
          </cell>
        </row>
        <row r="65">
          <cell r="A65">
            <v>44228</v>
          </cell>
          <cell r="B65">
            <v>0.90456620269594767</v>
          </cell>
          <cell r="C65">
            <v>3.1216632015650263</v>
          </cell>
          <cell r="D65">
            <v>1.7853674561782602</v>
          </cell>
          <cell r="E65">
            <v>0.73965765969138664</v>
          </cell>
        </row>
        <row r="66">
          <cell r="A66">
            <v>44256</v>
          </cell>
          <cell r="B66">
            <v>1.011023126708783</v>
          </cell>
          <cell r="C66">
            <v>2.7717188577260541</v>
          </cell>
          <cell r="D66">
            <v>1.466728885034108</v>
          </cell>
          <cell r="E66">
            <v>-1.2694770323169102</v>
          </cell>
        </row>
        <row r="67">
          <cell r="A67">
            <v>44287</v>
          </cell>
          <cell r="B67">
            <v>0.71839598201329424</v>
          </cell>
          <cell r="C67">
            <v>2.8582643395066238</v>
          </cell>
          <cell r="D67">
            <v>1.4863285720714503</v>
          </cell>
          <cell r="E67">
            <v>-0.14776570586333176</v>
          </cell>
        </row>
        <row r="68">
          <cell r="A68">
            <v>44317</v>
          </cell>
          <cell r="B68">
            <v>0.63893113439040594</v>
          </cell>
          <cell r="C68">
            <v>3.0606438962703875</v>
          </cell>
          <cell r="D68">
            <v>1.3369832246730513</v>
          </cell>
          <cell r="E68">
            <v>0.96693981261065665</v>
          </cell>
        </row>
        <row r="69">
          <cell r="A69">
            <v>44348</v>
          </cell>
          <cell r="B69">
            <v>0.55205519752630883</v>
          </cell>
          <cell r="C69">
            <v>2.9716554847747676</v>
          </cell>
          <cell r="D69">
            <v>1.3385811932272029</v>
          </cell>
          <cell r="E69">
            <v>1.1863221638740513</v>
          </cell>
        </row>
        <row r="70">
          <cell r="A70">
            <v>44378</v>
          </cell>
          <cell r="B70">
            <v>0.45019340040039618</v>
          </cell>
          <cell r="C70">
            <v>2.6679912424129251</v>
          </cell>
          <cell r="D70">
            <v>1.3787199353150323</v>
          </cell>
          <cell r="E70">
            <v>0.93557423812598717</v>
          </cell>
        </row>
        <row r="71">
          <cell r="A71">
            <v>44409</v>
          </cell>
          <cell r="B71">
            <v>0.41232490961104973</v>
          </cell>
          <cell r="C71">
            <v>2.7863765879415991</v>
          </cell>
          <cell r="D71">
            <v>1.337699118798128</v>
          </cell>
          <cell r="E71">
            <v>0.55862505797879192</v>
          </cell>
        </row>
        <row r="72">
          <cell r="A72">
            <v>44440</v>
          </cell>
          <cell r="B72">
            <v>0.4373811134134481</v>
          </cell>
          <cell r="C72">
            <v>2.9474333427208874</v>
          </cell>
          <cell r="D72">
            <v>1.0994140370665426</v>
          </cell>
          <cell r="E72">
            <v>0.37590539145516993</v>
          </cell>
        </row>
        <row r="73">
          <cell r="A73">
            <v>44470</v>
          </cell>
          <cell r="B73">
            <v>0.48681533350799638</v>
          </cell>
          <cell r="C73">
            <v>2.8542750562737496</v>
          </cell>
          <cell r="D73">
            <v>0.98064913071731508</v>
          </cell>
          <cell r="E73">
            <v>0.57684833900829158</v>
          </cell>
        </row>
      </sheetData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YC Forecast ENERGY 04 06 21"/>
      <sheetName val="Forward Energy"/>
      <sheetName val="MTM Chart"/>
    </sheetNames>
    <sheetDataSet>
      <sheetData sheetId="0">
        <row r="8">
          <cell r="A8">
            <v>44287</v>
          </cell>
          <cell r="B8">
            <v>26.7</v>
          </cell>
          <cell r="C8">
            <v>21.35</v>
          </cell>
          <cell r="D8">
            <v>24.292500000000004</v>
          </cell>
          <cell r="F8">
            <v>25</v>
          </cell>
          <cell r="G8">
            <v>20.5</v>
          </cell>
          <cell r="H8">
            <v>22.975000000000001</v>
          </cell>
        </row>
        <row r="9">
          <cell r="A9">
            <v>44317</v>
          </cell>
          <cell r="B9">
            <v>27.95</v>
          </cell>
          <cell r="C9">
            <v>21.35</v>
          </cell>
          <cell r="D9">
            <v>24.980000000000004</v>
          </cell>
          <cell r="F9">
            <v>26.25</v>
          </cell>
          <cell r="G9">
            <v>20.5</v>
          </cell>
          <cell r="H9">
            <v>23.662500000000001</v>
          </cell>
        </row>
        <row r="10">
          <cell r="A10">
            <v>44348</v>
          </cell>
          <cell r="B10">
            <v>30.75</v>
          </cell>
          <cell r="C10">
            <v>22.5</v>
          </cell>
          <cell r="D10">
            <v>27.037500000000001</v>
          </cell>
          <cell r="F10">
            <v>28.5</v>
          </cell>
          <cell r="G10">
            <v>21.25</v>
          </cell>
          <cell r="H10">
            <v>25.237500000000001</v>
          </cell>
        </row>
        <row r="11">
          <cell r="A11">
            <v>44378</v>
          </cell>
          <cell r="B11">
            <v>41.08</v>
          </cell>
          <cell r="C11">
            <v>27.38</v>
          </cell>
          <cell r="D11">
            <v>34.914999999999999</v>
          </cell>
          <cell r="F11">
            <v>36</v>
          </cell>
          <cell r="G11">
            <v>25.25</v>
          </cell>
          <cell r="H11">
            <v>31.162500000000001</v>
          </cell>
        </row>
        <row r="12">
          <cell r="A12">
            <v>44409</v>
          </cell>
          <cell r="B12">
            <v>38</v>
          </cell>
          <cell r="C12">
            <v>24.95</v>
          </cell>
          <cell r="D12">
            <v>32.127499999999998</v>
          </cell>
          <cell r="F12">
            <v>33.25</v>
          </cell>
          <cell r="G12">
            <v>23.25</v>
          </cell>
          <cell r="H12">
            <v>28.75</v>
          </cell>
        </row>
        <row r="13">
          <cell r="A13">
            <v>44440</v>
          </cell>
          <cell r="B13">
            <v>30.95</v>
          </cell>
          <cell r="C13">
            <v>22.75</v>
          </cell>
          <cell r="D13">
            <v>27.26</v>
          </cell>
          <cell r="F13">
            <v>28.75</v>
          </cell>
          <cell r="G13">
            <v>21.5</v>
          </cell>
          <cell r="H13">
            <v>25.487500000000004</v>
          </cell>
        </row>
        <row r="14">
          <cell r="A14">
            <v>44470</v>
          </cell>
          <cell r="B14">
            <v>28.95</v>
          </cell>
          <cell r="C14">
            <v>23.5</v>
          </cell>
          <cell r="D14">
            <v>26.497500000000002</v>
          </cell>
          <cell r="F14">
            <v>26.75</v>
          </cell>
          <cell r="G14">
            <v>22.25</v>
          </cell>
          <cell r="H14">
            <v>24.725000000000001</v>
          </cell>
        </row>
        <row r="15">
          <cell r="A15">
            <v>44501</v>
          </cell>
          <cell r="B15">
            <v>36.450000000000003</v>
          </cell>
          <cell r="C15">
            <v>25.5</v>
          </cell>
          <cell r="D15">
            <v>31.522500000000001</v>
          </cell>
          <cell r="F15">
            <v>34.25</v>
          </cell>
          <cell r="G15">
            <v>24.25</v>
          </cell>
          <cell r="H15">
            <v>29.75</v>
          </cell>
        </row>
        <row r="16">
          <cell r="A16">
            <v>44531</v>
          </cell>
          <cell r="B16">
            <v>46.75</v>
          </cell>
          <cell r="C16">
            <v>37.25</v>
          </cell>
          <cell r="D16">
            <v>42.475000000000001</v>
          </cell>
          <cell r="E16"/>
          <cell r="F16">
            <v>44.25</v>
          </cell>
          <cell r="G16">
            <v>35.75</v>
          </cell>
          <cell r="H16">
            <v>40.425000000000004</v>
          </cell>
        </row>
        <row r="17">
          <cell r="A17">
            <v>44562</v>
          </cell>
          <cell r="B17">
            <v>67.02</v>
          </cell>
          <cell r="C17">
            <v>52.95</v>
          </cell>
          <cell r="D17">
            <v>60.688500000000005</v>
          </cell>
          <cell r="F17">
            <v>60</v>
          </cell>
          <cell r="G17">
            <v>50.25</v>
          </cell>
          <cell r="H17">
            <v>55.612499999999997</v>
          </cell>
        </row>
        <row r="18">
          <cell r="A18">
            <v>44593</v>
          </cell>
          <cell r="B18">
            <v>64.260000000000005</v>
          </cell>
          <cell r="C18">
            <v>50.51</v>
          </cell>
          <cell r="D18">
            <v>58.072500000000005</v>
          </cell>
          <cell r="F18">
            <v>58</v>
          </cell>
          <cell r="G18">
            <v>48.25</v>
          </cell>
          <cell r="H18">
            <v>53.612500000000004</v>
          </cell>
        </row>
        <row r="19">
          <cell r="A19">
            <v>44621</v>
          </cell>
          <cell r="B19">
            <v>41.77</v>
          </cell>
          <cell r="C19">
            <v>30.85</v>
          </cell>
          <cell r="D19">
            <v>36.856000000000009</v>
          </cell>
          <cell r="F19">
            <v>37.75</v>
          </cell>
          <cell r="G19">
            <v>29.25</v>
          </cell>
          <cell r="H19">
            <v>33.925000000000004</v>
          </cell>
        </row>
        <row r="20">
          <cell r="A20">
            <v>44652</v>
          </cell>
          <cell r="B20">
            <v>30.71</v>
          </cell>
          <cell r="C20">
            <v>24.77</v>
          </cell>
          <cell r="D20">
            <v>28.037000000000003</v>
          </cell>
          <cell r="F20">
            <v>27.5</v>
          </cell>
          <cell r="G20">
            <v>23.25</v>
          </cell>
          <cell r="H20">
            <v>25.587500000000002</v>
          </cell>
        </row>
        <row r="21">
          <cell r="A21">
            <v>44682</v>
          </cell>
          <cell r="B21">
            <v>30.71</v>
          </cell>
          <cell r="C21">
            <v>23.02</v>
          </cell>
          <cell r="D21">
            <v>27.249500000000005</v>
          </cell>
          <cell r="F21">
            <v>27.5</v>
          </cell>
          <cell r="G21">
            <v>21.5</v>
          </cell>
          <cell r="H21">
            <v>24.800000000000004</v>
          </cell>
        </row>
        <row r="22">
          <cell r="A22">
            <v>44713</v>
          </cell>
          <cell r="B22">
            <v>32.33</v>
          </cell>
          <cell r="C22">
            <v>23.35</v>
          </cell>
          <cell r="D22">
            <v>28.289000000000001</v>
          </cell>
          <cell r="F22">
            <v>28.25</v>
          </cell>
          <cell r="G22">
            <v>21.75</v>
          </cell>
          <cell r="H22">
            <v>25.325000000000003</v>
          </cell>
        </row>
        <row r="23">
          <cell r="A23">
            <v>44743</v>
          </cell>
          <cell r="B23">
            <v>41.76</v>
          </cell>
          <cell r="C23">
            <v>27.95</v>
          </cell>
          <cell r="D23">
            <v>35.545500000000004</v>
          </cell>
          <cell r="F23">
            <v>35.5</v>
          </cell>
          <cell r="G23">
            <v>25.25</v>
          </cell>
          <cell r="H23">
            <v>30.887500000000003</v>
          </cell>
        </row>
        <row r="24">
          <cell r="A24">
            <v>44774</v>
          </cell>
          <cell r="B24">
            <v>39.520000000000003</v>
          </cell>
          <cell r="C24">
            <v>26.51</v>
          </cell>
          <cell r="D24">
            <v>33.665500000000009</v>
          </cell>
          <cell r="F24">
            <v>33.5</v>
          </cell>
          <cell r="G24">
            <v>24.25</v>
          </cell>
          <cell r="H24">
            <v>29.337499999999999</v>
          </cell>
        </row>
        <row r="25">
          <cell r="A25">
            <v>44805</v>
          </cell>
          <cell r="B25">
            <v>32.51</v>
          </cell>
          <cell r="C25">
            <v>23.27</v>
          </cell>
          <cell r="D25">
            <v>28.352000000000004</v>
          </cell>
          <cell r="F25">
            <v>29.25</v>
          </cell>
          <cell r="G25">
            <v>21.75</v>
          </cell>
          <cell r="H25">
            <v>25.875</v>
          </cell>
        </row>
        <row r="26">
          <cell r="A26">
            <v>44835</v>
          </cell>
          <cell r="B26">
            <v>31.51</v>
          </cell>
          <cell r="C26">
            <v>23.77</v>
          </cell>
          <cell r="D26">
            <v>28.027000000000001</v>
          </cell>
          <cell r="F26">
            <v>28.25</v>
          </cell>
          <cell r="G26">
            <v>22.25</v>
          </cell>
          <cell r="H26">
            <v>25.550000000000004</v>
          </cell>
        </row>
        <row r="27">
          <cell r="A27">
            <v>44866</v>
          </cell>
          <cell r="B27">
            <v>37.01</v>
          </cell>
          <cell r="C27">
            <v>24.52</v>
          </cell>
          <cell r="D27">
            <v>31.389499999999998</v>
          </cell>
          <cell r="F27">
            <v>33.75</v>
          </cell>
          <cell r="G27">
            <v>23</v>
          </cell>
          <cell r="H27">
            <v>28.912500000000001</v>
          </cell>
        </row>
        <row r="28">
          <cell r="A28">
            <v>44896</v>
          </cell>
          <cell r="B28">
            <v>47.55</v>
          </cell>
          <cell r="C28">
            <v>35.85</v>
          </cell>
          <cell r="D28">
            <v>42.284999999999997</v>
          </cell>
          <cell r="E28"/>
          <cell r="F28">
            <v>43.75</v>
          </cell>
          <cell r="G28">
            <v>34.25</v>
          </cell>
          <cell r="H28">
            <v>39.475000000000001</v>
          </cell>
        </row>
        <row r="29">
          <cell r="A29">
            <v>44927</v>
          </cell>
          <cell r="B29">
            <v>68.52</v>
          </cell>
          <cell r="C29">
            <v>54.02</v>
          </cell>
          <cell r="D29">
            <v>61.995000000000005</v>
          </cell>
          <cell r="F29">
            <v>60.5</v>
          </cell>
          <cell r="G29">
            <v>51</v>
          </cell>
          <cell r="H29">
            <v>56.225000000000009</v>
          </cell>
        </row>
        <row r="30">
          <cell r="A30">
            <v>44958</v>
          </cell>
          <cell r="B30">
            <v>65.760000000000005</v>
          </cell>
          <cell r="C30">
            <v>51.26</v>
          </cell>
          <cell r="D30">
            <v>59.235000000000007</v>
          </cell>
          <cell r="F30">
            <v>58.5</v>
          </cell>
          <cell r="G30">
            <v>49</v>
          </cell>
          <cell r="H30">
            <v>54.225000000000009</v>
          </cell>
        </row>
        <row r="31">
          <cell r="A31">
            <v>44986</v>
          </cell>
          <cell r="B31">
            <v>42.76</v>
          </cell>
          <cell r="C31">
            <v>32.25</v>
          </cell>
          <cell r="D31">
            <v>38.030500000000004</v>
          </cell>
          <cell r="F31">
            <v>38.5</v>
          </cell>
          <cell r="G31">
            <v>30.5</v>
          </cell>
          <cell r="H31">
            <v>34.9</v>
          </cell>
        </row>
        <row r="32">
          <cell r="A32">
            <v>45017</v>
          </cell>
          <cell r="B32">
            <v>33.130000000000003</v>
          </cell>
          <cell r="C32">
            <v>25.85</v>
          </cell>
          <cell r="D32">
            <v>29.854000000000003</v>
          </cell>
          <cell r="F32">
            <v>29</v>
          </cell>
          <cell r="G32">
            <v>24.25</v>
          </cell>
          <cell r="H32">
            <v>26.862500000000001</v>
          </cell>
        </row>
      </sheetData>
      <sheetData sheetId="1" refreshError="1"/>
      <sheetData sheetId="2" refreshError="1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Note on Mac Methodology"/>
      <sheetName val="MAC Methodology"/>
      <sheetName val="Sales Forecast"/>
      <sheetName val="Adj Sales Forecast"/>
      <sheetName val="Demand Forecast"/>
      <sheetName val="Adj Demand Forecast "/>
      <sheetName val="Forecasted TOD kW by Period"/>
      <sheetName val="Forecasted Conv kW by Period"/>
      <sheetName val="TOD % of Reg kW"/>
      <sheetName val="Forecasted TOD kWh by Period"/>
      <sheetName val="TOD OnOff kWh Ratios"/>
      <sheetName val="TODS On Off %"/>
      <sheetName val="9 Max MSC-CAP methodology-OLD"/>
      <sheetName val="9 Max Proposed"/>
      <sheetName val="MSC Cover Page "/>
      <sheetName val="Capacity Estimates"/>
      <sheetName val="May - Oct Capacity MSC by Class"/>
      <sheetName val="SC 1 Rate III MSC Cap-Hist"/>
      <sheetName val="Nov - Apr Capacity MSC by Class"/>
      <sheetName val="SC 1 Rate III MSC Cap"/>
      <sheetName val="Lookup Tables for Level Billing"/>
      <sheetName val="MSC - Energy SC1"/>
      <sheetName val="Level Billing Summary"/>
      <sheetName val="MTM MSC Estimates 1,9 "/>
      <sheetName val="MAC Cover Page "/>
      <sheetName val="Forecast MAC Total"/>
      <sheetName val="Adj to Mac Redux"/>
      <sheetName val="Alloc of Rate Case MAC Redux"/>
      <sheetName val="Billing Proof"/>
      <sheetName val="All TOD Energy Data"/>
      <sheetName val="Valued History"/>
      <sheetName val="May Price Out"/>
      <sheetName val="Jun Price Out"/>
      <sheetName val="Jul Price Out"/>
      <sheetName val="Aug Price Out"/>
      <sheetName val="Sep Price Out"/>
      <sheetName val="Oct Price Out"/>
      <sheetName val="Nov Price Out"/>
      <sheetName val="Dec Price Out"/>
      <sheetName val="Jan Price Out"/>
      <sheetName val="Feb Price Out"/>
      <sheetName val="Mar Price Out"/>
      <sheetName val="Apr Price Out"/>
      <sheetName val="May Variance Report"/>
      <sheetName val="June Variance Report"/>
      <sheetName val="July Variance Report"/>
      <sheetName val="Feb Conv Dem MAC 100% "/>
      <sheetName val="May Conv Dem MAC 100%"/>
      <sheetName val="All TOD Energy MAC 100%"/>
      <sheetName val="May TOD Capacity MAC 100%"/>
      <sheetName val="Aug TOD Capacity MAC 100% "/>
      <sheetName val="Nov TOD Capacity MAC 100% "/>
      <sheetName val="Feb TOD Capacity MAC 100%"/>
      <sheetName val="May VTOD Capacity MAC 100%"/>
      <sheetName val="Aug  VTOD Capacity MAC 100% "/>
      <sheetName val="Nov VTOD Capacity MAC 100% "/>
      <sheetName val="Feb VTOD Capacity MAC 100%"/>
      <sheetName val="Nov Conv Dem MAC 100%"/>
      <sheetName val="Aug Conv Dem MAC 100%"/>
      <sheetName val="May Energy Only MAC 100%"/>
      <sheetName val="Aug Energy Only MAC 100%"/>
      <sheetName val="Feb Energy Only MAC 100%"/>
      <sheetName val="Nov Energy Only MAC 100% "/>
      <sheetName val="jane tod vol % "/>
      <sheetName val="August Variance Report"/>
      <sheetName val="Sept Variance Report"/>
      <sheetName val="October Variance Report"/>
      <sheetName val="November Variance Report"/>
      <sheetName val="December Variance Report"/>
      <sheetName val="January Variance Report"/>
      <sheetName val="Sheet1"/>
    </sheetNames>
    <sheetDataSet>
      <sheetData sheetId="0"/>
      <sheetData sheetId="1"/>
      <sheetData sheetId="2"/>
      <sheetData sheetId="3">
        <row r="6">
          <cell r="B6">
            <v>43952</v>
          </cell>
          <cell r="C6">
            <v>43983</v>
          </cell>
          <cell r="D6">
            <v>44013</v>
          </cell>
          <cell r="E6">
            <v>44044</v>
          </cell>
          <cell r="F6">
            <v>44075</v>
          </cell>
          <cell r="G6">
            <v>44105</v>
          </cell>
          <cell r="H6">
            <v>43770</v>
          </cell>
          <cell r="I6">
            <v>43800</v>
          </cell>
          <cell r="J6">
            <v>43831</v>
          </cell>
          <cell r="K6">
            <v>43862</v>
          </cell>
          <cell r="L6">
            <v>43891</v>
          </cell>
          <cell r="M6">
            <v>43922</v>
          </cell>
        </row>
      </sheetData>
      <sheetData sheetId="4">
        <row r="8">
          <cell r="H8">
            <v>894025833</v>
          </cell>
          <cell r="I8">
            <v>1035240147</v>
          </cell>
          <cell r="J8">
            <v>1073029893</v>
          </cell>
          <cell r="K8">
            <v>1049162685</v>
          </cell>
          <cell r="L8">
            <v>945738117</v>
          </cell>
          <cell r="M8">
            <v>832368879</v>
          </cell>
        </row>
        <row r="15">
          <cell r="H15">
            <v>172370280</v>
          </cell>
          <cell r="I15">
            <v>200268360</v>
          </cell>
          <cell r="J15">
            <v>219199200</v>
          </cell>
          <cell r="K15">
            <v>233148240</v>
          </cell>
          <cell r="L15">
            <v>213221040</v>
          </cell>
          <cell r="M15">
            <v>189308400</v>
          </cell>
        </row>
        <row r="16">
          <cell r="H16">
            <v>48760</v>
          </cell>
          <cell r="I16">
            <v>58163.999999999993</v>
          </cell>
          <cell r="J16">
            <v>93000</v>
          </cell>
          <cell r="K16">
            <v>78778</v>
          </cell>
          <cell r="L16">
            <v>78594.000000000015</v>
          </cell>
          <cell r="M16">
            <v>75097</v>
          </cell>
        </row>
        <row r="18">
          <cell r="H18">
            <v>678899</v>
          </cell>
          <cell r="I18">
            <v>718754</v>
          </cell>
          <cell r="J18">
            <v>748787</v>
          </cell>
          <cell r="K18">
            <v>753985</v>
          </cell>
          <cell r="L18">
            <v>686414</v>
          </cell>
          <cell r="M18">
            <v>643924</v>
          </cell>
        </row>
        <row r="22">
          <cell r="H22">
            <v>103000000</v>
          </cell>
          <cell r="I22">
            <v>116000000</v>
          </cell>
          <cell r="J22">
            <v>116000000</v>
          </cell>
          <cell r="K22">
            <v>117000000</v>
          </cell>
          <cell r="L22">
            <v>109000000</v>
          </cell>
          <cell r="M22">
            <v>97000000</v>
          </cell>
        </row>
        <row r="26">
          <cell r="H26">
            <v>602923</v>
          </cell>
          <cell r="I26">
            <v>649438</v>
          </cell>
          <cell r="J26">
            <v>614441</v>
          </cell>
          <cell r="K26">
            <v>640578</v>
          </cell>
          <cell r="L26">
            <v>606024</v>
          </cell>
          <cell r="M26">
            <v>588747</v>
          </cell>
        </row>
        <row r="27">
          <cell r="H27">
            <v>1360397077</v>
          </cell>
          <cell r="I27">
            <v>1465350562</v>
          </cell>
          <cell r="J27">
            <v>1386385559</v>
          </cell>
          <cell r="K27">
            <v>1445359422</v>
          </cell>
          <cell r="L27">
            <v>1367393976</v>
          </cell>
          <cell r="M27">
            <v>1328411253</v>
          </cell>
        </row>
        <row r="31">
          <cell r="H31">
            <v>62199</v>
          </cell>
          <cell r="I31">
            <v>124398</v>
          </cell>
          <cell r="J31">
            <v>186597</v>
          </cell>
          <cell r="K31">
            <v>200419</v>
          </cell>
          <cell r="L31">
            <v>165864</v>
          </cell>
          <cell r="M31">
            <v>110576</v>
          </cell>
        </row>
        <row r="32">
          <cell r="H32">
            <v>8937801</v>
          </cell>
          <cell r="I32">
            <v>17875602</v>
          </cell>
          <cell r="J32">
            <v>26813403</v>
          </cell>
          <cell r="K32">
            <v>28799581</v>
          </cell>
          <cell r="L32">
            <v>23834136</v>
          </cell>
          <cell r="M32">
            <v>15889424</v>
          </cell>
        </row>
        <row r="33"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7">
          <cell r="H37">
            <v>1937169</v>
          </cell>
          <cell r="I37">
            <v>2243152</v>
          </cell>
          <cell r="J37">
            <v>2325034</v>
          </cell>
          <cell r="K37">
            <v>2273319</v>
          </cell>
          <cell r="L37">
            <v>2049219</v>
          </cell>
          <cell r="M37">
            <v>1803572</v>
          </cell>
        </row>
        <row r="38">
          <cell r="H38">
            <v>3036998</v>
          </cell>
          <cell r="I38">
            <v>3516701</v>
          </cell>
          <cell r="J38">
            <v>3645073</v>
          </cell>
          <cell r="K38">
            <v>3563996</v>
          </cell>
          <cell r="L38">
            <v>3212664</v>
          </cell>
          <cell r="M38">
            <v>2827549</v>
          </cell>
        </row>
        <row r="40">
          <cell r="H40">
            <v>251605</v>
          </cell>
          <cell r="I40">
            <v>292327</v>
          </cell>
          <cell r="J40">
            <v>319960</v>
          </cell>
          <cell r="K40">
            <v>340322</v>
          </cell>
          <cell r="L40">
            <v>311234</v>
          </cell>
          <cell r="M40">
            <v>276329</v>
          </cell>
        </row>
        <row r="41">
          <cell r="H41">
            <v>378115</v>
          </cell>
          <cell r="I41">
            <v>439313</v>
          </cell>
          <cell r="J41">
            <v>480840</v>
          </cell>
          <cell r="K41">
            <v>511438</v>
          </cell>
          <cell r="L41">
            <v>467726</v>
          </cell>
          <cell r="M41">
            <v>415271</v>
          </cell>
        </row>
      </sheetData>
      <sheetData sheetId="5"/>
      <sheetData sheetId="6">
        <row r="6">
          <cell r="C6">
            <v>123</v>
          </cell>
          <cell r="D6">
            <v>128</v>
          </cell>
          <cell r="E6">
            <v>113</v>
          </cell>
          <cell r="F6">
            <v>102</v>
          </cell>
          <cell r="G6">
            <v>100</v>
          </cell>
          <cell r="H6">
            <v>131</v>
          </cell>
          <cell r="I6">
            <v>142</v>
          </cell>
          <cell r="J6">
            <v>187</v>
          </cell>
          <cell r="K6">
            <v>185</v>
          </cell>
          <cell r="L6">
            <v>213</v>
          </cell>
          <cell r="M6">
            <v>206</v>
          </cell>
        </row>
        <row r="8">
          <cell r="C8">
            <v>327040</v>
          </cell>
          <cell r="D8">
            <v>365040</v>
          </cell>
          <cell r="E8">
            <v>367040</v>
          </cell>
          <cell r="F8">
            <v>361040</v>
          </cell>
          <cell r="G8">
            <v>309040</v>
          </cell>
          <cell r="H8">
            <v>241040</v>
          </cell>
          <cell r="I8">
            <v>227040</v>
          </cell>
          <cell r="J8">
            <v>242040</v>
          </cell>
          <cell r="K8">
            <v>239040</v>
          </cell>
          <cell r="L8">
            <v>231040</v>
          </cell>
          <cell r="M8">
            <v>204040</v>
          </cell>
        </row>
        <row r="14">
          <cell r="C14">
            <v>4526411.2</v>
          </cell>
          <cell r="D14">
            <v>4587246.2</v>
          </cell>
          <cell r="E14">
            <v>4521424.2</v>
          </cell>
          <cell r="F14">
            <v>4495494.2</v>
          </cell>
          <cell r="G14">
            <v>4430670.2</v>
          </cell>
          <cell r="H14">
            <v>4154416.2</v>
          </cell>
          <cell r="I14">
            <v>3875171.1999999997</v>
          </cell>
          <cell r="J14">
            <v>3706627.1999999997</v>
          </cell>
          <cell r="K14">
            <v>3778433.1999999997</v>
          </cell>
          <cell r="L14">
            <v>3839268.1999999997</v>
          </cell>
          <cell r="M14">
            <v>3747516.1999999997</v>
          </cell>
        </row>
        <row r="20">
          <cell r="C20">
            <v>19000</v>
          </cell>
          <cell r="D20">
            <v>20000</v>
          </cell>
          <cell r="E20">
            <v>24000</v>
          </cell>
          <cell r="F20">
            <v>20000</v>
          </cell>
          <cell r="G20">
            <v>19000</v>
          </cell>
          <cell r="H20">
            <v>22000</v>
          </cell>
          <cell r="I20">
            <v>39000</v>
          </cell>
          <cell r="J20">
            <v>59000</v>
          </cell>
          <cell r="K20">
            <v>61000</v>
          </cell>
          <cell r="L20">
            <v>53000</v>
          </cell>
          <cell r="M20">
            <v>36000</v>
          </cell>
        </row>
        <row r="21">
          <cell r="B21">
            <v>0</v>
          </cell>
        </row>
      </sheetData>
      <sheetData sheetId="7">
        <row r="5">
          <cell r="H5">
            <v>17512</v>
          </cell>
          <cell r="I5">
            <v>18434</v>
          </cell>
          <cell r="J5">
            <v>20277</v>
          </cell>
          <cell r="K5">
            <v>17512</v>
          </cell>
        </row>
        <row r="6">
          <cell r="C6">
            <v>16046</v>
          </cell>
          <cell r="D6">
            <v>21710</v>
          </cell>
          <cell r="E6">
            <v>18878</v>
          </cell>
          <cell r="F6">
            <v>24541</v>
          </cell>
          <cell r="L6">
            <v>16046</v>
          </cell>
          <cell r="M6">
            <v>16990</v>
          </cell>
          <cell r="N6">
            <v>13215</v>
          </cell>
        </row>
        <row r="9">
          <cell r="H9">
            <v>25962</v>
          </cell>
          <cell r="I9">
            <v>26889</v>
          </cell>
          <cell r="J9">
            <v>27816</v>
          </cell>
          <cell r="K9">
            <v>25962</v>
          </cell>
        </row>
        <row r="10">
          <cell r="C10">
            <v>21938</v>
          </cell>
          <cell r="D10">
            <v>20941</v>
          </cell>
          <cell r="E10">
            <v>18947</v>
          </cell>
          <cell r="F10">
            <v>16952</v>
          </cell>
          <cell r="L10">
            <v>24930</v>
          </cell>
          <cell r="M10">
            <v>19944</v>
          </cell>
          <cell r="N10">
            <v>16952</v>
          </cell>
        </row>
        <row r="13">
          <cell r="H13">
            <v>1396387</v>
          </cell>
          <cell r="I13">
            <v>1553297</v>
          </cell>
          <cell r="J13">
            <v>1611889</v>
          </cell>
          <cell r="K13">
            <v>1509600</v>
          </cell>
        </row>
        <row r="14">
          <cell r="C14">
            <v>1210271</v>
          </cell>
          <cell r="D14">
            <v>1162343</v>
          </cell>
          <cell r="E14">
            <v>1166337</v>
          </cell>
          <cell r="F14">
            <v>1105428</v>
          </cell>
          <cell r="L14">
            <v>1334085</v>
          </cell>
          <cell r="M14">
            <v>1193296</v>
          </cell>
          <cell r="N14">
            <v>1083461</v>
          </cell>
        </row>
        <row r="17">
          <cell r="H17">
            <v>18476</v>
          </cell>
          <cell r="I17">
            <v>21995</v>
          </cell>
          <cell r="J17">
            <v>21115</v>
          </cell>
          <cell r="K17">
            <v>21995</v>
          </cell>
        </row>
        <row r="18">
          <cell r="C18">
            <v>40820</v>
          </cell>
          <cell r="D18">
            <v>36837</v>
          </cell>
          <cell r="E18">
            <v>34846</v>
          </cell>
          <cell r="F18">
            <v>31859</v>
          </cell>
          <cell r="L18">
            <v>17921</v>
          </cell>
          <cell r="M18">
            <v>29868</v>
          </cell>
          <cell r="N18">
            <v>33850</v>
          </cell>
        </row>
        <row r="21">
          <cell r="H21">
            <v>10497</v>
          </cell>
          <cell r="I21">
            <v>10497</v>
          </cell>
          <cell r="J21">
            <v>10497</v>
          </cell>
          <cell r="K21">
            <v>10497</v>
          </cell>
        </row>
        <row r="22">
          <cell r="C22">
            <v>13155</v>
          </cell>
          <cell r="D22">
            <v>13155</v>
          </cell>
          <cell r="E22">
            <v>13155</v>
          </cell>
          <cell r="F22">
            <v>13155</v>
          </cell>
          <cell r="L22">
            <v>13155</v>
          </cell>
          <cell r="M22">
            <v>13155</v>
          </cell>
          <cell r="N22">
            <v>13155</v>
          </cell>
        </row>
        <row r="25">
          <cell r="H25">
            <v>24087</v>
          </cell>
          <cell r="I25">
            <v>27410</v>
          </cell>
          <cell r="J25">
            <v>26579</v>
          </cell>
          <cell r="K25">
            <v>26579</v>
          </cell>
        </row>
        <row r="26">
          <cell r="C26">
            <v>20733</v>
          </cell>
          <cell r="D26">
            <v>20733</v>
          </cell>
          <cell r="E26">
            <v>20733</v>
          </cell>
          <cell r="F26">
            <v>20733</v>
          </cell>
          <cell r="L26">
            <v>27330</v>
          </cell>
          <cell r="M26">
            <v>21675</v>
          </cell>
          <cell r="N26">
            <v>20733</v>
          </cell>
        </row>
        <row r="29">
          <cell r="H29">
            <v>231150</v>
          </cell>
          <cell r="I29">
            <v>234848</v>
          </cell>
          <cell r="J29">
            <v>241321</v>
          </cell>
          <cell r="K29">
            <v>247793</v>
          </cell>
        </row>
        <row r="30">
          <cell r="C30">
            <v>215492</v>
          </cell>
          <cell r="D30">
            <v>206361</v>
          </cell>
          <cell r="E30">
            <v>189012</v>
          </cell>
          <cell r="F30">
            <v>196317</v>
          </cell>
          <cell r="L30">
            <v>212752</v>
          </cell>
          <cell r="M30">
            <v>210926</v>
          </cell>
          <cell r="N30">
            <v>190838</v>
          </cell>
        </row>
      </sheetData>
      <sheetData sheetId="8"/>
      <sheetData sheetId="9"/>
      <sheetData sheetId="10">
        <row r="8">
          <cell r="H8">
            <v>3939300</v>
          </cell>
          <cell r="I8">
            <v>3939300</v>
          </cell>
          <cell r="J8">
            <v>3939300</v>
          </cell>
          <cell r="K8">
            <v>4814700</v>
          </cell>
          <cell r="L8">
            <v>3939300</v>
          </cell>
          <cell r="M8">
            <v>4377000</v>
          </cell>
        </row>
        <row r="9">
          <cell r="H9">
            <v>5060700</v>
          </cell>
          <cell r="I9">
            <v>5060700</v>
          </cell>
          <cell r="J9">
            <v>5060700</v>
          </cell>
          <cell r="K9">
            <v>6185300</v>
          </cell>
          <cell r="L9">
            <v>5060700</v>
          </cell>
          <cell r="M9">
            <v>5623000</v>
          </cell>
        </row>
        <row r="12">
          <cell r="H12">
            <v>4084200</v>
          </cell>
          <cell r="I12">
            <v>4538000</v>
          </cell>
          <cell r="J12">
            <v>5445600</v>
          </cell>
          <cell r="K12">
            <v>4991800</v>
          </cell>
          <cell r="L12">
            <v>4538000</v>
          </cell>
          <cell r="M12">
            <v>3630400</v>
          </cell>
        </row>
        <row r="13">
          <cell r="H13">
            <v>4915800</v>
          </cell>
          <cell r="I13">
            <v>5462000</v>
          </cell>
          <cell r="J13">
            <v>6554400</v>
          </cell>
          <cell r="K13">
            <v>6008200</v>
          </cell>
          <cell r="L13">
            <v>5462000</v>
          </cell>
          <cell r="M13">
            <v>4369600</v>
          </cell>
        </row>
        <row r="16">
          <cell r="H16">
            <v>245666200</v>
          </cell>
          <cell r="I16">
            <v>261579800</v>
          </cell>
          <cell r="J16">
            <v>283461000</v>
          </cell>
          <cell r="K16">
            <v>278488000</v>
          </cell>
          <cell r="L16">
            <v>261082500</v>
          </cell>
          <cell r="M16">
            <v>238704000</v>
          </cell>
        </row>
        <row r="17">
          <cell r="H17">
            <v>248333800</v>
          </cell>
          <cell r="I17">
            <v>264420200</v>
          </cell>
          <cell r="J17">
            <v>286539000</v>
          </cell>
          <cell r="K17">
            <v>281512000</v>
          </cell>
          <cell r="L17">
            <v>263917500</v>
          </cell>
          <cell r="M17">
            <v>241296000</v>
          </cell>
        </row>
        <row r="20">
          <cell r="H20">
            <v>4563900</v>
          </cell>
          <cell r="I20">
            <v>6223500</v>
          </cell>
          <cell r="J20">
            <v>7883100</v>
          </cell>
          <cell r="K20">
            <v>7053300</v>
          </cell>
          <cell r="L20">
            <v>6638400</v>
          </cell>
          <cell r="M20">
            <v>5393700</v>
          </cell>
        </row>
        <row r="21">
          <cell r="H21">
            <v>6436100</v>
          </cell>
          <cell r="I21">
            <v>8776500</v>
          </cell>
          <cell r="J21">
            <v>11116900</v>
          </cell>
          <cell r="K21">
            <v>9946700</v>
          </cell>
          <cell r="L21">
            <v>9361600</v>
          </cell>
          <cell r="M21">
            <v>7606300</v>
          </cell>
        </row>
        <row r="24">
          <cell r="H24">
            <v>580878</v>
          </cell>
          <cell r="I24">
            <v>580878</v>
          </cell>
          <cell r="J24">
            <v>580878</v>
          </cell>
          <cell r="K24">
            <v>580878</v>
          </cell>
          <cell r="L24">
            <v>580878</v>
          </cell>
          <cell r="M24">
            <v>580878</v>
          </cell>
        </row>
        <row r="25">
          <cell r="H25">
            <v>538347</v>
          </cell>
          <cell r="I25">
            <v>538347</v>
          </cell>
          <cell r="J25">
            <v>538347</v>
          </cell>
          <cell r="K25">
            <v>538347</v>
          </cell>
          <cell r="L25">
            <v>538347</v>
          </cell>
          <cell r="M25">
            <v>538347</v>
          </cell>
        </row>
        <row r="54">
          <cell r="H54">
            <v>4862000</v>
          </cell>
          <cell r="I54">
            <v>5304000</v>
          </cell>
          <cell r="J54">
            <v>4862000</v>
          </cell>
          <cell r="K54">
            <v>5304000</v>
          </cell>
          <cell r="L54">
            <v>5304000</v>
          </cell>
          <cell r="M54">
            <v>4862000</v>
          </cell>
        </row>
        <row r="55">
          <cell r="H55">
            <v>6138000</v>
          </cell>
          <cell r="I55">
            <v>6696000</v>
          </cell>
          <cell r="J55">
            <v>6138000</v>
          </cell>
          <cell r="K55">
            <v>6696000</v>
          </cell>
          <cell r="L55">
            <v>6696000</v>
          </cell>
          <cell r="M55">
            <v>6138000</v>
          </cell>
        </row>
        <row r="58">
          <cell r="H58">
            <v>52734200</v>
          </cell>
          <cell r="I58">
            <v>53181100</v>
          </cell>
          <cell r="J58">
            <v>57650100</v>
          </cell>
          <cell r="K58">
            <v>56756300</v>
          </cell>
          <cell r="L58">
            <v>49605900</v>
          </cell>
          <cell r="M58">
            <v>51393500</v>
          </cell>
        </row>
        <row r="59">
          <cell r="H59">
            <v>65265800</v>
          </cell>
          <cell r="I59">
            <v>65818900</v>
          </cell>
          <cell r="J59">
            <v>71349900</v>
          </cell>
          <cell r="K59">
            <v>70243700</v>
          </cell>
          <cell r="L59">
            <v>61394100</v>
          </cell>
          <cell r="M59">
            <v>63606500</v>
          </cell>
        </row>
      </sheetData>
      <sheetData sheetId="11"/>
      <sheetData sheetId="12"/>
      <sheetData sheetId="13"/>
      <sheetData sheetId="14"/>
      <sheetData sheetId="15"/>
      <sheetData sheetId="16"/>
      <sheetData sheetId="17">
        <row r="29">
          <cell r="G29">
            <v>10.86</v>
          </cell>
        </row>
      </sheetData>
      <sheetData sheetId="18"/>
      <sheetData sheetId="19">
        <row r="20">
          <cell r="G20">
            <v>1.4749999999999999E-2</v>
          </cell>
          <cell r="H20">
            <v>3.0100000000000001E-3</v>
          </cell>
        </row>
        <row r="21">
          <cell r="G21">
            <v>1.29E-2</v>
          </cell>
          <cell r="H21">
            <v>2.5999999999999999E-3</v>
          </cell>
        </row>
        <row r="24">
          <cell r="G24">
            <v>2.93</v>
          </cell>
          <cell r="H24">
            <v>0.6</v>
          </cell>
        </row>
        <row r="25">
          <cell r="G25">
            <v>1E-4</v>
          </cell>
          <cell r="H25">
            <v>0</v>
          </cell>
        </row>
        <row r="26">
          <cell r="H26" t="e">
            <v>#DIV/0!</v>
          </cell>
        </row>
        <row r="27">
          <cell r="G27">
            <v>5.14</v>
          </cell>
          <cell r="H27">
            <v>1.05</v>
          </cell>
        </row>
        <row r="28">
          <cell r="G28">
            <v>5.99</v>
          </cell>
          <cell r="H28">
            <v>1.22</v>
          </cell>
        </row>
        <row r="29">
          <cell r="G29">
            <v>3.45</v>
          </cell>
          <cell r="H29">
            <v>0.7</v>
          </cell>
        </row>
        <row r="30">
          <cell r="G30"/>
          <cell r="H30"/>
        </row>
        <row r="31">
          <cell r="G31">
            <v>5.05</v>
          </cell>
          <cell r="H31">
            <v>1.03</v>
          </cell>
        </row>
        <row r="32">
          <cell r="G32">
            <v>3.8999999999999998E-3</v>
          </cell>
          <cell r="H32">
            <v>8.0000000000000004E-4</v>
          </cell>
        </row>
        <row r="33">
          <cell r="G33">
            <v>1.75</v>
          </cell>
          <cell r="H33">
            <v>0.36</v>
          </cell>
        </row>
        <row r="34">
          <cell r="G34">
            <v>2.69</v>
          </cell>
          <cell r="H34">
            <v>0.55000000000000004</v>
          </cell>
        </row>
        <row r="35">
          <cell r="G35">
            <v>0</v>
          </cell>
          <cell r="H35">
            <v>0</v>
          </cell>
        </row>
        <row r="40">
          <cell r="G40">
            <v>3.2199999999999999E-2</v>
          </cell>
          <cell r="H40">
            <v>6.6E-3</v>
          </cell>
        </row>
        <row r="43">
          <cell r="G43">
            <v>2.4E-2</v>
          </cell>
          <cell r="H43">
            <v>4.8999999999999998E-3</v>
          </cell>
        </row>
        <row r="44">
          <cell r="H44" t="e">
            <v>#DIV/0!</v>
          </cell>
        </row>
        <row r="45">
          <cell r="G45">
            <v>5.22</v>
          </cell>
          <cell r="H45">
            <v>1.07</v>
          </cell>
        </row>
        <row r="46">
          <cell r="G46">
            <v>3.49</v>
          </cell>
          <cell r="H46">
            <v>0.71</v>
          </cell>
        </row>
        <row r="47">
          <cell r="G47">
            <v>1.77</v>
          </cell>
          <cell r="H47">
            <v>0.36</v>
          </cell>
        </row>
      </sheetData>
      <sheetData sheetId="20"/>
      <sheetData sheetId="21"/>
      <sheetData sheetId="22"/>
      <sheetData sheetId="23"/>
      <sheetData sheetId="24"/>
      <sheetData sheetId="25"/>
      <sheetData sheetId="26">
        <row r="12">
          <cell r="P12">
            <v>1.1560000000000001E-2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Pak, Christina" id="{9FD4BAFB-C44E-4D21-A23A-30CD0B35F826}" userId="Pak, Christina" providerId="None"/>
  <person displayName="Campagne, Scott E" id="{33543E93-7233-4BA0-AC27-3B05671F7C98}" userId="S::campagnesc@coned.com::669ae70d-1f35-4855-8995-b2383422b882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10" dT="2020-02-24T14:43:03.43" personId="{9FD4BAFB-C44E-4D21-A23A-30CD0B35F826}" id="{EF0D882E-BF1E-42B7-AF6D-3CE31D92DC24}">
    <text>From CUS</text>
  </threadedComment>
  <threadedComment ref="A24" dT="2020-02-20T19:18:36.67" personId="{9FD4BAFB-C44E-4D21-A23A-30CD0B35F826}" id="{0B953148-72AE-47E7-A119-5B0890A4B9EF}">
    <text>From CUS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6" dT="2020-02-24T16:26:52.30" personId="{9FD4BAFB-C44E-4D21-A23A-30CD0B35F826}" id="{9ACB3FA7-827A-413F-BFE5-B485D6E80AD5}">
    <text>Based on actuals from CUS</text>
  </threadedComment>
  <threadedComment ref="A18" dT="2020-02-24T16:27:11.28" personId="{9FD4BAFB-C44E-4D21-A23A-30CD0B35F826}" id="{917C9905-6614-4C39-A1B5-00D68DF0AFAC}">
    <text>From CUS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B6" dT="2020-02-28T21:51:47.02" personId="{9FD4BAFB-C44E-4D21-A23A-30CD0B35F826}" id="{45BCB32D-E0B6-4850-987B-69630BD9BB14}">
    <text>TOD Class Price out KWh</text>
  </threadedComment>
  <threadedComment ref="B10" dT="2020-02-28T21:52:20.12" personId="{9FD4BAFB-C44E-4D21-A23A-30CD0B35F826}" id="{D2857F8B-1407-4CCE-8750-AD9247EDC2A8}">
    <text>Taking the Conv Class Price Out * the On/Off Peak ratios to get the seasonal peak amounts.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O20" dT="2021-04-06T21:01:21.44" personId="{33543E93-7233-4BA0-AC27-3B05671F7C98}" id="{A31ECE57-ADC6-42D4-A996-2D7D7807E2CD}">
    <text>Includes the deferred amount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file:///\\m02009fi\datadirs\Rate%20Engineering\ELECRATE\MSC%20and%20MAC%20Rates\RateCase%202019\Initial%20Filing\Rev%20Allocation%20and%20Rate%20Design\Revenue%20Priceout\2017%20priceout\Conv%20Dmd%20&amp;%20Energy%20Only%20Class%20Priceouts%20-%202019%20case.xlsx" TargetMode="External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file:///\\m02009fi\datadirs\Rate%20Engineering\ELECRATE\MSC%20and%20MAC%20Rates\May%202020%20MAC&amp;MSC%20CAP\February%202020%20MAC\2020%20Budget%20Delivery%20Volume%20&amp;%20Revenues%20for%20Rate%20Engineering.xlsx" TargetMode="External"/><Relationship Id="rId1" Type="http://schemas.openxmlformats.org/officeDocument/2006/relationships/hyperlink" Target="file:///\\m02009fi\datadirs\Rate%20Engineering\ELECRATE\MSC%20and%20MAC%20Rates\May%202020%20MAC&amp;MSC%20CAP\0001%20Revised%20MSC%20Capacity\MSC%20Capacity\2019%20Budget%20SC%20Volumes-rev-dmd%20(rate%20eng).xlsx" TargetMode="External"/><Relationship Id="rId6" Type="http://schemas.microsoft.com/office/2017/10/relationships/threadedComment" Target="../threadedComments/threadedComment2.xml"/><Relationship Id="rId5" Type="http://schemas.openxmlformats.org/officeDocument/2006/relationships/comments" Target="../comments3.xml"/><Relationship Id="rId4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file:///\\m02009fi\datadirs\Rate%20Engineering\ELECRATE\MSC%20and%20MAC%20Rates\RateCase%202019\Initial%20Filing\Rev%20Allocation%20and%20Rate%20Design\Revenue%20Priceout\2017%20priceout\Conv%20Dmd%20&amp;%20Energy%20Only%20Class%20Priceouts%20-%202019%20case.xlsx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file:///\\m02009fi\datadirs\Rate%20Engineering\ELECRATE\MSC%20and%20MAC%20Rates\May%202020%20MAC&amp;MSC%20CAP\February%202020%20MAC\kW%20Ratios%20for%20Conv%20Classes%20-%20ECOS%202017.xlsx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hyperlink" Target="file:///\\m02009fi\datadirs\Rate%20Engineering\ELECRATE\RateCase%202022\Initial%20Filing\Rev%20Allocation%20and%20Rate%20Design\Revenue%20Priceout\2019%20Priceout\2019%20TOD%20Class%20Priceouts%202022%20Case.xlsx" TargetMode="External"/><Relationship Id="rId1" Type="http://schemas.openxmlformats.org/officeDocument/2006/relationships/hyperlink" Target="file:///\\m02009fi\datadirs\Rate%20Engineering\ELECRATE\RateCase%202022\Initial%20Filing\Rev%20Allocation%20and%20Rate%20Design\Revenue%20Priceout\2019%20Priceout\2019%20TOD%20Class%20Priceouts%202022%20Case.xlsx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file:///\\m02009fi\datadirs\Rate%20Engineering\ELECRATE\MSC%20and%20MAC%20Rates\RateCase%202019\Initial%20Filing\Rev%20Allocation%20and%20Rate%20Design\Revenue%20Priceout\2017%20priceout\Conv%20Dmd%20&amp;%20Energy%20Only%20Class%20Priceouts%20-%202019%20case.xlsx" TargetMode="External"/><Relationship Id="rId7" Type="http://schemas.microsoft.com/office/2017/10/relationships/threadedComment" Target="../threadedComments/threadedComment3.xml"/><Relationship Id="rId2" Type="http://schemas.openxmlformats.org/officeDocument/2006/relationships/hyperlink" Target="file:///\\m02009fi\datadirs\Rate%20Engineering\ELECRATE\MSC%20and%20MAC%20Rates\May%202020%20MAC&amp;MSC%20CAP\February%202020%20MAC\2017%20On%20Peak%20Off%20Peak%20for%20Rate%20Section_Sendout.xlsx" TargetMode="External"/><Relationship Id="rId1" Type="http://schemas.openxmlformats.org/officeDocument/2006/relationships/hyperlink" Target="file:///\\m02009fi\datadirs\Rate%20Engineering\ELECRATE\MSC%20and%20MAC%20Rates\RateCase%202019\Initial%20Filing\Rev%20Allocation%20and%20Rate%20Design\Revenue%20Priceout\2017%20priceout\TOD%20Class%20Priceouts%202019%20Case.xls" TargetMode="External"/><Relationship Id="rId6" Type="http://schemas.openxmlformats.org/officeDocument/2006/relationships/comments" Target="../comments4.xml"/><Relationship Id="rId5" Type="http://schemas.openxmlformats.org/officeDocument/2006/relationships/vmlDrawing" Target="../drawings/vmlDrawing4.vml"/><Relationship Id="rId4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.bin"/><Relationship Id="rId2" Type="http://schemas.openxmlformats.org/officeDocument/2006/relationships/hyperlink" Target="file:///\\m02009fi\datadirs\Rate%20Engineering\ELECRATE\MSC%20and%20MAC%20Rates\May%202020%20MAC&amp;MSC%20CAP\0001%20Revised%20MSC%20Capacity\May%202017%20MAC&amp;MSC%20CAP\2013%20On%20Peak%20Off%20Peak%20for%20Rate%20Section.xlsx" TargetMode="External"/><Relationship Id="rId1" Type="http://schemas.openxmlformats.org/officeDocument/2006/relationships/hyperlink" Target="file:///\\m02009fi\datadirs\Rate%20Engineering\ELECRATE\MSC%20and%20MAC%20Rates\May%202020%20MAC&amp;MSC%20CAP\RateCase%202015\CUS%20-%20RESPIN%20Parallel%20Testing\CUS\Pricing%20Distribution\Conv%20Dmd%20&amp;%20Energy%20Only%20Class%20Priceouts.xlsx" TargetMode="External"/><Relationship Id="rId5" Type="http://schemas.openxmlformats.org/officeDocument/2006/relationships/comments" Target="../comments5.xml"/><Relationship Id="rId4" Type="http://schemas.openxmlformats.org/officeDocument/2006/relationships/vmlDrawing" Target="../drawings/vmlDrawing5.v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7.bin"/><Relationship Id="rId4" Type="http://schemas.microsoft.com/office/2017/10/relationships/threadedComment" Target="../threadedComments/threadedComment4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printerSettings" Target="../printerSettings/printerSettings20.bin"/><Relationship Id="rId1" Type="http://schemas.openxmlformats.org/officeDocument/2006/relationships/hyperlink" Target="file:///\\m02009fi\datadirs\Rate%20Engineering\ELECRATE\MSC%20and%20MAC%20Rates\May%202020%20MAC&amp;MSC%20CAP\0001%20Revised%20MSC%20Capacity\2017%20On%20Peak%20Off%20Peak%20for%20Rate%20Section_Sendout.xlsx" TargetMode="External"/><Relationship Id="rId4" Type="http://schemas.openxmlformats.org/officeDocument/2006/relationships/comments" Target="../comments1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printerSettings" Target="../printerSettings/printerSettings25.bin"/><Relationship Id="rId1" Type="http://schemas.openxmlformats.org/officeDocument/2006/relationships/hyperlink" Target="file:///\\m02009fi\datadirs\Rate%20Engineering\ELECRATE\MSC%20and%20MAC%20Rates\May%202020%20MAC&amp;MSC%20CAP\0001%20Revised%20MSC%20Capacity\May%202017%20MAC&amp;MSC%20CAP\2013%20On%20Peak%20Off%20Peak%20for%20Rate%20Section.xlsx" TargetMode="External"/><Relationship Id="rId4" Type="http://schemas.openxmlformats.org/officeDocument/2006/relationships/comments" Target="../comments13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6.bin"/><Relationship Id="rId2" Type="http://schemas.openxmlformats.org/officeDocument/2006/relationships/hyperlink" Target="file:///\\m02009fi\datadirs\Rate%20Engineering\ELECRATE\MSC%20and%20MAC%20Rates\May%202020%20MAC&amp;MSC%20CAP\0001%20Revised%20MSC%20Capacity\May%202017%20MAC&amp;MSC%20CAP\2013%20On%20Peak%20Off%20Peak%20for%20Rate%20Section.xlsx" TargetMode="External"/><Relationship Id="rId1" Type="http://schemas.openxmlformats.org/officeDocument/2006/relationships/hyperlink" Target="file:///\\m02009fi\datadirs\Rate%20Engineering\ELECRATE\MSC%20and%20MAC%20Rates\May%202020%20MAC&amp;MSC%20CAP\0001%20Revised%20MSC%20Capacity\May%202017%20MAC&amp;MSC%20CAP\2013%20On%20Peak%20Off%20Peak%20for%20Rate%20Section.xlsx" TargetMode="External"/><Relationship Id="rId5" Type="http://schemas.openxmlformats.org/officeDocument/2006/relationships/comments" Target="../comments14.xml"/><Relationship Id="rId4" Type="http://schemas.openxmlformats.org/officeDocument/2006/relationships/vmlDrawing" Target="../drawings/vmlDrawing14.v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7.bin"/><Relationship Id="rId2" Type="http://schemas.openxmlformats.org/officeDocument/2006/relationships/hyperlink" Target="file:///\\m02009fi\datadirs\Rate%20Engineering\ELECRATE\MSC%20and%20MAC%20Rates\May%202020%20MAC&amp;MSC%20CAP\0001%20Revised%20MSC%20Capacity\May%202017%20MAC&amp;MSC%20CAP\2013%20On%20Peak%20Off%20Peak%20for%20Rate%20Section.xlsx" TargetMode="External"/><Relationship Id="rId1" Type="http://schemas.openxmlformats.org/officeDocument/2006/relationships/hyperlink" Target="file:///\\m02009fi\datadirs\Rate%20Engineering\ELECRATE\MSC%20and%20MAC%20Rates\May%202020%20MAC&amp;MSC%20CAP\0001%20Revised%20MSC%20Capacity\May%202017%20MAC&amp;MSC%20CAP\2013%20On%20Peak%20Off%20Peak%20for%20Rate%20Section.xlsx" TargetMode="External"/><Relationship Id="rId5" Type="http://schemas.openxmlformats.org/officeDocument/2006/relationships/comments" Target="../comments15.xml"/><Relationship Id="rId4" Type="http://schemas.openxmlformats.org/officeDocument/2006/relationships/vmlDrawing" Target="../drawings/vmlDrawing15.v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8.bin"/><Relationship Id="rId2" Type="http://schemas.openxmlformats.org/officeDocument/2006/relationships/hyperlink" Target="file:///\\m02009fi\datadirs\Rate%20Engineering\ELECRATE\MSC%20and%20MAC%20Rates\May%202020%20MAC&amp;MSC%20CAP\0001%20Revised%20MSC%20Capacity\May%202017%20MAC&amp;MSC%20CAP\2013%20On%20Peak%20Off%20Peak%20for%20Rate%20Section.xlsx" TargetMode="External"/><Relationship Id="rId1" Type="http://schemas.openxmlformats.org/officeDocument/2006/relationships/hyperlink" Target="file:///\\m02009fi\datadirs\Rate%20Engineering\ELECRATE\MSC%20and%20MAC%20Rates\May%202020%20MAC&amp;MSC%20CAP\0001%20Revised%20MSC%20Capacity\May%202017%20MAC&amp;MSC%20CAP\2013%20On%20Peak%20Off%20Peak%20for%20Rate%20Section.xlsx" TargetMode="External"/><Relationship Id="rId5" Type="http://schemas.openxmlformats.org/officeDocument/2006/relationships/comments" Target="../comments16.xml"/><Relationship Id="rId4" Type="http://schemas.openxmlformats.org/officeDocument/2006/relationships/vmlDrawing" Target="../drawings/vmlDrawing16.v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9.bin"/><Relationship Id="rId2" Type="http://schemas.openxmlformats.org/officeDocument/2006/relationships/hyperlink" Target="file:///\\m02009fi\datadirs\Rate%20Engineering\ELECRATE\MSC%20and%20MAC%20Rates\May%202020%20MAC&amp;MSC%20CAP\0001%20Revised%20MSC%20Capacity\May%202017%20MAC&amp;MSC%20CAP\2013%20On%20Peak%20Off%20Peak%20for%20Rate%20Section.xlsx" TargetMode="External"/><Relationship Id="rId1" Type="http://schemas.openxmlformats.org/officeDocument/2006/relationships/hyperlink" Target="file:///\\m02009fi\datadirs\Rate%20Engineering\ELECRATE\MSC%20and%20MAC%20Rates\May%202020%20MAC&amp;MSC%20CAP\0001%20Revised%20MSC%20Capacity\May%202017%20MAC&amp;MSC%20CAP\2013%20On%20Peak%20Off%20Peak%20for%20Rate%20Section.xlsx" TargetMode="External"/><Relationship Id="rId5" Type="http://schemas.openxmlformats.org/officeDocument/2006/relationships/comments" Target="../comments17.xml"/><Relationship Id="rId4" Type="http://schemas.openxmlformats.org/officeDocument/2006/relationships/vmlDrawing" Target="../drawings/vmlDrawing17.vm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0.bin"/><Relationship Id="rId2" Type="http://schemas.openxmlformats.org/officeDocument/2006/relationships/hyperlink" Target="file:///\\m02009fi\datadirs\Rate%20Engineering\ELECRATE\MSC%20and%20MAC%20Rates\May%202020%20MAC&amp;MSC%20CAP\0001%20Revised%20MSC%20Capacity\May%202017%20MAC&amp;MSC%20CAP\2013%20On%20Peak%20Off%20Peak%20for%20Rate%20Section.xlsx" TargetMode="External"/><Relationship Id="rId1" Type="http://schemas.openxmlformats.org/officeDocument/2006/relationships/hyperlink" Target="file:///\\m02009fi\datadirs\Rate%20Engineering\ELECRATE\MSC%20and%20MAC%20Rates\May%202020%20MAC&amp;MSC%20CAP\0001%20Revised%20MSC%20Capacity\May%202017%20MAC&amp;MSC%20CAP\2013%20On%20Peak%20Off%20Peak%20for%20Rate%20Section.xlsx" TargetMode="External"/><Relationship Id="rId5" Type="http://schemas.openxmlformats.org/officeDocument/2006/relationships/comments" Target="../comments18.xml"/><Relationship Id="rId4" Type="http://schemas.openxmlformats.org/officeDocument/2006/relationships/vmlDrawing" Target="../drawings/vmlDrawing18.v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1.bin"/><Relationship Id="rId2" Type="http://schemas.openxmlformats.org/officeDocument/2006/relationships/hyperlink" Target="file:///\\m02009fi\datadirs\Rate%20Engineering\ELECRATE\MSC%20and%20MAC%20Rates\May%202020%20MAC&amp;MSC%20CAP\0001%20Revised%20MSC%20Capacity\May%202017%20MAC&amp;MSC%20CAP\2013%20On%20Peak%20Off%20Peak%20for%20Rate%20Section.xlsx" TargetMode="External"/><Relationship Id="rId1" Type="http://schemas.openxmlformats.org/officeDocument/2006/relationships/hyperlink" Target="file:///\\m02009fi\datadirs\Rate%20Engineering\ELECRATE\MSC%20and%20MAC%20Rates\May%202020%20MAC&amp;MSC%20CAP\0001%20Revised%20MSC%20Capacity\May%202017%20MAC&amp;MSC%20CAP\2013%20On%20Peak%20Off%20Peak%20for%20Rate%20Section.xlsx" TargetMode="External"/><Relationship Id="rId5" Type="http://schemas.openxmlformats.org/officeDocument/2006/relationships/comments" Target="../comments19.xml"/><Relationship Id="rId4" Type="http://schemas.openxmlformats.org/officeDocument/2006/relationships/vmlDrawing" Target="../drawings/vmlDrawing19.vm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0.vml"/><Relationship Id="rId2" Type="http://schemas.openxmlformats.org/officeDocument/2006/relationships/printerSettings" Target="../printerSettings/printerSettings32.bin"/><Relationship Id="rId1" Type="http://schemas.openxmlformats.org/officeDocument/2006/relationships/hyperlink" Target="file:///\\m02009fi\datadirs\Rate%20Engineering\ELECRATE\MSC%20and%20MAC%20Rates\May%202020%20MAC&amp;MSC%20CAP\0001%20Revised%20MSC%20Capacity\May%202017%20MAC&amp;MSC%20CAP\2013%20On%20Peak%20Off%20Peak%20for%20Rate%20Section.xlsx" TargetMode="External"/><Relationship Id="rId4" Type="http://schemas.openxmlformats.org/officeDocument/2006/relationships/comments" Target="../comments20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1.vml"/><Relationship Id="rId2" Type="http://schemas.openxmlformats.org/officeDocument/2006/relationships/printerSettings" Target="../printerSettings/printerSettings33.bin"/><Relationship Id="rId1" Type="http://schemas.openxmlformats.org/officeDocument/2006/relationships/hyperlink" Target="file:///\\m02009fi\datadirs\Rate%20Engineering\ELECRATE\MSC%20and%20MAC%20Rates\May%202020%20MAC&amp;MSC%20CAP\0001%20Revised%20MSC%20Capacity\May%202017%20MAC&amp;MSC%20CAP\2013%20On%20Peak%20Off%20Peak%20for%20Rate%20Section.xlsx" TargetMode="External"/><Relationship Id="rId4" Type="http://schemas.openxmlformats.org/officeDocument/2006/relationships/comments" Target="../comments21.xm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2.vml"/><Relationship Id="rId2" Type="http://schemas.openxmlformats.org/officeDocument/2006/relationships/printerSettings" Target="../printerSettings/printerSettings34.bin"/><Relationship Id="rId1" Type="http://schemas.openxmlformats.org/officeDocument/2006/relationships/hyperlink" Target="file:///\\m02009fi\datadirs\Rate%20Engineering\ELECRATE\MSC%20and%20MAC%20Rates\May%202020%20MAC&amp;MSC%20CAP\0001%20Revised%20MSC%20Capacity\May%202017%20MAC&amp;MSC%20CAP\2013%20On%20Peak%20Off%20Peak%20for%20Rate%20Section.xlsx" TargetMode="External"/><Relationship Id="rId4" Type="http://schemas.openxmlformats.org/officeDocument/2006/relationships/comments" Target="../comments22.xm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3.vml"/><Relationship Id="rId2" Type="http://schemas.openxmlformats.org/officeDocument/2006/relationships/printerSettings" Target="../printerSettings/printerSettings35.bin"/><Relationship Id="rId1" Type="http://schemas.openxmlformats.org/officeDocument/2006/relationships/hyperlink" Target="file:///\\m02009fi\datadirs\Rate%20Engineering\ELECRATE\MSC%20and%20MAC%20Rates\May%202020%20MAC&amp;MSC%20CAP\0001%20Revised%20MSC%20Capacity\May%202017%20MAC&amp;MSC%20CAP\2013%20On%20Peak%20Off%20Peak%20for%20Rate%20Section.xlsx" TargetMode="External"/><Relationship Id="rId4" Type="http://schemas.openxmlformats.org/officeDocument/2006/relationships/comments" Target="../comments23.xm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4.vml"/><Relationship Id="rId2" Type="http://schemas.openxmlformats.org/officeDocument/2006/relationships/printerSettings" Target="../printerSettings/printerSettings36.bin"/><Relationship Id="rId1" Type="http://schemas.openxmlformats.org/officeDocument/2006/relationships/hyperlink" Target="file:///\\m02009fi\datadirs\Rate%20Engineering\ELECRATE\MSC%20and%20MAC%20Rates\May%202020%20MAC&amp;MSC%20CAP\0001%20Revised%20MSC%20Capacity\May%202017%20MAC&amp;MSC%20CAP\2013%20On%20Peak%20Off%20Peak%20for%20Rate%20Section.xlsx" TargetMode="External"/><Relationship Id="rId4" Type="http://schemas.openxmlformats.org/officeDocument/2006/relationships/comments" Target="../comments24.xm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5.vml"/><Relationship Id="rId2" Type="http://schemas.openxmlformats.org/officeDocument/2006/relationships/printerSettings" Target="../printerSettings/printerSettings37.bin"/><Relationship Id="rId1" Type="http://schemas.openxmlformats.org/officeDocument/2006/relationships/hyperlink" Target="file:///\\m02009fi\datadirs\Rate%20Engineering\ELECRATE\MSC%20and%20MAC%20Rates\May%202020%20MAC&amp;MSC%20CAP\0001%20Revised%20MSC%20Capacity\May%202017%20MAC&amp;MSC%20CAP\2013%20On%20Peak%20Off%20Peak%20for%20Rate%20Section.xlsx" TargetMode="External"/><Relationship Id="rId4" Type="http://schemas.openxmlformats.org/officeDocument/2006/relationships/comments" Target="../comments2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FF00"/>
    <pageSetUpPr fitToPage="1"/>
  </sheetPr>
  <dimension ref="A1:AJ50"/>
  <sheetViews>
    <sheetView zoomScaleNormal="100" workbookViewId="0">
      <pane xSplit="4" ySplit="6" topLeftCell="E17" activePane="bottomRight" state="frozen"/>
      <selection activeCell="AC9" sqref="AC9"/>
      <selection pane="topRight" activeCell="AC9" sqref="AC9"/>
      <selection pane="bottomLeft" activeCell="AC9" sqref="AC9"/>
      <selection pane="bottomRight" activeCell="B19" sqref="B19"/>
    </sheetView>
  </sheetViews>
  <sheetFormatPr defaultColWidth="15.7265625" defaultRowHeight="12.5" x14ac:dyDescent="0.25"/>
  <cols>
    <col min="1" max="1" width="11.26953125" customWidth="1"/>
    <col min="2" max="2" width="9.26953125" bestFit="1" customWidth="1"/>
    <col min="3" max="3" width="9.453125" customWidth="1"/>
    <col min="4" max="4" width="8.453125" customWidth="1"/>
    <col min="5" max="5" width="9.26953125" customWidth="1"/>
    <col min="6" max="6" width="8.7265625" customWidth="1"/>
    <col min="7" max="7" width="8.90625" bestFit="1" customWidth="1"/>
    <col min="8" max="8" width="10.453125" customWidth="1"/>
    <col min="9" max="9" width="10.1796875" customWidth="1"/>
    <col min="10" max="10" width="10.26953125" customWidth="1"/>
    <col min="11" max="13" width="9.1796875" bestFit="1" customWidth="1"/>
    <col min="14" max="14" width="51.26953125" hidden="1" customWidth="1"/>
    <col min="15" max="15" width="3.1796875" customWidth="1"/>
    <col min="16" max="16" width="7.81640625" hidden="1" customWidth="1"/>
    <col min="17" max="17" width="6.1796875" hidden="1" customWidth="1"/>
    <col min="18" max="18" width="6" hidden="1" customWidth="1"/>
    <col min="19" max="19" width="6.1796875" hidden="1" customWidth="1"/>
    <col min="20" max="20" width="6.26953125" hidden="1" customWidth="1"/>
    <col min="21" max="21" width="6.1796875" hidden="1" customWidth="1"/>
    <col min="28" max="28" width="4.26953125" customWidth="1"/>
  </cols>
  <sheetData>
    <row r="1" spans="1:36" x14ac:dyDescent="0.25">
      <c r="B1" s="766"/>
      <c r="C1" s="766"/>
      <c r="D1" s="766"/>
      <c r="E1" s="766"/>
      <c r="F1" s="766"/>
      <c r="G1" s="766"/>
    </row>
    <row r="2" spans="1:36" x14ac:dyDescent="0.25">
      <c r="B2" s="766"/>
      <c r="C2" s="766"/>
      <c r="D2" s="766"/>
      <c r="E2" s="766"/>
      <c r="F2" s="766"/>
      <c r="G2" s="766"/>
      <c r="H2" s="766"/>
      <c r="I2" s="766"/>
      <c r="P2" s="191" t="s">
        <v>549</v>
      </c>
      <c r="Q2" s="191"/>
      <c r="R2" s="191"/>
      <c r="S2" s="191"/>
      <c r="T2" s="191"/>
      <c r="U2" s="191"/>
      <c r="V2" s="191"/>
    </row>
    <row r="3" spans="1:36" x14ac:dyDescent="0.25">
      <c r="B3" s="767"/>
      <c r="C3" s="767"/>
      <c r="D3" s="767"/>
      <c r="E3" s="767"/>
      <c r="F3" s="767"/>
      <c r="G3" s="767"/>
      <c r="H3" s="767"/>
      <c r="I3" s="767"/>
      <c r="J3" s="767"/>
      <c r="K3" s="767"/>
      <c r="L3" s="767"/>
      <c r="M3" s="767"/>
      <c r="N3" s="192"/>
      <c r="O3" s="611"/>
      <c r="P3" s="632" t="s">
        <v>557</v>
      </c>
      <c r="Q3" s="611"/>
      <c r="R3" s="611"/>
      <c r="S3" s="611"/>
      <c r="T3" s="1"/>
      <c r="U3" s="1"/>
    </row>
    <row r="4" spans="1:36" x14ac:dyDescent="0.25">
      <c r="B4" s="768"/>
      <c r="C4" s="768"/>
      <c r="D4" s="768"/>
      <c r="E4" s="768"/>
      <c r="F4" s="768"/>
      <c r="G4" s="768"/>
      <c r="H4" s="768"/>
      <c r="I4" s="768"/>
      <c r="J4" s="768"/>
      <c r="K4" s="768"/>
      <c r="L4" s="768"/>
      <c r="M4" s="768"/>
      <c r="N4" s="1"/>
      <c r="O4" s="1"/>
      <c r="P4" s="1"/>
      <c r="Q4" s="1"/>
      <c r="R4" s="1"/>
      <c r="S4" s="1"/>
      <c r="T4" s="1"/>
      <c r="U4" s="1"/>
    </row>
    <row r="5" spans="1:36" ht="13" x14ac:dyDescent="0.3">
      <c r="A5" s="2"/>
      <c r="B5" s="769" t="s">
        <v>0</v>
      </c>
      <c r="C5" s="769"/>
      <c r="D5" s="769"/>
      <c r="E5" s="769"/>
      <c r="F5" s="769"/>
      <c r="G5" s="769"/>
      <c r="H5" s="769"/>
      <c r="I5" s="769"/>
      <c r="J5" s="769"/>
      <c r="K5" s="769"/>
      <c r="L5" s="769"/>
      <c r="M5" s="769"/>
      <c r="N5" s="1"/>
      <c r="O5" s="1"/>
      <c r="V5" t="s">
        <v>576</v>
      </c>
      <c r="AC5" t="s">
        <v>632</v>
      </c>
    </row>
    <row r="6" spans="1:36" ht="13" x14ac:dyDescent="0.3">
      <c r="A6" s="2"/>
      <c r="B6" s="3">
        <f>DATE(YEAR(M$6),MONTH(M$6)+1,1)</f>
        <v>44682</v>
      </c>
      <c r="C6" s="3">
        <f>DATE(YEAR(B$6),MONTH(B$6)+1,1)</f>
        <v>44713</v>
      </c>
      <c r="D6" s="3">
        <f t="shared" ref="D6:F6" si="0">DATE(YEAR(C$6),MONTH(C$6)+1,1)</f>
        <v>44743</v>
      </c>
      <c r="E6" s="3">
        <f t="shared" si="0"/>
        <v>44774</v>
      </c>
      <c r="F6" s="3">
        <f t="shared" si="0"/>
        <v>44805</v>
      </c>
      <c r="G6" s="3">
        <f t="shared" ref="G6:L6" si="1">DATE(YEAR(F$6),MONTH(F$6)+1,1)</f>
        <v>44835</v>
      </c>
      <c r="H6" s="566">
        <f>EOMONTH(G6,-11)</f>
        <v>44530</v>
      </c>
      <c r="I6" s="566">
        <f t="shared" si="1"/>
        <v>44531</v>
      </c>
      <c r="J6" s="566">
        <f t="shared" si="1"/>
        <v>44562</v>
      </c>
      <c r="K6" s="566">
        <f t="shared" si="1"/>
        <v>44593</v>
      </c>
      <c r="L6" s="566">
        <f t="shared" si="1"/>
        <v>44621</v>
      </c>
      <c r="M6" s="757">
        <v>44652</v>
      </c>
      <c r="N6" s="1"/>
      <c r="O6" s="1"/>
      <c r="V6" s="566">
        <v>44501</v>
      </c>
      <c r="W6" s="566">
        <v>44531</v>
      </c>
      <c r="X6" s="566">
        <v>44562</v>
      </c>
      <c r="Y6" s="566">
        <v>44593</v>
      </c>
      <c r="Z6" s="566">
        <v>44621</v>
      </c>
      <c r="AA6" s="566">
        <v>44652</v>
      </c>
      <c r="AC6" s="566">
        <v>44682</v>
      </c>
      <c r="AD6" s="566">
        <v>44713</v>
      </c>
      <c r="AE6" s="566">
        <v>44743</v>
      </c>
      <c r="AF6" s="566">
        <v>44774</v>
      </c>
      <c r="AG6" s="566">
        <v>44805</v>
      </c>
      <c r="AH6" s="566">
        <v>44835</v>
      </c>
      <c r="AI6" s="566">
        <v>44866</v>
      </c>
      <c r="AJ6" s="566">
        <v>44896</v>
      </c>
    </row>
    <row r="7" spans="1:36" x14ac:dyDescent="0.25">
      <c r="A7" s="4"/>
      <c r="F7" s="5"/>
      <c r="G7" s="5"/>
      <c r="H7" s="6"/>
      <c r="I7" s="6"/>
      <c r="J7" s="6"/>
      <c r="N7" s="7"/>
      <c r="O7" s="7"/>
      <c r="P7" s="9"/>
      <c r="Q7" s="9"/>
    </row>
    <row r="8" spans="1:36" x14ac:dyDescent="0.25">
      <c r="A8" s="10">
        <v>1</v>
      </c>
      <c r="B8" s="11">
        <f>VLOOKUP(DATE(YEAR(B$6),MONTH(B$6)+1,1)-1,'[1]Final Sales including BIR'!$D$8:$U$91,2,TRUE)</f>
        <v>858</v>
      </c>
      <c r="C8" s="11">
        <f>VLOOKUP(DATE(YEAR(C$6),MONTH(C$6)+1,1)-1,'[1]Final Sales including BIR'!$D$8:$U$91,2,TRUE)</f>
        <v>1086</v>
      </c>
      <c r="D8" s="11">
        <f>VLOOKUP(DATE(YEAR(D$6),MONTH(D$6)+1,1)-1,'[1]Final Sales including BIR'!$D$8:$U$91,2,TRUE)</f>
        <v>1568</v>
      </c>
      <c r="E8" s="11">
        <f>VLOOKUP(DATE(YEAR(E$6),MONTH(E$6)+1,1)-1,'[1]Final Sales including BIR'!$D$8:$U$91,2,TRUE)</f>
        <v>1627</v>
      </c>
      <c r="F8" s="11">
        <f>VLOOKUP(DATE(YEAR(F$6),MONTH(F$6)+1,1)-1,'[1]Final Sales including BIR'!$D$8:$U$91,2,TRUE)</f>
        <v>1448</v>
      </c>
      <c r="G8" s="11">
        <f>VLOOKUP(DATE(YEAR(G$6),MONTH(G$6)+1,1)-1,'[1]Final Sales including BIR'!$D$8:$U$91,2,TRUE)</f>
        <v>1050</v>
      </c>
      <c r="H8" s="11">
        <f>VLOOKUP(DATE(YEAR(H$6),MONTH(H$6)+1,1)-1,'[1]Final Sales including BIR'!$D$8:$U$91,2,TRUE)</f>
        <v>952</v>
      </c>
      <c r="I8" s="11">
        <f>VLOOKUP(DATE(YEAR(I$6),MONTH(I$6)+1,1)-1,'[1]Final Sales including BIR'!$D$8:$U$91,2,TRUE)</f>
        <v>1070</v>
      </c>
      <c r="J8" s="11">
        <f>VLOOKUP(DATE(YEAR(J$6),MONTH(J$6)+1,1)-1,'[1]Final Sales including BIR'!$D$8:$U$91,2,TRUE)</f>
        <v>1117</v>
      </c>
      <c r="K8" s="11">
        <f>VLOOKUP(DATE(YEAR(K$6),MONTH(K$6)+1,1)-1,'[1]Final Sales including BIR'!$D$8:$U$91,2,TRUE)</f>
        <v>1061</v>
      </c>
      <c r="L8" s="11">
        <f>VLOOKUP(DATE(YEAR(L$6),MONTH(L$6)+1,1)-1,'[1]Final Sales including BIR'!$D$8:$U$91,2,TRUE)</f>
        <v>984</v>
      </c>
      <c r="M8" s="11">
        <f>VLOOKUP(DATE(YEAR(M$6),MONTH(M$6)+1,1)-1,'[1]Final Sales including BIR'!$D$8:$U$91,2,TRUE)</f>
        <v>868</v>
      </c>
      <c r="N8" s="7"/>
      <c r="O8" s="7"/>
      <c r="P8" s="13"/>
      <c r="Q8" s="9"/>
      <c r="V8" s="11">
        <f>VLOOKUP(DATE(YEAR(V$6),MONTH(V$6)+1,1)-1,'[1]Final Sales including BIR'!$D$8:$U$91,2,TRUE)</f>
        <v>952</v>
      </c>
      <c r="W8" s="11">
        <f>VLOOKUP(DATE(YEAR(W$6),MONTH(W$6)+1,1)-1,'[1]Final Sales including BIR'!$D$8:$U$91,2,TRUE)</f>
        <v>1070</v>
      </c>
      <c r="X8" s="11">
        <f>VLOOKUP(DATE(YEAR(X$6),MONTH(X$6)+1,1)-1,'[1]Final Sales including BIR'!$D$8:$U$91,2,TRUE)</f>
        <v>1117</v>
      </c>
      <c r="Y8" s="11">
        <f>VLOOKUP(DATE(YEAR(Y$6),MONTH(Y$6)+1,1)-1,'[1]Final Sales including BIR'!$D$8:$U$91,2,TRUE)</f>
        <v>1061</v>
      </c>
      <c r="Z8" s="11">
        <f>VLOOKUP(DATE(YEAR(Z$6),MONTH(Z$6)+1,1)-1,'[1]Final Sales including BIR'!$D$8:$U$91,2,TRUE)</f>
        <v>984</v>
      </c>
      <c r="AA8" s="11">
        <f>VLOOKUP(DATE(YEAR(AA$6),MONTH(AA$6)+1,1)-1,'[1]Final Sales including BIR'!$D$8:$U$91,2,TRUE)</f>
        <v>868</v>
      </c>
      <c r="AC8" s="11">
        <f>VLOOKUP(DATE(YEAR(AC$6),MONTH(AC$6)+1,1)-1,'[1]Final Sales including BIR'!$D$8:$U$91,2,TRUE)</f>
        <v>858</v>
      </c>
      <c r="AD8" s="11">
        <f>VLOOKUP(DATE(YEAR(AD$6),MONTH(AD$6)+1,1)-1,'[1]Final Sales including BIR'!$D$8:$U$91,2,TRUE)</f>
        <v>1086</v>
      </c>
      <c r="AE8" s="11">
        <f>VLOOKUP(DATE(YEAR(AE$6),MONTH(AE$6)+1,1)-1,'[1]Final Sales including BIR'!$D$8:$U$91,2,TRUE)</f>
        <v>1568</v>
      </c>
      <c r="AF8" s="11">
        <f>VLOOKUP(DATE(YEAR(AF$6),MONTH(AF$6)+1,1)-1,'[1]Final Sales including BIR'!$D$8:$U$91,2,TRUE)</f>
        <v>1627</v>
      </c>
      <c r="AG8" s="11">
        <f>VLOOKUP(DATE(YEAR(AG$6),MONTH(AG$6)+1,1)-1,'[1]Final Sales including BIR'!$D$8:$U$91,2,TRUE)</f>
        <v>1448</v>
      </c>
      <c r="AH8" s="11">
        <f>VLOOKUP(DATE(YEAR(AH$6),MONTH(AH$6)+1,1)-1,'[1]Final Sales including BIR'!$D$8:$U$91,2,TRUE)</f>
        <v>1050</v>
      </c>
      <c r="AI8" s="11">
        <f>VLOOKUP(DATE(YEAR(AI$6),MONTH(AI$6)+1,1)-1,'[1]Final Sales including BIR'!$D$8:$U$91,2,TRUE)</f>
        <v>939</v>
      </c>
      <c r="AJ8" s="11">
        <f>VLOOKUP(DATE(YEAR(AJ$6),MONTH(AJ$6)+1,1)-1,'[1]Final Sales including BIR'!$D$8:$U$91,2,TRUE)</f>
        <v>1042</v>
      </c>
    </row>
    <row r="9" spans="1:36" x14ac:dyDescent="0.25">
      <c r="A9" s="10" t="s">
        <v>1</v>
      </c>
      <c r="B9" s="11">
        <f>VLOOKUP(DATE(YEAR(B$6),MONTH(B$6)+1,1)-1,'[1]Final Sales including BIR'!$D$8:$U$91,3,TRUE)</f>
        <v>176</v>
      </c>
      <c r="C9" s="11">
        <f>VLOOKUP(DATE(YEAR(C$6),MONTH(C$6)+1,1)-1,'[1]Final Sales including BIR'!$D$8:$U$91,3,TRUE)</f>
        <v>191</v>
      </c>
      <c r="D9" s="11">
        <f>VLOOKUP(DATE(YEAR(D$6),MONTH(D$6)+1,1)-1,'[1]Final Sales including BIR'!$D$8:$U$91,3,TRUE)</f>
        <v>208</v>
      </c>
      <c r="E9" s="11">
        <f>VLOOKUP(DATE(YEAR(E$6),MONTH(E$6)+1,1)-1,'[1]Final Sales including BIR'!$D$8:$U$91,3,TRUE)</f>
        <v>218</v>
      </c>
      <c r="F9" s="11">
        <f>VLOOKUP(DATE(YEAR(F$6),MONTH(F$6)+1,1)-1,'[1]Final Sales including BIR'!$D$8:$U$91,3,TRUE)</f>
        <v>207</v>
      </c>
      <c r="G9" s="11">
        <f>VLOOKUP(DATE(YEAR(G$6),MONTH(G$6)+1,1)-1,'[1]Final Sales including BIR'!$D$8:$U$91,3,TRUE)</f>
        <v>182</v>
      </c>
      <c r="H9" s="11">
        <f>VLOOKUP(DATE(YEAR(H$6),MONTH(H$6)+1,1)-1,'[1]Final Sales including BIR'!$D$8:$U$91,3,TRUE)</f>
        <v>174</v>
      </c>
      <c r="I9" s="11">
        <f>VLOOKUP(DATE(YEAR(I$6),MONTH(I$6)+1,1)-1,'[1]Final Sales including BIR'!$D$8:$U$91,3,TRUE)</f>
        <v>195</v>
      </c>
      <c r="J9" s="11">
        <f>VLOOKUP(DATE(YEAR(J$6),MONTH(J$6)+1,1)-1,'[1]Final Sales including BIR'!$D$8:$U$91,3,TRUE)</f>
        <v>225</v>
      </c>
      <c r="K9" s="11">
        <f>VLOOKUP(DATE(YEAR(K$6),MONTH(K$6)+1,1)-1,'[1]Final Sales including BIR'!$D$8:$U$91,3,TRUE)</f>
        <v>235</v>
      </c>
      <c r="L9" s="11">
        <f>VLOOKUP(DATE(YEAR(L$6),MONTH(L$6)+1,1)-1,'[1]Final Sales including BIR'!$D$8:$U$91,3,TRUE)</f>
        <v>216</v>
      </c>
      <c r="M9" s="11">
        <f>VLOOKUP(DATE(YEAR(M$6),MONTH(M$6)+1,1)-1,'[1]Final Sales including BIR'!$D$8:$U$91,3,TRUE)</f>
        <v>193</v>
      </c>
      <c r="N9" s="7"/>
      <c r="O9" s="7"/>
      <c r="U9" s="195"/>
      <c r="V9" s="11">
        <f>VLOOKUP(DATE(YEAR(V$6),MONTH(V$6)+1,1)-1,'[1]Final Sales including BIR'!$D$8:$U$91,3,TRUE)</f>
        <v>174</v>
      </c>
      <c r="W9" s="11">
        <f>VLOOKUP(DATE(YEAR(W$6),MONTH(W$6)+1,1)-1,'[1]Final Sales including BIR'!$D$8:$U$91,3,TRUE)</f>
        <v>195</v>
      </c>
      <c r="X9" s="11">
        <f>VLOOKUP(DATE(YEAR(X$6),MONTH(X$6)+1,1)-1,'[1]Final Sales including BIR'!$D$8:$U$91,3,TRUE)</f>
        <v>225</v>
      </c>
      <c r="Y9" s="11">
        <f>VLOOKUP(DATE(YEAR(Y$6),MONTH(Y$6)+1,1)-1,'[1]Final Sales including BIR'!$D$8:$U$91,3,TRUE)</f>
        <v>235</v>
      </c>
      <c r="Z9" s="11">
        <f>VLOOKUP(DATE(YEAR(Z$6),MONTH(Z$6)+1,1)-1,'[1]Final Sales including BIR'!$D$8:$U$91,3,TRUE)</f>
        <v>216</v>
      </c>
      <c r="AA9" s="11">
        <f>VLOOKUP(DATE(YEAR(AA$6),MONTH(AA$6)+1,1)-1,'[1]Final Sales including BIR'!$D$8:$U$91,3,TRUE)</f>
        <v>193</v>
      </c>
      <c r="AC9" s="11">
        <f>VLOOKUP(DATE(YEAR(AC$6),MONTH(AC$6)+1,1)-1,'[1]Final Sales including BIR'!$D$8:$U$91,3,TRUE)</f>
        <v>176</v>
      </c>
      <c r="AD9" s="11">
        <v>187</v>
      </c>
      <c r="AE9" s="11">
        <v>211</v>
      </c>
      <c r="AF9" s="11">
        <v>220</v>
      </c>
      <c r="AG9" s="11">
        <v>210</v>
      </c>
      <c r="AH9" s="11">
        <v>179</v>
      </c>
      <c r="AI9" s="11">
        <v>177</v>
      </c>
      <c r="AJ9" s="11">
        <v>196</v>
      </c>
    </row>
    <row r="10" spans="1:36" x14ac:dyDescent="0.25">
      <c r="A10" s="10" t="s">
        <v>2</v>
      </c>
      <c r="B10" s="14">
        <f>'[2]2020 CUS Data'!$L$7</f>
        <v>6.8611999999999992E-2</v>
      </c>
      <c r="C10" s="14">
        <f>'[2]2020 CUS Data'!$L$9</f>
        <v>5.3106E-2</v>
      </c>
      <c r="D10" s="14">
        <f>'[2]2020 CUS Data'!$L$9</f>
        <v>5.3106E-2</v>
      </c>
      <c r="E10" s="14">
        <f>'[2]2020 CUS Data'!$L$10</f>
        <v>4.9803E-2</v>
      </c>
      <c r="F10" s="14">
        <f>'[2]2020 CUS Data'!$L$11</f>
        <v>4.8340000000000001E-2</v>
      </c>
      <c r="G10" s="14">
        <f>'[2]2020 CUS Data'!$L$12</f>
        <v>4.5691999999999997E-2</v>
      </c>
      <c r="H10" s="14">
        <f>'[2]2020 CUS Data'!$L$13</f>
        <v>5.3835000000000001E-2</v>
      </c>
      <c r="I10" s="14">
        <f>'[2]2020 CUS Data'!$L$14</f>
        <v>6.1690000000000002E-2</v>
      </c>
      <c r="J10" s="14">
        <f>'[2]2020 CUS Data'!$L$3</f>
        <v>8.3751999999999993E-2</v>
      </c>
      <c r="K10" s="14">
        <f>'[2]2020 CUS Data'!$L$4</f>
        <v>8.5337999999999997E-2</v>
      </c>
      <c r="L10" s="14">
        <f>'[2]2020 CUS Data'!$L$5</f>
        <v>8.1435999999999995E-2</v>
      </c>
      <c r="M10" s="14">
        <f>'[2]2020 CUS Data'!$L$6</f>
        <v>6.8989999999999996E-2</v>
      </c>
      <c r="N10" s="7" t="s">
        <v>3</v>
      </c>
      <c r="O10" s="7"/>
      <c r="P10" t="s">
        <v>555</v>
      </c>
      <c r="V10" s="14">
        <f>'[2]2020 CUS Data'!$L$13</f>
        <v>5.3835000000000001E-2</v>
      </c>
      <c r="W10" s="14">
        <f>'[2]2020 CUS Data'!$L$14</f>
        <v>6.1690000000000002E-2</v>
      </c>
      <c r="X10" s="14">
        <f>'[2]2020 CUS Data'!$L$3</f>
        <v>8.3751999999999993E-2</v>
      </c>
      <c r="Y10" s="14">
        <f>'[2]2020 CUS Data'!$L$4</f>
        <v>8.5337999999999997E-2</v>
      </c>
      <c r="Z10" s="14">
        <f>'[2]2020 CUS Data'!$L$5</f>
        <v>8.1435999999999995E-2</v>
      </c>
      <c r="AA10" s="14">
        <f>'[2]2020 CUS Data'!$L$6</f>
        <v>6.8989999999999996E-2</v>
      </c>
      <c r="AC10" s="14">
        <f>'[2]2020 CUS Data'!$L$7</f>
        <v>6.8611999999999992E-2</v>
      </c>
      <c r="AD10" s="14">
        <f>'[2]2020 CUS Data'!$L$8</f>
        <v>5.8074000000000001E-2</v>
      </c>
      <c r="AE10" s="14">
        <f>'[2]2020 CUS Data'!$L$9</f>
        <v>5.3106E-2</v>
      </c>
      <c r="AF10" s="14">
        <f>'[2]2020 CUS Data'!$L$10</f>
        <v>4.9803E-2</v>
      </c>
      <c r="AG10" s="14">
        <f>'[2]2020 CUS Data'!$L$11</f>
        <v>4.8340000000000001E-2</v>
      </c>
      <c r="AH10" s="14">
        <f>'[2]2020 CUS Data'!$L$12</f>
        <v>4.5691999999999997E-2</v>
      </c>
      <c r="AI10" s="14">
        <f>'[2]2020 CUS Data'!$L$13</f>
        <v>5.3835000000000001E-2</v>
      </c>
      <c r="AJ10" s="14">
        <f>'[2]2020 CUS Data'!$L$14</f>
        <v>6.1690000000000002E-2</v>
      </c>
    </row>
    <row r="11" spans="1:36" x14ac:dyDescent="0.25">
      <c r="A11" s="10" t="s">
        <v>4</v>
      </c>
      <c r="B11" s="11">
        <f>VLOOKUP(DATE(YEAR(B$6),MONTH(B$6)+1,1)-1,'[1]Final Sales including BIR'!$D$8:$U$91,5,TRUE)</f>
        <v>8</v>
      </c>
      <c r="C11" s="11">
        <f>VLOOKUP(DATE(YEAR(C$6),MONTH(C$6)+1,1)-1,'[1]Final Sales including BIR'!$D$8:$U$91,5,TRUE)</f>
        <v>8</v>
      </c>
      <c r="D11" s="11">
        <f>VLOOKUP(DATE(YEAR(D$6),MONTH(D$6)+1,1)-1,'[1]Final Sales including BIR'!$D$8:$U$91,5,TRUE)</f>
        <v>9</v>
      </c>
      <c r="E11" s="11">
        <f>VLOOKUP(DATE(YEAR(E$6),MONTH(E$6)+1,1)-1,'[1]Final Sales including BIR'!$D$8:$U$91,5,TRUE)</f>
        <v>9</v>
      </c>
      <c r="F11" s="11">
        <f>VLOOKUP(DATE(YEAR(F$6),MONTH(F$6)+1,1)-1,'[1]Final Sales including BIR'!$D$8:$U$91,5,TRUE)</f>
        <v>9</v>
      </c>
      <c r="G11" s="11">
        <f>VLOOKUP(DATE(YEAR(G$6),MONTH(G$6)+1,1)-1,'[1]Final Sales including BIR'!$D$8:$U$91,5,TRUE)</f>
        <v>9</v>
      </c>
      <c r="H11" s="11">
        <f>VLOOKUP(DATE(YEAR(H$6),MONTH(H$6)+1,1)-1,'[1]Final Sales including BIR'!$D$8:$U$91,5,TRUE)</f>
        <v>8</v>
      </c>
      <c r="I11" s="11">
        <f>VLOOKUP(DATE(YEAR(I$6),MONTH(I$6)+1,1)-1,'[1]Final Sales including BIR'!$D$8:$U$91,5,TRUE)</f>
        <v>10</v>
      </c>
      <c r="J11" s="11">
        <f>VLOOKUP(DATE(YEAR(J$6),MONTH(J$6)+1,1)-1,'[1]Final Sales including BIR'!$D$8:$U$91,5,TRUE)</f>
        <v>8</v>
      </c>
      <c r="K11" s="11">
        <f>VLOOKUP(DATE(YEAR(K$6),MONTH(K$6)+1,1)-1,'[1]Final Sales including BIR'!$D$8:$U$91,5,TRUE)</f>
        <v>10</v>
      </c>
      <c r="L11" s="11">
        <f>VLOOKUP(DATE(YEAR(L$6),MONTH(L$6)+1,1)-1,'[1]Final Sales including BIR'!$D$8:$U$91,5,TRUE)</f>
        <v>10</v>
      </c>
      <c r="M11" s="11">
        <f>VLOOKUP(DATE(YEAR(M$6),MONTH(M$6)+1,1)-1,'[1]Final Sales including BIR'!$D$8:$U$91,5,TRUE)</f>
        <v>9</v>
      </c>
      <c r="N11" s="7"/>
      <c r="O11" s="7"/>
      <c r="P11" s="13"/>
      <c r="Q11" s="9"/>
      <c r="V11" s="11">
        <f>VLOOKUP(DATE(YEAR(V$6),MONTH(V$6)+1,1)-1,'[1]Final Sales including BIR'!$D$8:$U$91,5,TRUE)</f>
        <v>8</v>
      </c>
      <c r="W11" s="11">
        <f>VLOOKUP(DATE(YEAR(W$6),MONTH(W$6)+1,1)-1,'[1]Final Sales including BIR'!$D$8:$U$91,5,TRUE)</f>
        <v>10</v>
      </c>
      <c r="X11" s="11">
        <f>VLOOKUP(DATE(YEAR(X$6),MONTH(X$6)+1,1)-1,'[1]Final Sales including BIR'!$D$8:$U$91,5,TRUE)</f>
        <v>8</v>
      </c>
      <c r="Y11" s="11">
        <f>VLOOKUP(DATE(YEAR(Y$6),MONTH(Y$6)+1,1)-1,'[1]Final Sales including BIR'!$D$8:$U$91,5,TRUE)</f>
        <v>10</v>
      </c>
      <c r="Z11" s="11">
        <f>VLOOKUP(DATE(YEAR(Z$6),MONTH(Z$6)+1,1)-1,'[1]Final Sales including BIR'!$D$8:$U$91,5,TRUE)</f>
        <v>10</v>
      </c>
      <c r="AA11" s="11">
        <f>VLOOKUP(DATE(YEAR(AA$6),MONTH(AA$6)+1,1)-1,'[1]Final Sales including BIR'!$D$8:$U$91,5,TRUE)</f>
        <v>9</v>
      </c>
      <c r="AC11" s="11">
        <f>VLOOKUP(DATE(YEAR(AC$6),MONTH(AC$6)+1,1)-1,'[1]Final Sales including BIR'!$D$8:$U$91,5,TRUE)</f>
        <v>8</v>
      </c>
      <c r="AD11" s="11">
        <f>VLOOKUP(DATE(YEAR(AD$6),MONTH(AD$6)+1,1)-1,'[1]Final Sales including BIR'!$D$8:$U$91,5,TRUE)</f>
        <v>8</v>
      </c>
      <c r="AE11" s="11">
        <f>VLOOKUP(DATE(YEAR(AE$6),MONTH(AE$6)+1,1)-1,'[1]Final Sales including BIR'!$D$8:$U$91,5,TRUE)</f>
        <v>9</v>
      </c>
      <c r="AF11" s="11">
        <f>VLOOKUP(DATE(YEAR(AF$6),MONTH(AF$6)+1,1)-1,'[1]Final Sales including BIR'!$D$8:$U$91,5,TRUE)</f>
        <v>9</v>
      </c>
      <c r="AG11" s="11">
        <f>VLOOKUP(DATE(YEAR(AG$6),MONTH(AG$6)+1,1)-1,'[1]Final Sales including BIR'!$D$8:$U$91,5,TRUE)</f>
        <v>9</v>
      </c>
      <c r="AH11" s="11">
        <f>VLOOKUP(DATE(YEAR(AH$6),MONTH(AH$6)+1,1)-1,'[1]Final Sales including BIR'!$D$8:$U$91,5,TRUE)</f>
        <v>9</v>
      </c>
      <c r="AI11" s="11">
        <f>VLOOKUP(DATE(YEAR(AI$6),MONTH(AI$6)+1,1)-1,'[1]Final Sales including BIR'!$D$8:$U$91,5,TRUE)</f>
        <v>8</v>
      </c>
      <c r="AJ11" s="11">
        <f>VLOOKUP(DATE(YEAR(AJ$6),MONTH(AJ$6)+1,1)-1,'[1]Final Sales including BIR'!$D$8:$U$91,5,TRUE)</f>
        <v>10</v>
      </c>
    </row>
    <row r="12" spans="1:36" x14ac:dyDescent="0.25">
      <c r="A12" s="10" t="s">
        <v>5</v>
      </c>
      <c r="B12" s="14">
        <f>VLOOKUP(B6,'[1]SC 6 Sales in KWh'!$D$8:$E$91,2)/1000000</f>
        <v>0.54694699999999996</v>
      </c>
      <c r="C12" s="14">
        <f>VLOOKUP(C6,'[1]SC 6 Sales in KWh'!$D$8:$E$91,2)/1000000</f>
        <v>0.56548100000000001</v>
      </c>
      <c r="D12" s="14">
        <f>VLOOKUP(D6,'[1]SC 6 Sales in KWh'!$D$8:$E$91,2)/1000000</f>
        <v>0.51683900000000005</v>
      </c>
      <c r="E12" s="14">
        <f>VLOOKUP(E6,'[1]SC 6 Sales in KWh'!$D$8:$E$91,2)/1000000</f>
        <v>0.47361999999999999</v>
      </c>
      <c r="F12" s="14">
        <f>VLOOKUP(F6,'[1]SC 6 Sales in KWh'!$D$8:$E$91,2)/1000000</f>
        <v>0.54400599999999999</v>
      </c>
      <c r="G12" s="14">
        <f>VLOOKUP(G6,'[1]SC 6 Sales in KWh'!$D$8:$E$91,2)/1000000</f>
        <v>0.58399400000000001</v>
      </c>
      <c r="H12" s="14">
        <f>VLOOKUP(H6,'[1]SC 6 Sales in KWh'!$D$8:$E$91,2)/1000000</f>
        <v>0.67486900000000005</v>
      </c>
      <c r="I12" s="14">
        <f>VLOOKUP(I6,'[1]SC 6 Sales in KWh'!$D$8:$E$91,2)/1000000</f>
        <v>0.71231299999999997</v>
      </c>
      <c r="J12" s="14">
        <f>VLOOKUP(J6,'[1]SC 6 Sales in KWh'!$D$8:$E$91,2)/1000000</f>
        <v>0.76349</v>
      </c>
      <c r="K12" s="14">
        <f>VLOOKUP(K6,'[1]SC 6 Sales in KWh'!$D$8:$E$91,2)/1000000</f>
        <v>0.74695900000000004</v>
      </c>
      <c r="L12" s="14">
        <f>VLOOKUP(L6,'[1]SC 6 Sales in KWh'!$D$8:$E$91,2)/1000000</f>
        <v>0.63300599999999996</v>
      </c>
      <c r="M12" s="14">
        <f>VLOOKUP(M6,'[1]SC 6 Sales in KWh'!$D$8:$E$91,2)/1000000</f>
        <v>0.637521</v>
      </c>
      <c r="N12" s="7"/>
      <c r="O12" s="7"/>
      <c r="P12" s="13"/>
      <c r="Q12" s="9"/>
      <c r="V12" s="613">
        <f>VLOOKUP(V$6,'[1]SC 6 Sales in KWh'!$D$8:$E$91,2)/1000000</f>
        <v>0.67486900000000005</v>
      </c>
      <c r="W12" s="613">
        <f>VLOOKUP(W$6,'[1]SC 6 Sales in KWh'!$D$8:$E$91,2)/1000000</f>
        <v>0.71231299999999997</v>
      </c>
      <c r="X12" s="613">
        <f>VLOOKUP(X$6,'[1]SC 6 Sales in KWh'!$D$8:$E$91,2)/1000000</f>
        <v>0.76349</v>
      </c>
      <c r="Y12" s="613">
        <f>VLOOKUP(Y$6,'[1]SC 6 Sales in KWh'!$D$8:$E$91,2)/1000000</f>
        <v>0.74695900000000004</v>
      </c>
      <c r="Z12" s="613">
        <f>VLOOKUP(Z$6,'[1]SC 6 Sales in KWh'!$D$8:$E$91,2)/1000000</f>
        <v>0.63300599999999996</v>
      </c>
      <c r="AA12" s="613">
        <f>VLOOKUP(AA$6,'[1]SC 6 Sales in KWh'!$D$8:$E$91,2)/1000000</f>
        <v>0.637521</v>
      </c>
      <c r="AC12" s="613">
        <f>VLOOKUP(AC$6,'[1]SC 6 Sales in KWh'!$D$8:$E$91,2)/1000000</f>
        <v>0.54694699999999996</v>
      </c>
      <c r="AD12" s="613">
        <f>VLOOKUP(AD$6,'[1]SC 6 Sales in KWh'!$D$8:$E$91,2)/1000000</f>
        <v>0.56548100000000001</v>
      </c>
      <c r="AE12" s="613">
        <f>VLOOKUP(AE$6,'[1]SC 6 Sales in KWh'!$D$8:$E$91,2)/1000000</f>
        <v>0.51683900000000005</v>
      </c>
      <c r="AF12" s="613">
        <f>VLOOKUP(AF$6,'[1]SC 6 Sales in KWh'!$D$8:$E$91,2)/1000000</f>
        <v>0.47361999999999999</v>
      </c>
      <c r="AG12" s="613">
        <f>VLOOKUP(AG$6,'[1]SC 6 Sales in KWh'!$D$8:$E$91,2)/1000000</f>
        <v>0.54400599999999999</v>
      </c>
      <c r="AH12" s="613">
        <f>VLOOKUP(AH$6,'[1]SC 6 Sales in KWh'!$D$8:$E$91,2)/1000000</f>
        <v>0.58399400000000001</v>
      </c>
      <c r="AI12" s="613">
        <f>VLOOKUP(AI$6,'[1]SC 6 Sales in KWh'!$D$8:$E$91,2)/1000000</f>
        <v>0.67486900000000005</v>
      </c>
      <c r="AJ12" s="613">
        <f>VLOOKUP(AJ$6,'[1]SC 6 Sales in KWh'!$D$8:$E$91,2)/1000000</f>
        <v>0.71231299999999997</v>
      </c>
    </row>
    <row r="13" spans="1:36" x14ac:dyDescent="0.25">
      <c r="A13" s="10" t="s">
        <v>6</v>
      </c>
      <c r="B13" s="11">
        <v>0</v>
      </c>
      <c r="C13" s="11">
        <v>0</v>
      </c>
      <c r="D13" s="11">
        <v>0</v>
      </c>
      <c r="E13" s="11">
        <v>0</v>
      </c>
      <c r="F13" s="11">
        <v>0</v>
      </c>
      <c r="G13" s="614">
        <v>0</v>
      </c>
      <c r="H13" s="614">
        <v>0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5"/>
      <c r="O13" s="550"/>
      <c r="P13" s="615"/>
      <c r="Q13" s="9"/>
      <c r="V13" s="614">
        <v>0</v>
      </c>
      <c r="W13" s="614">
        <v>0</v>
      </c>
      <c r="X13" s="614">
        <v>0</v>
      </c>
      <c r="Y13" s="614">
        <v>0</v>
      </c>
      <c r="Z13" s="614">
        <v>0</v>
      </c>
      <c r="AA13" s="614">
        <v>0</v>
      </c>
      <c r="AC13" s="11">
        <v>0</v>
      </c>
      <c r="AD13" s="11">
        <v>0</v>
      </c>
      <c r="AE13" s="11">
        <v>0</v>
      </c>
      <c r="AF13" s="11">
        <v>0</v>
      </c>
      <c r="AG13" s="11">
        <v>0</v>
      </c>
      <c r="AH13" s="11">
        <v>0</v>
      </c>
      <c r="AI13" s="11">
        <v>0</v>
      </c>
      <c r="AJ13" s="11">
        <v>0</v>
      </c>
    </row>
    <row r="14" spans="1:36" x14ac:dyDescent="0.25">
      <c r="A14" s="477" t="s">
        <v>7</v>
      </c>
      <c r="B14" s="11">
        <f>VLOOKUP(DATE(YEAR(B$6),MONTH(B$6)+1,1)-1,'[1]Final Sales including BIR'!$D$8:$U$91,8,TRUE)+'[3]Sales Forecast'!$C$29+'[3]Sales Forecast'!$G$29</f>
        <v>99</v>
      </c>
      <c r="C14" s="11">
        <f>VLOOKUP(DATE(YEAR(C$6),MONTH(C$6)+1,1)-1,'[1]Final Sales including BIR'!$D$8:$U$91,8,TRUE)+'[3]Sales Forecast'!$C$30+'[3]Sales Forecast'!$G$30</f>
        <v>121</v>
      </c>
      <c r="D14" s="11">
        <f>VLOOKUP(DATE(YEAR(D$6),MONTH(D$6)+1,1)-1,'[1]Final Sales including BIR'!$D$8:$U$91,8,TRUE)+'[3]Sales Forecast'!$C$31+'[3]Sales Forecast'!$G$31</f>
        <v>161</v>
      </c>
      <c r="E14" s="11">
        <f>VLOOKUP(DATE(YEAR(E$6),MONTH(E$6)+1,1)-1,'[1]Final Sales including BIR'!$D$8:$U$91,8,TRUE)+'[3]Sales Forecast'!$C$32+'[3]Sales Forecast'!$G$32</f>
        <v>172</v>
      </c>
      <c r="F14" s="11">
        <f>VLOOKUP(DATE(YEAR(F$6),MONTH(F$6)+1,1)-1,'[1]Final Sales including BIR'!$D$8:$U$91,8,TRUE)+'[3]Sales Forecast'!$C$33+'[3]Sales Forecast'!$G$33</f>
        <v>160</v>
      </c>
      <c r="G14" s="11">
        <f>VLOOKUP(DATE(YEAR(G$6),MONTH(G$6)+1,1)-1,'[1]Final Sales including BIR'!$D$8:$U$91,8,TRUE)+'[3]Sales Forecast'!$C$34+'[3]Sales Forecast'!$G$34</f>
        <v>124</v>
      </c>
      <c r="H14" s="11">
        <f>VLOOKUP(DATE(YEAR(H$6),MONTH(H$6)+1,1)-1,'[1]Final Sales including BIR'!$D$8:$U$91,8,TRUE)+'[3]Sales Forecast'!$C$20+'[3]Sales Forecast'!$G$20</f>
        <v>103</v>
      </c>
      <c r="I14" s="11">
        <f>VLOOKUP(DATE(YEAR(I$6),MONTH(I$6)+1,1)-1,'[1]Final Sales including BIR'!$D$8:$U$91,8,TRUE)+'[3]Sales Forecast'!$C$21+'[3]Sales Forecast'!$G$21</f>
        <v>108</v>
      </c>
      <c r="J14" s="11">
        <f>VLOOKUP(DATE(YEAR(J$6),MONTH(J$6)+1,1)-1,'[1]Final Sales including BIR'!$D$8:$U$91,8,TRUE)+'[3]Sales Forecast'!$C$25+'[3]Sales Forecast'!$G$25</f>
        <v>117</v>
      </c>
      <c r="K14" s="11">
        <f>VLOOKUP(DATE(YEAR(K$6),MONTH(K$6)+1,1)-1,'[1]Final Sales including BIR'!$D$8:$U$91,8,TRUE)+'[3]Sales Forecast'!$C$26+'[3]Sales Forecast'!$G$26</f>
        <v>110</v>
      </c>
      <c r="L14" s="11">
        <f>VLOOKUP(DATE(YEAR(L$6),MONTH(L$6)+1,1)-1,'[1]Final Sales including BIR'!$D$8:$U$91,8,TRUE)+'[3]Sales Forecast'!$C$27+'[3]Sales Forecast'!$G$27</f>
        <v>104</v>
      </c>
      <c r="M14" s="11">
        <f>VLOOKUP(DATE(YEAR(M$6),MONTH(M$6)+1,1)-1,'[1]Final Sales including BIR'!$D$8:$U$91,8,TRUE)+'[3]Sales Forecast'!$C$28+'[3]Sales Forecast'!$G$28</f>
        <v>96</v>
      </c>
      <c r="N14" s="7"/>
      <c r="O14" s="475"/>
      <c r="P14" s="615"/>
      <c r="Q14" s="9"/>
      <c r="V14" s="614">
        <f>VLOOKUP(DATE(YEAR(V$6),MONTH(V$6)+1,1)-1,'[1]Final Sales including BIR'!$D$8:$U$91,8,TRUE)+'[3]Sales Forecast'!$C$20+'[3]Sales Forecast'!$G$20</f>
        <v>103</v>
      </c>
      <c r="W14" s="614">
        <f>VLOOKUP(DATE(YEAR(W$6),MONTH(W$6)+1,1)-1,'[1]Final Sales including BIR'!$D$8:$U$91,8,TRUE)+'[3]Sales Forecast'!$C$21+'[3]Sales Forecast'!$G$21</f>
        <v>108</v>
      </c>
      <c r="X14" s="614">
        <f>VLOOKUP(DATE(YEAR(X$6),MONTH(X$6)+1,1)-1,'[1]Final Sales including BIR'!$D$8:$U$91,8,TRUE)+'[3]Sales Forecast'!$C$25+'[3]Sales Forecast'!$G$25</f>
        <v>117</v>
      </c>
      <c r="Y14" s="614">
        <f>VLOOKUP(DATE(YEAR(Y$6),MONTH(Y$6)+1,1)-1,'[1]Final Sales including BIR'!$D$8:$U$91,8,TRUE)+'[3]Sales Forecast'!$C$26+'[3]Sales Forecast'!$G$26</f>
        <v>110</v>
      </c>
      <c r="Z14" s="614">
        <f>VLOOKUP(DATE(YEAR(Z$6),MONTH(Z$6)+1,1)-1,'[1]Final Sales including BIR'!$D$8:$U$91,8,TRUE)+'[3]Sales Forecast'!$C$27+'[3]Sales Forecast'!$G$27</f>
        <v>104</v>
      </c>
      <c r="AA14" s="614">
        <f>VLOOKUP(DATE(YEAR(AA$6),MONTH(AA$6)+1,1)-1,'[1]Final Sales including BIR'!$D$8:$U$91,8,TRUE)+'[3]Sales Forecast'!$C$28+'[3]Sales Forecast'!$G$28</f>
        <v>96</v>
      </c>
      <c r="AC14" s="614">
        <f>VLOOKUP(DATE(YEAR(AC$6),MONTH(AC$6)+1,1)-1,'[1]Final Sales including BIR'!$D$8:$U$91,8,TRUE)+'[3]Sales Forecast'!$C$29+'[3]Sales Forecast'!$G$29</f>
        <v>99</v>
      </c>
      <c r="AD14" s="614">
        <f>VLOOKUP(DATE(YEAR(AD$6),MONTH(AD$6)+1,1)-1,'[1]Final Sales including BIR'!$D$8:$U$91,8,TRUE)+'[3]Sales Forecast'!$C$30+'[3]Sales Forecast'!$G$30</f>
        <v>121</v>
      </c>
      <c r="AE14" s="614">
        <f>VLOOKUP(DATE(YEAR(AE$6),MONTH(AE$6)+1,1)-1,'[1]Final Sales including BIR'!$D$8:$U$91,8,TRUE)+'[3]Sales Forecast'!$C$31+'[3]Sales Forecast'!$G$31</f>
        <v>161</v>
      </c>
      <c r="AF14" s="614">
        <f>VLOOKUP(DATE(YEAR(AF$6),MONTH(AF$6)+1,1)-1,'[1]Final Sales including BIR'!$D$8:$U$91,8,TRUE)+'[3]Sales Forecast'!$C$32+'[3]Sales Forecast'!$G$32</f>
        <v>172</v>
      </c>
      <c r="AG14" s="614">
        <f>VLOOKUP(DATE(YEAR(AG$6),MONTH(AG$6)+1,1)-1,'[1]Final Sales including BIR'!$D$8:$U$91,8,TRUE)+'[3]Sales Forecast'!$C$33+'[3]Sales Forecast'!$G$33</f>
        <v>160</v>
      </c>
      <c r="AH14" s="614">
        <f>VLOOKUP(DATE(YEAR(AH$6),MONTH(AH$6)+1,1)-1,'[1]Final Sales including BIR'!$D$8:$U$91,8,TRUE)+'[3]Sales Forecast'!$C$34+'[3]Sales Forecast'!$G$34</f>
        <v>124</v>
      </c>
      <c r="AI14" s="614">
        <f>VLOOKUP(DATE(YEAR(AI$6),MONTH(AI$6)+1,1)-1,'[1]Final Sales including BIR'!$D$8:$U$91,8,TRUE)+'[3]Sales Forecast'!$C$35+'[3]Sales Forecast'!$G$35</f>
        <v>102</v>
      </c>
      <c r="AJ14" s="614">
        <f>VLOOKUP(DATE(YEAR(AJ$6),MONTH(AJ$6)+1,1)-1,'[1]Final Sales including BIR'!$D$8:$U$91,8,TRUE)+'[3]Sales Forecast'!$C$36+'[3]Sales Forecast'!$G$36</f>
        <v>107</v>
      </c>
    </row>
    <row r="15" spans="1:36" x14ac:dyDescent="0.25">
      <c r="A15" s="477" t="s">
        <v>8</v>
      </c>
      <c r="B15" s="11">
        <f>VLOOKUP(DATE(YEAR(B$6),MONTH(B$6)+1,1)-1,'[1]TOD Sales (incl BIR) Allocation'!$E$46:$K$129,2,TRUE)</f>
        <v>8</v>
      </c>
      <c r="C15" s="11">
        <f>VLOOKUP(DATE(YEAR(C$6),MONTH(C$6)+1,1)-1,'[1]TOD Sales (incl BIR) Allocation'!$E$46:$K$129,2,TRUE)</f>
        <v>12</v>
      </c>
      <c r="D15" s="11">
        <f>VLOOKUP(DATE(YEAR(D$6),MONTH(D$6)+1,1)-1,'[1]TOD Sales (incl BIR) Allocation'!$E$46:$K$129,2,TRUE)</f>
        <v>9</v>
      </c>
      <c r="E15" s="11">
        <f>VLOOKUP(DATE(YEAR(E$6),MONTH(E$6)+1,1)-1,'[1]TOD Sales (incl BIR) Allocation'!$E$46:$K$129,2,TRUE)</f>
        <v>11</v>
      </c>
      <c r="F15" s="11">
        <f>VLOOKUP(DATE(YEAR(F$6),MONTH(F$6)+1,1)-1,'[1]TOD Sales (incl BIR) Allocation'!$E$46:$K$129,2,TRUE)</f>
        <v>12</v>
      </c>
      <c r="G15" s="614">
        <f>VLOOKUP(DATE(YEAR(G$6),MONTH(G$6)+1,1)-1,'[1]TOD Sales (incl BIR) Allocation'!$E$46:$K$129,2,TRUE)</f>
        <v>8</v>
      </c>
      <c r="H15" s="614">
        <f>VLOOKUP(DATE(YEAR(H$6),MONTH(H$6)+1,1)-1,'[1]TOD Sales (incl BIR) Allocation'!$E$46:$K$129,2,TRUE)</f>
        <v>6</v>
      </c>
      <c r="I15" s="11">
        <f>VLOOKUP(DATE(YEAR(I$6),MONTH(I$6)+1,1)-1,'[1]TOD Sales (incl BIR) Allocation'!$E$46:$K$129,2,TRUE)</f>
        <v>11</v>
      </c>
      <c r="J15" s="11">
        <f>VLOOKUP(DATE(YEAR(J$6),MONTH(J$6)+1,1)-1,'[1]TOD Sales (incl BIR) Allocation'!$E$46:$K$129,2,TRUE)</f>
        <v>10</v>
      </c>
      <c r="K15" s="11">
        <f>VLOOKUP(DATE(YEAR(K$6),MONTH(K$6)+1,1)-1,'[1]TOD Sales (incl BIR) Allocation'!$E$46:$K$129,2,TRUE)</f>
        <v>9</v>
      </c>
      <c r="L15" s="11">
        <f>VLOOKUP(DATE(YEAR(L$6),MONTH(L$6)+1,1)-1,'[1]TOD Sales (incl BIR) Allocation'!$E$46:$K$129,2,TRUE)</f>
        <v>11</v>
      </c>
      <c r="M15" s="11">
        <f>VLOOKUP(DATE(YEAR(M$6),MONTH(M$6)+1,1)-1,'[1]TOD Sales (incl BIR) Allocation'!$E$46:$K$129,2,TRUE)</f>
        <v>11</v>
      </c>
      <c r="N15" s="7"/>
      <c r="O15" s="475"/>
      <c r="P15" s="615"/>
      <c r="Q15" s="9"/>
      <c r="V15" s="614">
        <f>VLOOKUP(DATE(YEAR(V$6),MONTH(V$6)+1,1)-1,'[1]TOD Sales (incl BIR) Allocation'!$E$46:$K$129,2,TRUE)</f>
        <v>6</v>
      </c>
      <c r="W15" s="614">
        <f>VLOOKUP(DATE(YEAR(W$6),MONTH(W$6)+1,1)-1,'[1]TOD Sales (incl BIR) Allocation'!$E$46:$K$129,2,TRUE)</f>
        <v>11</v>
      </c>
      <c r="X15" s="614">
        <f>VLOOKUP(DATE(YEAR(X$6),MONTH(X$6)+1,1)-1,'[1]TOD Sales (incl BIR) Allocation'!$E$46:$K$129,2,TRUE)</f>
        <v>10</v>
      </c>
      <c r="Y15" s="614">
        <f>VLOOKUP(DATE(YEAR(Y$6),MONTH(Y$6)+1,1)-1,'[1]TOD Sales (incl BIR) Allocation'!$E$46:$K$129,2,TRUE)</f>
        <v>9</v>
      </c>
      <c r="Z15" s="614">
        <f>VLOOKUP(DATE(YEAR(Z$6),MONTH(Z$6)+1,1)-1,'[1]TOD Sales (incl BIR) Allocation'!$E$46:$K$129,2,TRUE)</f>
        <v>11</v>
      </c>
      <c r="AA15" s="614">
        <f>VLOOKUP(DATE(YEAR(AA$6),MONTH(AA$6)+1,1)-1,'[1]TOD Sales (incl BIR) Allocation'!$E$46:$K$129,2,TRUE)</f>
        <v>11</v>
      </c>
      <c r="AC15" s="614">
        <f>VLOOKUP(DATE(YEAR(AC$6),MONTH(AC$6)+1,1)-1,'[1]TOD Sales (incl BIR) Allocation'!$E$46:$K$129,2,TRUE)</f>
        <v>8</v>
      </c>
      <c r="AD15" s="614">
        <f>VLOOKUP(DATE(YEAR(AD$6),MONTH(AD$6)+1,1)-1,'[1]TOD Sales (incl BIR) Allocation'!$E$46:$K$129,2,TRUE)</f>
        <v>12</v>
      </c>
      <c r="AE15" s="614">
        <f>VLOOKUP(DATE(YEAR(AE$6),MONTH(AE$6)+1,1)-1,'[1]TOD Sales (incl BIR) Allocation'!$E$46:$K$129,2,TRUE)</f>
        <v>9</v>
      </c>
      <c r="AF15" s="614">
        <f>VLOOKUP(DATE(YEAR(AF$6),MONTH(AF$6)+1,1)-1,'[1]TOD Sales (incl BIR) Allocation'!$E$46:$K$129,2,TRUE)</f>
        <v>11</v>
      </c>
      <c r="AG15" s="614">
        <f>VLOOKUP(DATE(YEAR(AG$6),MONTH(AG$6)+1,1)-1,'[1]TOD Sales (incl BIR) Allocation'!$E$46:$K$129,2,TRUE)</f>
        <v>12</v>
      </c>
      <c r="AH15" s="614">
        <f>VLOOKUP(DATE(YEAR(AH$6),MONTH(AH$6)+1,1)-1,'[1]TOD Sales (incl BIR) Allocation'!$E$46:$K$129,2,TRUE)</f>
        <v>8</v>
      </c>
      <c r="AI15" s="614">
        <f>VLOOKUP(DATE(YEAR(AI$6),MONTH(AI$6)+1,1)-1,'[1]TOD Sales (incl BIR) Allocation'!$E$46:$K$129,2,TRUE)</f>
        <v>6</v>
      </c>
      <c r="AJ15" s="614">
        <f>VLOOKUP(DATE(YEAR(AJ$6),MONTH(AJ$6)+1,1)-1,'[1]TOD Sales (incl BIR) Allocation'!$E$46:$K$129,2,TRUE)</f>
        <v>11</v>
      </c>
    </row>
    <row r="16" spans="1:36" x14ac:dyDescent="0.25">
      <c r="A16" s="10" t="s">
        <v>9</v>
      </c>
      <c r="B16" s="11">
        <f>VLOOKUP(DATE(YEAR(B$6),MONTH(B$6)+1,1)-1,'[1]TOD Sales (incl BIR) Allocation'!$E$46:$K$129,4,TRUE)</f>
        <v>16</v>
      </c>
      <c r="C16" s="11">
        <f>VLOOKUP(DATE(YEAR(C$6),MONTH(C$6)+1,1)-1,'[1]TOD Sales (incl BIR) Allocation'!$E$46:$K$129,4,TRUE)</f>
        <v>24</v>
      </c>
      <c r="D16" s="11">
        <f>VLOOKUP(DATE(YEAR(D$6),MONTH(D$6)+1,1)-1,'[1]TOD Sales (incl BIR) Allocation'!$E$46:$K$129,4,TRUE)</f>
        <v>23</v>
      </c>
      <c r="E16" s="11">
        <f>VLOOKUP(DATE(YEAR(E$6),MONTH(E$6)+1,1)-1,'[1]TOD Sales (incl BIR) Allocation'!$E$46:$K$129,4,TRUE)</f>
        <v>28</v>
      </c>
      <c r="F16" s="11">
        <f>VLOOKUP(DATE(YEAR(F$6),MONTH(F$6)+1,1)-1,'[1]TOD Sales (incl BIR) Allocation'!$E$46:$K$129,4,TRUE)</f>
        <v>26</v>
      </c>
      <c r="G16" s="11">
        <f>VLOOKUP(DATE(YEAR(G$6),MONTH(G$6)+1,1)-1,'[1]TOD Sales (incl BIR) Allocation'!$E$46:$K$129,4,TRUE)</f>
        <v>20</v>
      </c>
      <c r="H16" s="11">
        <f>VLOOKUP(DATE(YEAR(H$6),MONTH(H$6)+1,1)-1,'[1]TOD Sales (incl BIR) Allocation'!$E$46:$K$129,4,TRUE)</f>
        <v>14</v>
      </c>
      <c r="I16" s="11">
        <f>VLOOKUP(DATE(YEAR(I$6),MONTH(I$6)+1,1)-1,'[1]TOD Sales (incl BIR) Allocation'!$E$46:$K$129,4,TRUE)</f>
        <v>21</v>
      </c>
      <c r="J16" s="11">
        <f>VLOOKUP(DATE(YEAR(J$6),MONTH(J$6)+1,1)-1,'[1]TOD Sales (incl BIR) Allocation'!$E$46:$K$129,4,TRUE)</f>
        <v>20</v>
      </c>
      <c r="K16" s="11">
        <f>VLOOKUP(DATE(YEAR(K$6),MONTH(K$6)+1,1)-1,'[1]TOD Sales (incl BIR) Allocation'!$E$46:$K$129,4,TRUE)</f>
        <v>19</v>
      </c>
      <c r="L16" s="11">
        <f>VLOOKUP(DATE(YEAR(L$6),MONTH(L$6)+1,1)-1,'[1]TOD Sales (incl BIR) Allocation'!$E$46:$K$129,4,TRUE)</f>
        <v>20</v>
      </c>
      <c r="M16" s="11">
        <f>VLOOKUP(DATE(YEAR(M$6),MONTH(M$6)+1,1)-1,'[1]TOD Sales (incl BIR) Allocation'!$E$46:$K$129,4,TRUE)</f>
        <v>19</v>
      </c>
      <c r="N16" s="7"/>
      <c r="O16" s="475"/>
      <c r="P16" s="615"/>
      <c r="Q16" s="9"/>
      <c r="V16" s="614">
        <f>VLOOKUP(DATE(YEAR(V$6),MONTH(V$6)+1,1)-1,'[1]TOD Sales (incl BIR) Allocation'!$E$46:$K$129,3,TRUE)</f>
        <v>8</v>
      </c>
      <c r="W16" s="614">
        <f>VLOOKUP(DATE(YEAR(W$6),MONTH(W$6)+1,1)-1,'[1]TOD Sales (incl BIR) Allocation'!$E$46:$K$129,3,TRUE)</f>
        <v>10</v>
      </c>
      <c r="X16" s="614">
        <f>VLOOKUP(DATE(YEAR(X$6),MONTH(X$6)+1,1)-1,'[1]TOD Sales (incl BIR) Allocation'!$E$46:$K$129,3,TRUE)</f>
        <v>10</v>
      </c>
      <c r="Y16" s="614">
        <f>VLOOKUP(DATE(YEAR(Y$6),MONTH(Y$6)+1,1)-1,'[1]TOD Sales (incl BIR) Allocation'!$E$46:$K$129,3,TRUE)</f>
        <v>10</v>
      </c>
      <c r="Z16" s="614">
        <f>VLOOKUP(DATE(YEAR(Z$6),MONTH(Z$6)+1,1)-1,'[1]TOD Sales (incl BIR) Allocation'!$E$46:$K$129,3,TRUE)</f>
        <v>9</v>
      </c>
      <c r="AA16" s="614">
        <f>VLOOKUP(DATE(YEAR(AA$6),MONTH(AA$6)+1,1)-1,'[1]TOD Sales (incl BIR) Allocation'!$E$46:$K$129,3,TRUE)</f>
        <v>8</v>
      </c>
      <c r="AC16" s="614">
        <f>VLOOKUP(DATE(YEAR(AC$6),MONTH(AC$6)+1,1)-1,'[1]TOD Sales (incl BIR) Allocation'!$E$46:$K$129,3,TRUE)</f>
        <v>8</v>
      </c>
      <c r="AD16" s="614">
        <f>VLOOKUP(DATE(YEAR(AD$6),MONTH(AD$6)+1,1)-1,'[1]TOD Sales (incl BIR) Allocation'!$E$46:$K$129,3,TRUE)</f>
        <v>12</v>
      </c>
      <c r="AE16" s="614">
        <f>VLOOKUP(DATE(YEAR(AE$6),MONTH(AE$6)+1,1)-1,'[1]TOD Sales (incl BIR) Allocation'!$E$46:$K$129,3,TRUE)</f>
        <v>14</v>
      </c>
      <c r="AF16" s="614">
        <f>VLOOKUP(DATE(YEAR(AF$6),MONTH(AF$6)+1,1)-1,'[1]TOD Sales (incl BIR) Allocation'!$E$46:$K$129,3,TRUE)</f>
        <v>17</v>
      </c>
      <c r="AG16" s="614">
        <f>VLOOKUP(DATE(YEAR(AG$6),MONTH(AG$6)+1,1)-1,'[1]TOD Sales (incl BIR) Allocation'!$E$46:$K$129,3,TRUE)</f>
        <v>14</v>
      </c>
      <c r="AH16" s="614">
        <f>VLOOKUP(DATE(YEAR(AH$6),MONTH(AH$6)+1,1)-1,'[1]TOD Sales (incl BIR) Allocation'!$E$46:$K$129,3,TRUE)</f>
        <v>12</v>
      </c>
      <c r="AI16" s="614">
        <f>VLOOKUP(DATE(YEAR(AI$6),MONTH(AI$6)+1,1)-1,'[1]TOD Sales (incl BIR) Allocation'!$E$46:$K$129,3,TRUE)</f>
        <v>9</v>
      </c>
      <c r="AJ16" s="614">
        <f>VLOOKUP(DATE(YEAR(AJ$6),MONTH(AJ$6)+1,1)-1,'[1]TOD Sales (incl BIR) Allocation'!$E$46:$K$129,3,TRUE)</f>
        <v>10</v>
      </c>
    </row>
    <row r="17" spans="1:36" x14ac:dyDescent="0.25">
      <c r="A17" s="10" t="s">
        <v>10</v>
      </c>
      <c r="B17" s="11">
        <f>VLOOKUP(DATE(YEAR(B$6),MONTH(B$6)+1,1)-1, '[1]Final Sales including BIR'!$D$8:$U$91,11,TRUE)+'[3]Sales Forecast'!$D$29+'[3]Sales Forecast'!$H$29</f>
        <v>1224</v>
      </c>
      <c r="C17" s="11">
        <f>VLOOKUP(DATE(YEAR(C$6),MONTH(C$6)+1,1)-1, '[1]Final Sales including BIR'!$D$8:$U$91,11,TRUE)+'[3]Sales Forecast'!$D$30+'[3]Sales Forecast'!$H$30</f>
        <v>1386</v>
      </c>
      <c r="D17" s="11">
        <f>VLOOKUP(DATE(YEAR(D$6),MONTH(D$6)+1,1)-1, '[1]Final Sales including BIR'!$D$8:$U$91,11,TRUE)+'[3]Sales Forecast'!$D$31+'[3]Sales Forecast'!$H$31</f>
        <v>1464</v>
      </c>
      <c r="E17" s="11">
        <f>VLOOKUP(DATE(YEAR(E$6),MONTH(E$6)+1,1)-1, '[1]Final Sales including BIR'!$D$8:$U$91,11,TRUE)+'[3]Sales Forecast'!$D$32+'[3]Sales Forecast'!$H$32</f>
        <v>1492</v>
      </c>
      <c r="F17" s="11">
        <f>VLOOKUP(DATE(YEAR(F$6),MONTH(F$6)+1,1)-1, '[1]Final Sales including BIR'!$D$8:$U$91,11,TRUE)+'[3]Sales Forecast'!$D$33+'[3]Sales Forecast'!$H$33</f>
        <v>1466</v>
      </c>
      <c r="G17" s="11">
        <f>VLOOKUP(DATE(YEAR(G$6),MONTH(G$6)+1,1)-1, '[1]Final Sales including BIR'!$D$8:$U$91,11,TRUE)+'[3]Sales Forecast'!$D$34+'[3]Sales Forecast'!$H$34</f>
        <v>1288</v>
      </c>
      <c r="H17" s="11">
        <f>VLOOKUP(DATE(YEAR(H$6),MONTH(H$6)+1,1)-1, '[1]Final Sales including BIR'!$D$8:$U$91,11,TRUE)+'[3]Sales Forecast'!$D$20+'[3]Sales Forecast'!$H$20</f>
        <v>1211</v>
      </c>
      <c r="I17" s="11">
        <f>VLOOKUP(DATE(YEAR(I$6),MONTH(I$6)+1,1)-1, '[1]Final Sales including BIR'!$D$8:$U$91,11,TRUE)+'[3]Sales Forecast'!$D$21+'[3]Sales Forecast'!$H$21</f>
        <v>1262</v>
      </c>
      <c r="J17" s="11">
        <f>VLOOKUP(DATE(YEAR(J$6),MONTH(J$6)+1,1)-1, '[1]Final Sales including BIR'!$D$8:$U$91,11,TRUE)+'[3]Sales Forecast'!$D$25+'[3]Sales Forecast'!$H$25</f>
        <v>1306</v>
      </c>
      <c r="K17" s="11">
        <f>VLOOKUP(DATE(YEAR(K$6),MONTH(K$6)+1,1)-1, '[1]Final Sales including BIR'!$D$8:$U$91,11,TRUE)+'[3]Sales Forecast'!$D$26+'[3]Sales Forecast'!$H$26</f>
        <v>1269</v>
      </c>
      <c r="L17" s="11">
        <f>VLOOKUP(DATE(YEAR(L$6),MONTH(L$6)+1,1)-1, '[1]Final Sales including BIR'!$D$8:$U$91,11,TRUE)+'[3]Sales Forecast'!$D$27+'[3]Sales Forecast'!$H$27</f>
        <v>1255</v>
      </c>
      <c r="M17" s="11">
        <f>VLOOKUP(DATE(YEAR(M$6),MONTH(M$6)+1,1)-1, '[1]Final Sales including BIR'!$D$8:$U$91,11,TRUE)+'[3]Sales Forecast'!$D$28+'[3]Sales Forecast'!$H$28</f>
        <v>1238</v>
      </c>
      <c r="N17" s="7"/>
      <c r="O17" s="475"/>
      <c r="P17" s="195"/>
      <c r="V17" s="11">
        <f>VLOOKUP(DATE(YEAR(V$6),MONTH(V$6)+1,1)-1, '[1]Final Sales including BIR'!$D$8:$N$91,11,TRUE)+'[3]Sales Forecast'!$D$20+'[3]Sales Forecast'!$H$20</f>
        <v>1211</v>
      </c>
      <c r="W17" s="11">
        <f>VLOOKUP(DATE(YEAR(W$6),MONTH(W$6)+1,1)-1, '[1]Final Sales including BIR'!$D$8:$N$91,11,TRUE)+'[3]Sales Forecast'!$D$21+'[3]Sales Forecast'!$H$21</f>
        <v>1262</v>
      </c>
      <c r="X17" s="11">
        <f>VLOOKUP(DATE(YEAR(X$6),MONTH(X$6)+1,1)-1, '[1]Final Sales including BIR'!$D$8:$N$91,11,TRUE)+'[3]Sales Forecast'!$D$25+'[3]Sales Forecast'!$H$25</f>
        <v>1306</v>
      </c>
      <c r="Y17" s="11">
        <f>VLOOKUP(DATE(YEAR(Y$6),MONTH(Y$6)+1,1)-1, '[1]Final Sales including BIR'!$D$8:$N$91,11,TRUE)+'[3]Sales Forecast'!$D$26+'[3]Sales Forecast'!$H$26</f>
        <v>1269</v>
      </c>
      <c r="Z17" s="11">
        <f>VLOOKUP(DATE(YEAR(Z$6),MONTH(Z$6)+1,1)-1, '[1]Final Sales including BIR'!$D$8:$N$91,11,TRUE)+'[3]Sales Forecast'!$D$27+'[3]Sales Forecast'!$H$27</f>
        <v>1255</v>
      </c>
      <c r="AA17" s="11">
        <f>VLOOKUP(DATE(YEAR(AA$6),MONTH(AA$6)+1,1)-1, '[1]Final Sales including BIR'!$D$8:$N$91,11,TRUE)+'[3]Sales Forecast'!$D$28+'[3]Sales Forecast'!$H$28</f>
        <v>1238</v>
      </c>
      <c r="AC17" s="11">
        <f>VLOOKUP(DATE(YEAR(AC$6),MONTH(AC$6)+1,1)-1, '[1]Final Sales including BIR'!$D$8:$N$91,11,TRUE)+'[3]Sales Forecast'!$D$29+'[3]Sales Forecast'!$H$29</f>
        <v>1224</v>
      </c>
      <c r="AD17" s="11">
        <f>VLOOKUP(DATE(YEAR(AD$6),MONTH(AD$6)+1,1)-1, '[1]Final Sales including BIR'!$D$8:$N$91,11,TRUE)+'[3]Sales Forecast'!$D$30+'[3]Sales Forecast'!$H$30</f>
        <v>1386</v>
      </c>
      <c r="AE17" s="11">
        <f>VLOOKUP(DATE(YEAR(AE$6),MONTH(AE$6)+1,1)-1, '[1]Final Sales including BIR'!$D$8:$N$91,11,TRUE)+'[3]Sales Forecast'!$D$31+'[3]Sales Forecast'!$H$31</f>
        <v>1464</v>
      </c>
      <c r="AF17" s="11">
        <f>VLOOKUP(DATE(YEAR(AF$6),MONTH(AF$6)+1,1)-1, '[1]Final Sales including BIR'!$D$8:$N$91,11,TRUE)+'[3]Sales Forecast'!$D$32+'[3]Sales Forecast'!$H$32</f>
        <v>1492</v>
      </c>
      <c r="AG17" s="11">
        <f>VLOOKUP(DATE(YEAR(AG$6),MONTH(AG$6)+1,1)-1, '[1]Final Sales including BIR'!$D$8:$N$91,11,TRUE)+'[3]Sales Forecast'!$D$33+'[3]Sales Forecast'!$H$33</f>
        <v>1466</v>
      </c>
      <c r="AH17" s="11">
        <f>VLOOKUP(DATE(YEAR(AH$6),MONTH(AH$6)+1,1)-1, '[1]Final Sales including BIR'!$D$8:$N$91,11,TRUE)+'[3]Sales Forecast'!$D$34+'[3]Sales Forecast'!$H$34</f>
        <v>1288</v>
      </c>
      <c r="AI17" s="11">
        <f>VLOOKUP(DATE(YEAR(AI$6),MONTH(AI$6)+1,1)-1, '[1]Final Sales including BIR'!$D$8:$N$91,11,TRUE)+'[3]Sales Forecast'!$D$35+'[3]Sales Forecast'!$H$35</f>
        <v>1222</v>
      </c>
      <c r="AJ17" s="11">
        <f>VLOOKUP(DATE(YEAR(AJ$6),MONTH(AJ$6)+1,1)-1, '[1]Final Sales including BIR'!$D$8:$N$91,11,TRUE)+'[3]Sales Forecast'!$D$36+'[3]Sales Forecast'!$H$36</f>
        <v>1253</v>
      </c>
    </row>
    <row r="18" spans="1:36" x14ac:dyDescent="0.25">
      <c r="A18" s="10" t="s">
        <v>11</v>
      </c>
      <c r="B18" s="11">
        <f>VLOOKUP(DATE(YEAR(B$6),MONTH(B$6)+1,1)-1,'[1]TOD Sales (incl BIR) Allocation'!$E$46:$K$129,5,TRUE)</f>
        <v>104</v>
      </c>
      <c r="C18" s="11">
        <f>VLOOKUP(DATE(YEAR(C$6),MONTH(C$6)+1,1)-1,'[1]TOD Sales (incl BIR) Allocation'!$E$46:$K$129,5,TRUE)</f>
        <v>119</v>
      </c>
      <c r="D18" s="11">
        <f>VLOOKUP(DATE(YEAR(D$6),MONTH(D$6)+1,1)-1,'[1]TOD Sales (incl BIR) Allocation'!$E$46:$K$129,5,TRUE)</f>
        <v>129</v>
      </c>
      <c r="E18" s="11">
        <f>VLOOKUP(DATE(YEAR(E$6),MONTH(E$6)+1,1)-1,'[1]TOD Sales (incl BIR) Allocation'!$E$46:$K$129,5,TRUE)</f>
        <v>131</v>
      </c>
      <c r="F18" s="11">
        <f>VLOOKUP(DATE(YEAR(F$6),MONTH(F$6)+1,1)-1,'[1]TOD Sales (incl BIR) Allocation'!$E$46:$K$129,5,TRUE)</f>
        <v>127</v>
      </c>
      <c r="G18" s="11">
        <f>VLOOKUP(DATE(YEAR(G$6),MONTH(G$6)+1,1)-1,'[1]TOD Sales (incl BIR) Allocation'!$E$46:$K$129,5,TRUE)</f>
        <v>98</v>
      </c>
      <c r="H18" s="11">
        <f>VLOOKUP(DATE(YEAR(H$6),MONTH(H$6)+1,1)-1,'[1]TOD Sales (incl BIR) Allocation'!$E$46:$K$129,5,TRUE)</f>
        <v>94</v>
      </c>
      <c r="I18" s="11">
        <f>VLOOKUP(DATE(YEAR(I$6),MONTH(I$6)+1,1)-1,'[1]TOD Sales (incl BIR) Allocation'!$E$46:$K$129,5,TRUE)</f>
        <v>119</v>
      </c>
      <c r="J18" s="11">
        <f>VLOOKUP(DATE(YEAR(J$6),MONTH(J$6)+1,1)-1,'[1]TOD Sales (incl BIR) Allocation'!$E$46:$K$129,5,TRUE)</f>
        <v>116</v>
      </c>
      <c r="K18" s="11">
        <f>VLOOKUP(DATE(YEAR(K$6),MONTH(K$6)+1,1)-1,'[1]TOD Sales (incl BIR) Allocation'!$E$46:$K$129,5,TRUE)</f>
        <v>109</v>
      </c>
      <c r="L18" s="11">
        <f>VLOOKUP(DATE(YEAR(L$6),MONTH(L$6)+1,1)-1,'[1]TOD Sales (incl BIR) Allocation'!$E$46:$K$129,5,TRUE)</f>
        <v>116</v>
      </c>
      <c r="M18" s="11">
        <f>VLOOKUP(DATE(YEAR(M$6),MONTH(M$6)+1,1)-1,'[1]TOD Sales (incl BIR) Allocation'!$E$46:$K$129,5,TRUE)</f>
        <v>117</v>
      </c>
      <c r="N18" s="7"/>
      <c r="O18" s="475"/>
      <c r="P18" s="195"/>
      <c r="V18" s="11">
        <f>VLOOKUP(DATE(YEAR(V$6),MONTH(V$6)+1,1)-1,'[1]TOD Sales (incl BIR) Allocation'!$E$46:$K$129,5,TRUE)</f>
        <v>94</v>
      </c>
      <c r="W18" s="11">
        <f>VLOOKUP(DATE(YEAR(W$6),MONTH(W$6)+1,1)-1,'[1]TOD Sales (incl BIR) Allocation'!$E$46:$K$129,5,TRUE)</f>
        <v>119</v>
      </c>
      <c r="X18" s="11">
        <f>VLOOKUP(DATE(YEAR(X$6),MONTH(X$6)+1,1)-1,'[1]TOD Sales (incl BIR) Allocation'!$E$46:$K$129,5,TRUE)</f>
        <v>116</v>
      </c>
      <c r="Y18" s="11">
        <f>VLOOKUP(DATE(YEAR(Y$6),MONTH(Y$6)+1,1)-1,'[1]TOD Sales (incl BIR) Allocation'!$E$46:$K$129,5,TRUE)</f>
        <v>109</v>
      </c>
      <c r="Z18" s="11">
        <f>VLOOKUP(DATE(YEAR(Z$6),MONTH(Z$6)+1,1)-1,'[1]TOD Sales (incl BIR) Allocation'!$E$46:$K$129,5,TRUE)</f>
        <v>116</v>
      </c>
      <c r="AA18" s="11">
        <f>VLOOKUP(DATE(YEAR(AA$6),MONTH(AA$6)+1,1)-1,'[1]TOD Sales (incl BIR) Allocation'!$E$46:$K$129,5,TRUE)</f>
        <v>117</v>
      </c>
      <c r="AC18" s="11">
        <f>VLOOKUP(DATE(YEAR(AC$6),MONTH(AC$6)+1,1)-1,'[1]TOD Sales (incl BIR) Allocation'!$E$46:$K$129,5,TRUE)</f>
        <v>104</v>
      </c>
      <c r="AD18" s="11">
        <f>VLOOKUP(DATE(YEAR(AD$6),MONTH(AD$6)+1,1)-1,'[1]TOD Sales (incl BIR) Allocation'!$E$46:$K$129,5,TRUE)</f>
        <v>119</v>
      </c>
      <c r="AE18" s="11">
        <f>VLOOKUP(DATE(YEAR(AE$6),MONTH(AE$6)+1,1)-1,'[1]TOD Sales (incl BIR) Allocation'!$E$46:$K$129,5,TRUE)</f>
        <v>129</v>
      </c>
      <c r="AF18" s="11">
        <f>VLOOKUP(DATE(YEAR(AF$6),MONTH(AF$6)+1,1)-1,'[1]TOD Sales (incl BIR) Allocation'!$E$46:$K$129,5,TRUE)</f>
        <v>131</v>
      </c>
      <c r="AG18" s="11">
        <f>VLOOKUP(DATE(YEAR(AG$6),MONTH(AG$6)+1,1)-1,'[1]TOD Sales (incl BIR) Allocation'!$E$46:$K$129,5,TRUE)</f>
        <v>127</v>
      </c>
      <c r="AH18" s="11">
        <f>VLOOKUP(DATE(YEAR(AH$6),MONTH(AH$6)+1,1)-1,'[1]TOD Sales (incl BIR) Allocation'!$E$46:$K$129,5,TRUE)</f>
        <v>98</v>
      </c>
      <c r="AI18" s="11">
        <f>VLOOKUP(DATE(YEAR(AI$6),MONTH(AI$6)+1,1)-1,'[1]TOD Sales (incl BIR) Allocation'!$E$46:$K$129,5,TRUE)</f>
        <v>93</v>
      </c>
      <c r="AJ18" s="11">
        <f>VLOOKUP(DATE(YEAR(AJ$6),MONTH(AJ$6)+1,1)-1,'[1]TOD Sales (incl BIR) Allocation'!$E$46:$K$129,5,TRUE)</f>
        <v>117</v>
      </c>
    </row>
    <row r="19" spans="1:36" x14ac:dyDescent="0.25">
      <c r="A19" s="10" t="s">
        <v>12</v>
      </c>
      <c r="B19" s="11">
        <f>VLOOKUP(DATE(YEAR(B$6),MONTH(B$6)+1,1)-1, '[1]TOD Sales (incl BIR) Allocation'!$E$46:$K$129,7,TRUE)+'[3]Sales Forecast'!$E$29+'[3]Sales Forecast'!$I$29</f>
        <v>486</v>
      </c>
      <c r="C19" s="11">
        <f>VLOOKUP(DATE(YEAR(C$6),MONTH(C$6)+1,1)-1, '[1]TOD Sales (incl BIR) Allocation'!$E$46:$K$129,7,TRUE)+'[3]Sales Forecast'!$E$30+'[3]Sales Forecast'!$I$30</f>
        <v>601</v>
      </c>
      <c r="D19" s="11">
        <f>VLOOKUP(DATE(YEAR(D$6),MONTH(D$6)+1,1)-1, '[1]TOD Sales (incl BIR) Allocation'!$E$46:$K$129,7,TRUE)+'[3]Sales Forecast'!$E$31+'[3]Sales Forecast'!$I$31</f>
        <v>704</v>
      </c>
      <c r="E19" s="11">
        <f>VLOOKUP(DATE(YEAR(E$6),MONTH(E$6)+1,1)-1, '[1]TOD Sales (incl BIR) Allocation'!$E$46:$K$129,7,TRUE)+'[3]Sales Forecast'!$E$32+'[3]Sales Forecast'!$I$32</f>
        <v>727</v>
      </c>
      <c r="F19" s="11">
        <f>VLOOKUP(DATE(YEAR(F$6),MONTH(F$6)+1,1)-1, '[1]TOD Sales (incl BIR) Allocation'!$E$46:$K$129,7,TRUE)+'[3]Sales Forecast'!$E$33+'[3]Sales Forecast'!$I$33</f>
        <v>704</v>
      </c>
      <c r="G19" s="11">
        <f>VLOOKUP(DATE(YEAR(G$6),MONTH(G$6)+1,1)-1, '[1]TOD Sales (incl BIR) Allocation'!$E$46:$K$129,7,TRUE)+'[3]Sales Forecast'!$E$34+'[3]Sales Forecast'!$I$34</f>
        <v>561</v>
      </c>
      <c r="H19" s="11">
        <f>VLOOKUP(DATE(YEAR(H$6),MONTH(H$6)+1,1)-1, '[1]TOD Sales (incl BIR) Allocation'!$E$46:$K$129,7,TRUE)+'[3]Sales Forecast'!$E$20+'[3]Sales Forecast'!$I$20</f>
        <v>542</v>
      </c>
      <c r="I19" s="11">
        <f>VLOOKUP(DATE(YEAR(I$6),MONTH(I$6)+1,1)-1, '[1]TOD Sales (incl BIR) Allocation'!$E$46:$K$129,7,TRUE)+'[3]Sales Forecast'!$E$22+'[3]Sales Forecast'!$I$22</f>
        <v>562</v>
      </c>
      <c r="J19" s="11">
        <f>VLOOKUP(DATE(YEAR(J$6),MONTH(J$6)+1,1)-1, '[1]TOD Sales (incl BIR) Allocation'!$E$46:$K$129,7,TRUE)+'[3]Sales Forecast'!$E$25+'[3]Sales Forecast'!$I$25</f>
        <v>593</v>
      </c>
      <c r="K19" s="11">
        <f>VLOOKUP(DATE(YEAR(K$6),MONTH(K$6)+1,1)-1, '[1]TOD Sales (incl BIR) Allocation'!$E$46:$K$129,7,TRUE)+'[3]Sales Forecast'!$E$26+'[3]Sales Forecast'!$I$26</f>
        <v>591</v>
      </c>
      <c r="L19" s="11">
        <f>VLOOKUP(DATE(YEAR(L$6),MONTH(L$6)+1,1)-1, '[1]TOD Sales (incl BIR) Allocation'!$E$46:$K$129,7,TRUE)+'[3]Sales Forecast'!$E$27+'[3]Sales Forecast'!$I$27</f>
        <v>554</v>
      </c>
      <c r="M19" s="11">
        <f>VLOOKUP(DATE(YEAR(M$6),MONTH(M$6)+1,1)-1, '[1]TOD Sales (incl BIR) Allocation'!$E$46:$K$129,7,TRUE)+'[3]Sales Forecast'!$E$28+'[3]Sales Forecast'!$I$28</f>
        <v>522</v>
      </c>
      <c r="N19" s="7"/>
      <c r="O19" s="475"/>
      <c r="P19" s="195"/>
      <c r="V19" s="11">
        <f>VLOOKUP(DATE(YEAR(V$6),MONTH(V$6)+1,1)-1, '[1]TOD Sales (incl BIR) Allocation'!$E$46:$K$129,6,TRUE)+'[3]Sales Forecast'!$E$20+'[3]Sales Forecast'!$I$20</f>
        <v>448</v>
      </c>
      <c r="W19" s="11">
        <f>VLOOKUP(DATE(YEAR(W$6),MONTH(W$6)+1,1)-1, '[1]TOD Sales (incl BIR) Allocation'!$E$46:$K$129,6,TRUE)+'[3]Sales Forecast'!$E$21+'[3]Sales Forecast'!$I$21</f>
        <v>462</v>
      </c>
      <c r="X19" s="11">
        <f>VLOOKUP(DATE(YEAR(X$6),MONTH(X$6)+1,1)-1, '[1]TOD Sales (incl BIR) Allocation'!$E$46:$K$129,6,TRUE)+'[3]Sales Forecast'!$E$25+'[3]Sales Forecast'!$I$25</f>
        <v>477</v>
      </c>
      <c r="Y19" s="11">
        <f>VLOOKUP(DATE(YEAR(Y$6),MONTH(Y$6)+1,1)-1, '[1]TOD Sales (incl BIR) Allocation'!$E$46:$K$129,6,TRUE)+'[3]Sales Forecast'!$E$26+'[3]Sales Forecast'!$I$26</f>
        <v>482</v>
      </c>
      <c r="Z19" s="11">
        <f>VLOOKUP(DATE(YEAR(Z$6),MONTH(Z$6)+1,1)-1, '[1]TOD Sales (incl BIR) Allocation'!$E$46:$K$129,6,TRUE)+'[3]Sales Forecast'!$E$27+'[3]Sales Forecast'!$I$27</f>
        <v>438</v>
      </c>
      <c r="AA19" s="11">
        <f>VLOOKUP(DATE(YEAR(AA$6),MONTH(AA$6)+1,1)-1, '[1]TOD Sales (incl BIR) Allocation'!$E$46:$K$129,6,TRUE)+'[3]Sales Forecast'!$E$28+'[3]Sales Forecast'!$I$28</f>
        <v>405</v>
      </c>
      <c r="AC19" s="11">
        <f>VLOOKUP(DATE(YEAR(AC$6),MONTH(AC$6)+1,1)-1, '[1]TOD Sales (incl BIR) Allocation'!$E$46:$K$129,6,TRUE)+'[3]Sales Forecast'!$E$29+'[3]Sales Forecast'!$I$29</f>
        <v>382</v>
      </c>
      <c r="AD19" s="11">
        <f>VLOOKUP(DATE(YEAR(AD$6),MONTH(AD$6)+1,1)-1, '[1]TOD Sales (incl BIR) Allocation'!$E$46:$K$129,6,TRUE)+'[3]Sales Forecast'!$E$30+'[3]Sales Forecast'!$I$30</f>
        <v>482</v>
      </c>
      <c r="AE19" s="11">
        <f>VLOOKUP(DATE(YEAR(AE$6),MONTH(AE$6)+1,1)-1, '[1]TOD Sales (incl BIR) Allocation'!$E$46:$K$129,6,TRUE)+'[3]Sales Forecast'!$E$31+'[3]Sales Forecast'!$I$31</f>
        <v>575</v>
      </c>
      <c r="AF19" s="11">
        <f>VLOOKUP(DATE(YEAR(AF$6),MONTH(AF$6)+1,1)-1, '[1]TOD Sales (incl BIR) Allocation'!$E$46:$K$129,6,TRUE)+'[3]Sales Forecast'!$E$32+'[3]Sales Forecast'!$I$32</f>
        <v>596</v>
      </c>
      <c r="AG19" s="11">
        <f>VLOOKUP(DATE(YEAR(AG$6),MONTH(AG$6)+1,1)-1, '[1]TOD Sales (incl BIR) Allocation'!$E$46:$K$129,6,TRUE)+'[3]Sales Forecast'!$E$33+'[3]Sales Forecast'!$I$33</f>
        <v>577</v>
      </c>
      <c r="AH19" s="11">
        <f>VLOOKUP(DATE(YEAR(AH$6),MONTH(AH$6)+1,1)-1, '[1]TOD Sales (incl BIR) Allocation'!$E$46:$K$129,6,TRUE)+'[3]Sales Forecast'!$E$34+'[3]Sales Forecast'!$I$34</f>
        <v>463</v>
      </c>
      <c r="AI19" s="11">
        <f>VLOOKUP(DATE(YEAR(AI$6),MONTH(AI$6)+1,1)-1, '[1]TOD Sales (incl BIR) Allocation'!$E$46:$K$129,6,TRUE)+'[3]Sales Forecast'!$E$35+'[3]Sales Forecast'!$I$35</f>
        <v>444</v>
      </c>
      <c r="AJ19" s="11">
        <f>VLOOKUP(DATE(YEAR(AJ$6),MONTH(AJ$6)+1,1)-1, '[1]TOD Sales (incl BIR) Allocation'!$E$46:$K$129,6,TRUE)+'[3]Sales Forecast'!$E$36+'[3]Sales Forecast'!$I$36</f>
        <v>455</v>
      </c>
    </row>
    <row r="20" spans="1:36" x14ac:dyDescent="0.25">
      <c r="A20" s="10" t="s">
        <v>13</v>
      </c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7"/>
      <c r="O20" s="475"/>
      <c r="P20" s="615"/>
      <c r="Q20" s="9"/>
      <c r="V20" s="11"/>
      <c r="W20" s="11"/>
      <c r="X20" s="11"/>
      <c r="Y20" s="11"/>
      <c r="Z20" s="11"/>
      <c r="AA20" s="11"/>
      <c r="AC20" s="11"/>
      <c r="AD20" s="11"/>
      <c r="AE20" s="11"/>
      <c r="AF20" s="11"/>
      <c r="AG20" s="11"/>
      <c r="AH20" s="11"/>
      <c r="AI20" s="11"/>
      <c r="AJ20" s="11"/>
    </row>
    <row r="21" spans="1:36" x14ac:dyDescent="0.25">
      <c r="A21" s="10" t="s">
        <v>14</v>
      </c>
      <c r="B21" s="11">
        <f>VLOOKUP(DATE(YEAR(B$6),MONTH(B$6)+1,1)-1,'[1]Final Sales including BIR'!$D$8:$U$91,14,TRUE)</f>
        <v>8</v>
      </c>
      <c r="C21" s="11">
        <f>VLOOKUP(DATE(YEAR(C$6),MONTH(C$6)+1,1)-1,'[1]Final Sales including BIR'!$D$8:$U$91,14,TRUE)</f>
        <v>9</v>
      </c>
      <c r="D21" s="11">
        <f>VLOOKUP(DATE(YEAR(D$6),MONTH(D$6)+1,1)-1,'[1]Final Sales including BIR'!$D$8:$U$91,14,TRUE)</f>
        <v>10</v>
      </c>
      <c r="E21" s="11">
        <f>VLOOKUP(DATE(YEAR(E$6),MONTH(E$6)+1,1)-1,'[1]Final Sales including BIR'!$D$8:$U$91,14,TRUE)</f>
        <v>11</v>
      </c>
      <c r="F21" s="11">
        <f>VLOOKUP(DATE(YEAR(F$6),MONTH(F$6)+1,1)-1,'[1]Final Sales including BIR'!$D$8:$U$91,14,TRUE)</f>
        <v>8</v>
      </c>
      <c r="G21" s="11">
        <f>VLOOKUP(DATE(YEAR(G$6),MONTH(G$6)+1,1)-1,'[1]Final Sales including BIR'!$D$8:$U$91,14,TRUE)</f>
        <v>8</v>
      </c>
      <c r="H21" s="11">
        <f>VLOOKUP(DATE(YEAR(H$6),MONTH(H$6)+1,1)-1,'[1]Final Sales including BIR'!$D$8:$U$91,14,TRUE)</f>
        <v>9</v>
      </c>
      <c r="I21" s="11">
        <f>VLOOKUP(DATE(YEAR(I$6),MONTH(I$6)+1,1)-1,'[1]Final Sales including BIR'!$D$8:$U$91,14,TRUE)</f>
        <v>18</v>
      </c>
      <c r="J21" s="11">
        <f>VLOOKUP(DATE(YEAR(J$6),MONTH(J$6)+1,1)-1,'[1]Final Sales including BIR'!$D$8:$U$91,14,TRUE)</f>
        <v>22</v>
      </c>
      <c r="K21" s="11">
        <f>VLOOKUP(DATE(YEAR(K$6),MONTH(K$6)+1,1)-1,'[1]Final Sales including BIR'!$D$8:$U$91,14,TRUE)</f>
        <v>29</v>
      </c>
      <c r="L21" s="11">
        <f>VLOOKUP(DATE(YEAR(L$6),MONTH(L$6)+1,1)-1,'[1]Final Sales including BIR'!$D$8:$U$91,14,TRUE)</f>
        <v>21</v>
      </c>
      <c r="M21" s="11">
        <f>VLOOKUP(DATE(YEAR(M$6),MONTH(M$6)+1,1)-1,'[1]Final Sales including BIR'!$D$8:$U$91,14,TRUE)</f>
        <v>16</v>
      </c>
      <c r="N21" s="7"/>
      <c r="O21" s="475"/>
      <c r="P21" s="615"/>
      <c r="Q21" s="9"/>
      <c r="V21" s="11">
        <f>VLOOKUP(DATE(YEAR(V$6),MONTH(V$6)+1,1)-1,'[1]Final Sales including BIR'!$D$8:$U$91,14,TRUE)</f>
        <v>9</v>
      </c>
      <c r="W21" s="11">
        <f>VLOOKUP(DATE(YEAR(W$6),MONTH(W$6)+1,1)-1,'[1]Final Sales including BIR'!$D$8:$U$91,14,TRUE)</f>
        <v>18</v>
      </c>
      <c r="X21" s="11">
        <f>VLOOKUP(DATE(YEAR(X$6),MONTH(X$6)+1,1)-1,'[1]Final Sales including BIR'!$D$8:$U$91,14,TRUE)</f>
        <v>22</v>
      </c>
      <c r="Y21" s="11">
        <f>VLOOKUP(DATE(YEAR(Y$6),MONTH(Y$6)+1,1)-1,'[1]Final Sales including BIR'!$D$8:$U$91,14,TRUE)</f>
        <v>29</v>
      </c>
      <c r="Z21" s="11">
        <f>VLOOKUP(DATE(YEAR(Z$6),MONTH(Z$6)+1,1)-1,'[1]Final Sales including BIR'!$D$8:$U$91,14,TRUE)</f>
        <v>21</v>
      </c>
      <c r="AA21" s="11">
        <f>VLOOKUP(DATE(YEAR(AA$6),MONTH(AA$6)+1,1)-1,'[1]Final Sales including BIR'!$D$8:$U$91,14,TRUE)</f>
        <v>16</v>
      </c>
      <c r="AC21" s="11">
        <f>VLOOKUP(DATE(YEAR(AC$6),MONTH(AC$6)+1,1)-1,'[1]Final Sales including BIR'!$D$8:$U$91,14,TRUE)</f>
        <v>8</v>
      </c>
      <c r="AD21" s="11">
        <f>VLOOKUP(DATE(YEAR(AD$6),MONTH(AD$6)+1,1)-1,'[1]Final Sales including BIR'!$D$8:$U$91,14,TRUE)</f>
        <v>9</v>
      </c>
      <c r="AE21" s="11">
        <f>VLOOKUP(DATE(YEAR(AE$6),MONTH(AE$6)+1,1)-1,'[1]Final Sales including BIR'!$D$8:$U$91,14,TRUE)</f>
        <v>10</v>
      </c>
      <c r="AF21" s="11">
        <f>VLOOKUP(DATE(YEAR(AF$6),MONTH(AF$6)+1,1)-1,'[1]Final Sales including BIR'!$D$8:$U$91,14,TRUE)</f>
        <v>11</v>
      </c>
      <c r="AG21" s="11">
        <f>VLOOKUP(DATE(YEAR(AG$6),MONTH(AG$6)+1,1)-1,'[1]Final Sales including BIR'!$D$8:$U$91,14,TRUE)</f>
        <v>8</v>
      </c>
      <c r="AH21" s="11">
        <f>VLOOKUP(DATE(YEAR(AH$6),MONTH(AH$6)+1,1)-1,'[1]Final Sales including BIR'!$D$8:$U$91,14,TRUE)</f>
        <v>8</v>
      </c>
      <c r="AI21" s="11">
        <f>VLOOKUP(DATE(YEAR(AI$6),MONTH(AI$6)+1,1)-1,'[1]Final Sales including BIR'!$D$8:$U$91,14,TRUE)</f>
        <v>8</v>
      </c>
      <c r="AJ21" s="11">
        <f>VLOOKUP(DATE(YEAR(AJ$6),MONTH(AJ$6)+1,1)-1,'[1]Final Sales including BIR'!$D$8:$U$91,14,TRUE)</f>
        <v>17</v>
      </c>
    </row>
    <row r="22" spans="1:36" x14ac:dyDescent="0.25">
      <c r="A22" s="10" t="s">
        <v>15</v>
      </c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7"/>
      <c r="O22" s="7"/>
      <c r="P22" s="13"/>
      <c r="Q22" s="9"/>
      <c r="V22" s="11"/>
      <c r="W22" s="11"/>
      <c r="X22" s="11"/>
      <c r="Y22" s="11"/>
      <c r="Z22" s="11"/>
      <c r="AA22" s="11"/>
      <c r="AC22" s="11"/>
      <c r="AD22" s="11"/>
      <c r="AE22" s="11"/>
      <c r="AF22" s="11"/>
      <c r="AG22" s="11"/>
      <c r="AH22" s="11"/>
      <c r="AI22" s="11"/>
      <c r="AJ22" s="11"/>
    </row>
    <row r="23" spans="1:36" x14ac:dyDescent="0.25">
      <c r="A23" s="10" t="s">
        <v>16</v>
      </c>
      <c r="B23" s="11">
        <f>VLOOKUP(DATE(YEAR(B$6),MONTH(B$6)+1,1)-1,'[1]Final Sales including BIR'!$D$8:$U$91,15,TRUE)</f>
        <v>10</v>
      </c>
      <c r="C23" s="11">
        <f>VLOOKUP(DATE(YEAR(C$6),MONTH(C$6)+1,1)-1,'[1]Final Sales including BIR'!$D$8:$U$91,15,TRUE)</f>
        <v>12</v>
      </c>
      <c r="D23" s="11">
        <f>VLOOKUP(DATE(YEAR(D$6),MONTH(D$6)+1,1)-1,'[1]Final Sales including BIR'!$D$8:$U$91,15,TRUE)</f>
        <v>11</v>
      </c>
      <c r="E23" s="11">
        <f>VLOOKUP(DATE(YEAR(E$6),MONTH(E$6)+1,1)-1,'[1]Final Sales including BIR'!$D$8:$U$91,15,TRUE)</f>
        <v>12</v>
      </c>
      <c r="F23" s="11">
        <f>VLOOKUP(DATE(YEAR(F$6),MONTH(F$6)+1,1)-1,'[1]Final Sales including BIR'!$D$8:$U$91,15,TRUE)</f>
        <v>11</v>
      </c>
      <c r="G23" s="11">
        <f>VLOOKUP(DATE(YEAR(G$6),MONTH(G$6)+1,1)-1,'[1]Final Sales including BIR'!$D$8:$U$91,15,TRUE)</f>
        <v>8</v>
      </c>
      <c r="H23" s="11">
        <f>VLOOKUP(DATE(YEAR(H$6),MONTH(H$6)+1,1)-1,'[1]Final Sales including BIR'!$D$8:$U$91,15,TRUE)</f>
        <v>10</v>
      </c>
      <c r="I23" s="11">
        <f>VLOOKUP(DATE(YEAR(I$6),MONTH(I$6)+1,1)-1,'[1]Final Sales including BIR'!$D$8:$U$91,15,TRUE)</f>
        <v>12</v>
      </c>
      <c r="J23" s="11">
        <f>VLOOKUP(DATE(YEAR(J$6),MONTH(J$6)+1,1)-1,'[1]Final Sales including BIR'!$D$8:$U$91,15,TRUE)</f>
        <v>15</v>
      </c>
      <c r="K23" s="11">
        <f>VLOOKUP(DATE(YEAR(K$6),MONTH(K$6)+1,1)-1,'[1]Final Sales including BIR'!$D$8:$U$91,15,TRUE)</f>
        <v>15</v>
      </c>
      <c r="L23" s="11">
        <f>VLOOKUP(DATE(YEAR(L$6),MONTH(L$6)+1,1)-1,'[1]Final Sales including BIR'!$D$8:$U$91,15,TRUE)</f>
        <v>12</v>
      </c>
      <c r="M23" s="11">
        <f>VLOOKUP(DATE(YEAR(M$6),MONTH(M$6)+1,1)-1,'[1]Final Sales including BIR'!$D$8:$U$91,15,TRUE)</f>
        <v>11</v>
      </c>
      <c r="N23" s="7"/>
      <c r="O23" s="7"/>
      <c r="P23" s="13"/>
      <c r="Q23" s="9"/>
      <c r="V23" s="11">
        <f>VLOOKUP(DATE(YEAR(V$6),MONTH(V$6)+1,1)-1,'[1]Final Sales including BIR'!$D$8:$U$91,15,TRUE)</f>
        <v>10</v>
      </c>
      <c r="W23" s="11">
        <f>VLOOKUP(DATE(YEAR(W$6),MONTH(W$6)+1,1)-1,'[1]Final Sales including BIR'!$D$8:$U$91,15,TRUE)</f>
        <v>12</v>
      </c>
      <c r="X23" s="11">
        <f>VLOOKUP(DATE(YEAR(X$6),MONTH(X$6)+1,1)-1,'[1]Final Sales including BIR'!$D$8:$U$91,15,TRUE)</f>
        <v>15</v>
      </c>
      <c r="Y23" s="11">
        <f>VLOOKUP(DATE(YEAR(Y$6),MONTH(Y$6)+1,1)-1,'[1]Final Sales including BIR'!$D$8:$U$91,15,TRUE)</f>
        <v>15</v>
      </c>
      <c r="Z23" s="11">
        <f>VLOOKUP(DATE(YEAR(Z$6),MONTH(Z$6)+1,1)-1,'[1]Final Sales including BIR'!$D$8:$U$91,15,TRUE)</f>
        <v>12</v>
      </c>
      <c r="AA23" s="11">
        <f>VLOOKUP(DATE(YEAR(AA$6),MONTH(AA$6)+1,1)-1,'[1]Final Sales including BIR'!$D$8:$U$91,15,TRUE)</f>
        <v>11</v>
      </c>
      <c r="AC23" s="11">
        <f>VLOOKUP(DATE(YEAR(AC$6),MONTH(AC$6)+1,1)-1,'[1]Final Sales including BIR'!$D$8:$U$91,15,TRUE)</f>
        <v>10</v>
      </c>
      <c r="AD23" s="11">
        <f>VLOOKUP(DATE(YEAR(AD$6),MONTH(AD$6)+1,1)-1,'[1]Final Sales including BIR'!$D$8:$U$91,15,TRUE)</f>
        <v>12</v>
      </c>
      <c r="AE23" s="11">
        <f>VLOOKUP(DATE(YEAR(AE$6),MONTH(AE$6)+1,1)-1,'[1]Final Sales including BIR'!$D$8:$U$91,15,TRUE)</f>
        <v>11</v>
      </c>
      <c r="AF23" s="11">
        <f>VLOOKUP(DATE(YEAR(AF$6),MONTH(AF$6)+1,1)-1,'[1]Final Sales including BIR'!$D$8:$U$91,15,TRUE)</f>
        <v>12</v>
      </c>
      <c r="AG23" s="11">
        <f>VLOOKUP(DATE(YEAR(AG$6),MONTH(AG$6)+1,1)-1,'[1]Final Sales including BIR'!$D$8:$U$91,15,TRUE)</f>
        <v>11</v>
      </c>
      <c r="AH23" s="11">
        <f>VLOOKUP(DATE(YEAR(AH$6),MONTH(AH$6)+1,1)-1,'[1]Final Sales including BIR'!$D$8:$U$91,15,TRUE)</f>
        <v>8</v>
      </c>
      <c r="AI23" s="11">
        <f>VLOOKUP(DATE(YEAR(AI$6),MONTH(AI$6)+1,1)-1,'[1]Final Sales including BIR'!$D$8:$U$91,15,TRUE)</f>
        <v>10</v>
      </c>
      <c r="AJ23" s="11">
        <f>VLOOKUP(DATE(YEAR(AJ$6),MONTH(AJ$6)+1,1)-1,'[1]Final Sales including BIR'!$D$8:$U$91,15,TRUE)</f>
        <v>12</v>
      </c>
    </row>
    <row r="24" spans="1:36" x14ac:dyDescent="0.25">
      <c r="A24" s="10" t="s">
        <v>17</v>
      </c>
      <c r="B24" s="14">
        <f>'[2]2020 CUS Data'!$L$30</f>
        <v>1.0825666666666667</v>
      </c>
      <c r="C24" s="14">
        <f>'[2]2020 CUS Data'!$L$30</f>
        <v>1.0825666666666667</v>
      </c>
      <c r="D24" s="14">
        <f>'[2]2020 CUS Data'!$L$30</f>
        <v>1.0825666666666667</v>
      </c>
      <c r="E24" s="14">
        <f>'[2]2020 CUS Data'!$L$30</f>
        <v>1.0825666666666667</v>
      </c>
      <c r="F24" s="14">
        <f>'[2]2020 CUS Data'!$L$30</f>
        <v>1.0825666666666667</v>
      </c>
      <c r="G24" s="14">
        <f>'[2]2020 CUS Data'!$L$30</f>
        <v>1.0825666666666667</v>
      </c>
      <c r="H24" s="14">
        <f>'[2]2020 CUS Data'!$L$30</f>
        <v>1.0825666666666667</v>
      </c>
      <c r="I24" s="14">
        <f>'[2]2020 CUS Data'!$L$30</f>
        <v>1.0825666666666667</v>
      </c>
      <c r="J24" s="14">
        <f>'[2]2020 CUS Data'!$L$30</f>
        <v>1.0825666666666667</v>
      </c>
      <c r="K24" s="14">
        <f>'[2]2020 CUS Data'!$L$30</f>
        <v>1.0825666666666667</v>
      </c>
      <c r="L24" s="14">
        <f>'[2]2020 CUS Data'!$L$30</f>
        <v>1.0825666666666667</v>
      </c>
      <c r="M24" s="14">
        <f>'[2]2020 CUS Data'!$L$30</f>
        <v>1.0825666666666667</v>
      </c>
      <c r="N24" s="7" t="s">
        <v>18</v>
      </c>
      <c r="O24" s="7"/>
      <c r="P24" t="s">
        <v>555</v>
      </c>
      <c r="Q24" s="9"/>
      <c r="V24" s="14">
        <f>'[2]2020 CUS Data'!$L$30</f>
        <v>1.0825666666666667</v>
      </c>
      <c r="W24" s="14">
        <f>'[2]2020 CUS Data'!$L$30</f>
        <v>1.0825666666666667</v>
      </c>
      <c r="X24" s="14">
        <f>'[2]2020 CUS Data'!$L$30</f>
        <v>1.0825666666666667</v>
      </c>
      <c r="Y24" s="14">
        <f>'[2]2020 CUS Data'!$L$30</f>
        <v>1.0825666666666667</v>
      </c>
      <c r="Z24" s="14">
        <f>'[2]2020 CUS Data'!$L$30</f>
        <v>1.0825666666666667</v>
      </c>
      <c r="AA24" s="14">
        <f>'[2]2020 CUS Data'!$L$30</f>
        <v>1.0825666666666667</v>
      </c>
      <c r="AC24" s="14">
        <f>'[2]2020 CUS Data'!$L$30</f>
        <v>1.0825666666666667</v>
      </c>
      <c r="AD24" s="14">
        <f>'[2]2020 CUS Data'!$L$30</f>
        <v>1.0825666666666667</v>
      </c>
      <c r="AE24" s="14">
        <f>'[2]2020 CUS Data'!$L$30</f>
        <v>1.0825666666666667</v>
      </c>
      <c r="AF24" s="14">
        <f>'[2]2020 CUS Data'!$L$30</f>
        <v>1.0825666666666667</v>
      </c>
      <c r="AG24" s="14">
        <f>'[2]2020 CUS Data'!$L$30</f>
        <v>1.0825666666666667</v>
      </c>
      <c r="AH24" s="14">
        <f>'[2]2020 CUS Data'!$L$30</f>
        <v>1.0825666666666667</v>
      </c>
      <c r="AI24" s="14">
        <f>'[2]2020 CUS Data'!$L$30</f>
        <v>1.0825666666666667</v>
      </c>
      <c r="AJ24" s="14">
        <f>'[2]2020 CUS Data'!$L$30</f>
        <v>1.0825666666666667</v>
      </c>
    </row>
    <row r="25" spans="1:36" x14ac:dyDescent="0.25">
      <c r="A25" s="18" t="s">
        <v>19</v>
      </c>
      <c r="B25" s="19"/>
      <c r="C25" s="19"/>
      <c r="D25" s="19"/>
      <c r="E25" s="19"/>
      <c r="F25" s="19"/>
      <c r="G25" s="19"/>
      <c r="H25" s="8"/>
      <c r="I25" s="8"/>
      <c r="J25" s="8"/>
      <c r="K25" s="8"/>
      <c r="L25" s="8"/>
      <c r="M25" s="8"/>
      <c r="N25" s="7"/>
      <c r="O25" s="7"/>
      <c r="P25" s="13"/>
      <c r="Q25" s="9"/>
    </row>
    <row r="26" spans="1:36" x14ac:dyDescent="0.25">
      <c r="A26" s="10" t="s">
        <v>20</v>
      </c>
      <c r="B26" s="19"/>
      <c r="C26" s="19"/>
      <c r="D26" s="19"/>
      <c r="E26" s="19"/>
      <c r="F26" s="19"/>
      <c r="G26" s="19"/>
      <c r="H26" s="8"/>
      <c r="I26" s="8"/>
      <c r="J26" s="8"/>
      <c r="K26" s="8"/>
      <c r="L26" s="8"/>
      <c r="M26" s="8"/>
      <c r="N26" s="7"/>
      <c r="O26" s="7"/>
      <c r="P26" s="7"/>
      <c r="Q26" s="7"/>
      <c r="R26" s="7"/>
      <c r="S26" s="7"/>
      <c r="T26" s="7"/>
      <c r="U26" s="7"/>
      <c r="V26" s="13"/>
      <c r="W26" s="9"/>
    </row>
    <row r="27" spans="1:36" x14ac:dyDescent="0.25">
      <c r="A27" s="10" t="s">
        <v>21</v>
      </c>
      <c r="B27" s="19"/>
      <c r="C27" s="19"/>
      <c r="D27" s="19"/>
      <c r="E27" s="19"/>
      <c r="F27" s="19"/>
      <c r="G27" s="19"/>
      <c r="H27" s="8"/>
      <c r="I27" s="8"/>
      <c r="J27" s="8"/>
      <c r="K27" s="8"/>
      <c r="L27" s="8"/>
      <c r="M27" s="8"/>
      <c r="N27" s="7"/>
      <c r="O27" s="7"/>
      <c r="P27" s="7"/>
      <c r="Q27" s="7"/>
      <c r="R27" s="7"/>
      <c r="S27" s="7"/>
      <c r="T27" s="7"/>
      <c r="U27" s="7"/>
      <c r="V27" s="13"/>
      <c r="W27" s="9"/>
    </row>
    <row r="28" spans="1:36" x14ac:dyDescent="0.25">
      <c r="A28" s="10" t="s">
        <v>22</v>
      </c>
      <c r="B28" s="19"/>
      <c r="C28" s="19"/>
      <c r="D28" s="19"/>
      <c r="E28" s="19"/>
      <c r="F28" s="19"/>
      <c r="G28" s="19"/>
      <c r="H28" s="8"/>
      <c r="I28" s="8"/>
      <c r="J28" s="8"/>
      <c r="K28" s="8"/>
      <c r="L28" s="8"/>
      <c r="M28" s="8"/>
      <c r="N28" s="7"/>
      <c r="O28" s="7"/>
      <c r="P28" s="7"/>
      <c r="Q28" s="7"/>
      <c r="R28" s="7"/>
      <c r="S28" s="7"/>
      <c r="T28" s="7"/>
      <c r="U28" s="7"/>
      <c r="V28" s="13"/>
      <c r="W28" s="9"/>
    </row>
    <row r="29" spans="1:36" x14ac:dyDescent="0.25">
      <c r="A29" s="10" t="s">
        <v>23</v>
      </c>
      <c r="B29" s="19"/>
      <c r="C29" s="19"/>
      <c r="D29" s="19"/>
      <c r="E29" s="19"/>
      <c r="F29" s="19"/>
      <c r="G29" s="19"/>
      <c r="H29" s="8"/>
      <c r="I29" s="8"/>
      <c r="J29" s="8"/>
      <c r="K29" s="8"/>
      <c r="L29" s="8"/>
      <c r="M29" s="8"/>
      <c r="N29" s="7"/>
      <c r="O29" s="7"/>
      <c r="P29" s="7"/>
      <c r="Q29" s="7"/>
      <c r="R29" s="7"/>
      <c r="S29" s="7"/>
      <c r="T29" s="7"/>
      <c r="U29" s="7"/>
      <c r="V29" s="13"/>
      <c r="W29" s="9"/>
    </row>
    <row r="30" spans="1:36" x14ac:dyDescent="0.25">
      <c r="A30" s="10" t="s">
        <v>24</v>
      </c>
      <c r="B30" s="19"/>
      <c r="C30" s="19"/>
      <c r="D30" s="19"/>
      <c r="E30" s="19"/>
      <c r="F30" s="19"/>
      <c r="G30" s="19"/>
      <c r="H30" s="8"/>
      <c r="I30" s="8"/>
      <c r="J30" s="8"/>
      <c r="K30" s="8"/>
      <c r="L30" s="8"/>
      <c r="M30" s="8"/>
      <c r="N30" s="7"/>
      <c r="O30" s="7"/>
      <c r="P30" s="7"/>
      <c r="Q30" s="7"/>
      <c r="R30" s="7"/>
      <c r="S30" s="7"/>
      <c r="T30" s="7"/>
      <c r="U30" s="7"/>
      <c r="V30" s="13"/>
      <c r="W30" s="9"/>
    </row>
    <row r="31" spans="1:36" x14ac:dyDescent="0.25">
      <c r="A31" s="10" t="s">
        <v>25</v>
      </c>
      <c r="B31" s="19"/>
      <c r="C31" s="19"/>
      <c r="D31" s="19"/>
      <c r="E31" s="19"/>
      <c r="F31" s="19"/>
      <c r="G31" s="19"/>
      <c r="H31" s="8"/>
      <c r="I31" s="8"/>
      <c r="J31" s="8"/>
      <c r="K31" s="8"/>
      <c r="L31" s="8"/>
      <c r="M31" s="8"/>
      <c r="N31" s="7"/>
      <c r="O31" s="7"/>
      <c r="P31" s="7"/>
      <c r="Q31" s="7"/>
      <c r="R31" s="7"/>
      <c r="S31" s="7"/>
      <c r="T31" s="7"/>
      <c r="U31" s="7"/>
      <c r="V31" s="13"/>
      <c r="W31" s="9"/>
    </row>
    <row r="32" spans="1:36" x14ac:dyDescent="0.25">
      <c r="A32" s="10" t="s">
        <v>26</v>
      </c>
      <c r="B32" s="19"/>
      <c r="C32" s="19"/>
      <c r="D32" s="19"/>
      <c r="E32" s="19"/>
      <c r="F32" s="19"/>
      <c r="G32" s="19"/>
      <c r="H32" s="8"/>
      <c r="I32" s="8"/>
      <c r="J32" s="8"/>
      <c r="K32" s="8"/>
      <c r="L32" s="8"/>
      <c r="M32" s="8"/>
      <c r="N32" s="7"/>
      <c r="O32" s="7"/>
      <c r="P32" s="7"/>
      <c r="Q32" s="7"/>
      <c r="R32" s="7"/>
      <c r="S32" s="7"/>
      <c r="T32" s="7"/>
      <c r="U32" s="7"/>
      <c r="V32" s="13"/>
      <c r="W32" s="9"/>
    </row>
    <row r="33" spans="1:36" x14ac:dyDescent="0.25">
      <c r="A33" s="10" t="s">
        <v>27</v>
      </c>
      <c r="B33" s="19"/>
      <c r="C33" s="19"/>
      <c r="D33" s="19"/>
      <c r="E33" s="19"/>
      <c r="F33" s="19"/>
      <c r="G33" s="19"/>
      <c r="H33" s="8"/>
      <c r="I33" s="8"/>
      <c r="J33" s="8"/>
      <c r="K33" s="8"/>
      <c r="L33" s="8"/>
      <c r="M33" s="8"/>
      <c r="N33" s="7"/>
      <c r="O33" s="7"/>
      <c r="P33" s="7"/>
      <c r="Q33" s="7"/>
      <c r="R33" s="7"/>
      <c r="S33" s="7"/>
      <c r="T33" s="7"/>
      <c r="U33" s="7"/>
      <c r="V33" s="13"/>
      <c r="W33" s="9"/>
    </row>
    <row r="34" spans="1:36" x14ac:dyDescent="0.25">
      <c r="A34" s="10" t="s">
        <v>28</v>
      </c>
      <c r="B34" s="19"/>
      <c r="C34" s="19"/>
      <c r="D34" s="19"/>
      <c r="E34" s="19"/>
      <c r="F34" s="19"/>
      <c r="G34" s="19"/>
      <c r="H34" s="8"/>
      <c r="I34" s="8"/>
      <c r="J34" s="8"/>
      <c r="K34" s="8"/>
      <c r="L34" s="8"/>
      <c r="M34" s="8"/>
      <c r="N34" s="7"/>
      <c r="O34" s="7"/>
      <c r="P34" s="7"/>
      <c r="Q34" s="7"/>
      <c r="R34" s="7"/>
      <c r="S34" s="7"/>
      <c r="T34" s="7"/>
      <c r="U34" s="7"/>
      <c r="V34" s="13"/>
      <c r="W34" s="9"/>
    </row>
    <row r="35" spans="1:36" x14ac:dyDescent="0.25">
      <c r="A35" s="10" t="s">
        <v>29</v>
      </c>
      <c r="B35" s="12">
        <v>0</v>
      </c>
      <c r="C35" s="12">
        <v>0</v>
      </c>
      <c r="D35" s="12">
        <v>0</v>
      </c>
      <c r="E35" s="12">
        <v>0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0</v>
      </c>
      <c r="N35" s="7"/>
      <c r="O35" s="7"/>
      <c r="P35" s="7"/>
      <c r="Q35" s="7"/>
      <c r="R35" s="7"/>
      <c r="S35" s="7"/>
      <c r="T35" s="7"/>
      <c r="U35" s="7"/>
      <c r="V35" s="12">
        <v>0</v>
      </c>
      <c r="W35" s="12">
        <v>0</v>
      </c>
      <c r="X35" s="12">
        <v>0</v>
      </c>
      <c r="Y35" s="12">
        <v>0</v>
      </c>
      <c r="Z35" s="12">
        <v>0</v>
      </c>
      <c r="AA35" s="12">
        <v>0</v>
      </c>
      <c r="AC35" s="12">
        <v>0</v>
      </c>
      <c r="AD35" s="12">
        <v>0</v>
      </c>
      <c r="AE35" s="12">
        <v>0</v>
      </c>
      <c r="AF35" s="12">
        <v>0</v>
      </c>
      <c r="AG35" s="12">
        <v>0</v>
      </c>
      <c r="AH35" s="12">
        <v>0</v>
      </c>
      <c r="AI35" s="12">
        <v>0</v>
      </c>
      <c r="AJ35" s="12">
        <v>0</v>
      </c>
    </row>
    <row r="36" spans="1:36" x14ac:dyDescent="0.25">
      <c r="A36" s="4"/>
      <c r="B36" s="19"/>
      <c r="C36" s="19"/>
      <c r="D36" s="19"/>
      <c r="E36" s="19"/>
      <c r="F36" s="19"/>
      <c r="G36" s="19"/>
      <c r="H36" s="8"/>
      <c r="I36" s="8"/>
      <c r="J36" s="8"/>
      <c r="K36" s="8"/>
      <c r="L36" s="8"/>
      <c r="M36" s="8"/>
      <c r="N36" s="7"/>
      <c r="O36" s="7"/>
      <c r="P36" s="7"/>
      <c r="Q36" s="7"/>
      <c r="R36" s="7"/>
      <c r="S36" s="7"/>
      <c r="T36" s="7"/>
      <c r="U36" s="7"/>
      <c r="V36" s="8"/>
      <c r="W36" s="8"/>
      <c r="X36" s="8"/>
      <c r="Y36" s="8"/>
      <c r="Z36" s="8"/>
      <c r="AA36" s="8"/>
      <c r="AC36" s="8"/>
      <c r="AD36" s="8"/>
      <c r="AE36" s="8"/>
      <c r="AF36" s="8"/>
      <c r="AG36" s="8"/>
      <c r="AH36" s="8"/>
      <c r="AI36" s="8"/>
      <c r="AJ36" s="8"/>
    </row>
    <row r="37" spans="1:36" x14ac:dyDescent="0.25">
      <c r="A37" s="10" t="s">
        <v>30</v>
      </c>
      <c r="B37" s="5">
        <f>SUM(B8:B35)</f>
        <v>2998.6981256666663</v>
      </c>
      <c r="C37" s="5">
        <f>SUM(C8:C35)</f>
        <v>3570.7011536666664</v>
      </c>
      <c r="D37" s="5">
        <f t="shared" ref="D37:L37" si="2">SUM(D8:D35)</f>
        <v>4297.6525116666671</v>
      </c>
      <c r="E37" s="5">
        <f t="shared" si="2"/>
        <v>4439.6059896666675</v>
      </c>
      <c r="F37" s="5">
        <f t="shared" si="2"/>
        <v>4179.6749126666673</v>
      </c>
      <c r="G37" s="5">
        <f t="shared" si="2"/>
        <v>3357.7122526666667</v>
      </c>
      <c r="H37" s="8">
        <f t="shared" si="2"/>
        <v>3124.8112706666666</v>
      </c>
      <c r="I37" s="8">
        <f t="shared" si="2"/>
        <v>3389.8565696666665</v>
      </c>
      <c r="J37" s="8">
        <f t="shared" si="2"/>
        <v>3550.9298086666663</v>
      </c>
      <c r="K37" s="8">
        <f t="shared" si="2"/>
        <v>3458.9148636666664</v>
      </c>
      <c r="L37" s="8">
        <f t="shared" si="2"/>
        <v>3304.7970086666664</v>
      </c>
      <c r="M37" s="8">
        <f>SUM(M8:M35)</f>
        <v>3101.7890776666668</v>
      </c>
      <c r="N37" s="7"/>
      <c r="O37" s="7"/>
      <c r="P37" s="7"/>
      <c r="Q37" s="7"/>
      <c r="R37" s="7"/>
      <c r="S37" s="7"/>
      <c r="T37" s="8"/>
      <c r="U37" s="8"/>
      <c r="V37" s="8">
        <f>SUM(V8:V35)</f>
        <v>3024.8112706666666</v>
      </c>
      <c r="W37" s="8">
        <f t="shared" ref="W37:AA37" si="3">SUM(W8:W35)</f>
        <v>3278.8565696666665</v>
      </c>
      <c r="X37" s="8">
        <f t="shared" si="3"/>
        <v>3424.9298086666663</v>
      </c>
      <c r="Y37" s="8">
        <f t="shared" si="3"/>
        <v>3340.9148636666664</v>
      </c>
      <c r="Z37" s="8">
        <f t="shared" si="3"/>
        <v>3177.7970086666664</v>
      </c>
      <c r="AA37" s="8">
        <f t="shared" si="3"/>
        <v>2973.7890776666668</v>
      </c>
      <c r="AC37" s="8">
        <f t="shared" ref="AC37:AJ37" si="4">SUM(AC8:AC35)</f>
        <v>2886.6981256666663</v>
      </c>
      <c r="AD37" s="8">
        <f t="shared" si="4"/>
        <v>3435.7061216666666</v>
      </c>
      <c r="AE37" s="8">
        <f t="shared" si="4"/>
        <v>4162.6525116666671</v>
      </c>
      <c r="AF37" s="8">
        <f t="shared" si="4"/>
        <v>4299.6059896666675</v>
      </c>
      <c r="AG37" s="8">
        <f t="shared" si="4"/>
        <v>4043.6749126666668</v>
      </c>
      <c r="AH37" s="8">
        <f t="shared" si="4"/>
        <v>3248.7122526666667</v>
      </c>
      <c r="AI37" s="8">
        <f t="shared" si="4"/>
        <v>3019.8112706666666</v>
      </c>
      <c r="AJ37" s="8">
        <f t="shared" si="4"/>
        <v>3231.8565696666665</v>
      </c>
    </row>
    <row r="38" spans="1:36" x14ac:dyDescent="0.25">
      <c r="A38" s="4" t="s">
        <v>31</v>
      </c>
      <c r="B38" s="20">
        <f>VLOOKUP(DATE(YEAR(B$6),MONTH(B$6)+1,1)-1, '[1]Final Sales including BIR'!$D$8:$U$91,18,TRUE)+ VLOOKUP(DATE(YEAR(B$6),MONTH(B$6)+1,1)-1, '[1]TOD Sales (incl BIR) Allocation'!$E$46:$K$129,5,TRUE)</f>
        <v>2994</v>
      </c>
      <c r="C38" s="20">
        <f>VLOOKUP(DATE(YEAR(C$6),MONTH(C$6)+1,1)-1, '[1]Final Sales including BIR'!$D$8:$U$91,18,TRUE)+ VLOOKUP(DATE(YEAR(C$6),MONTH(C$6)+1,1)-1, '[1]TOD Sales (incl BIR) Allocation'!$E$46:$K$129,5,TRUE)</f>
        <v>3559</v>
      </c>
      <c r="D38" s="20">
        <f>VLOOKUP(DATE(YEAR(D$6),MONTH(D$6)+1,1)-1, '[1]Final Sales including BIR'!$D$8:$U$91,18,TRUE)+ VLOOKUP(DATE(YEAR(D$6),MONTH(D$6)+1,1)-1, '[1]TOD Sales (incl BIR) Allocation'!$E$46:$K$129,5,TRUE)</f>
        <v>4288</v>
      </c>
      <c r="E38" s="20">
        <f>VLOOKUP(DATE(YEAR(E$6),MONTH(E$6)+1,1)-1, '[1]Final Sales including BIR'!$D$8:$U$91,18,TRUE)+ VLOOKUP(DATE(YEAR(E$6),MONTH(E$6)+1,1)-1, '[1]TOD Sales (incl BIR) Allocation'!$E$46:$K$129,5,TRUE)</f>
        <v>4427</v>
      </c>
      <c r="F38" s="20">
        <f>VLOOKUP(DATE(YEAR(F$6),MONTH(F$6)+1,1)-1, '[1]Final Sales including BIR'!$D$8:$U$91,18,TRUE)+ VLOOKUP(DATE(YEAR(F$6),MONTH(F$6)+1,1)-1, '[1]TOD Sales (incl BIR) Allocation'!$E$46:$K$129,5,TRUE)</f>
        <v>4167</v>
      </c>
      <c r="G38" s="20">
        <f>VLOOKUP(DATE(YEAR(G$6),MONTH(G$6)+1,1)-1, '[1]Final Sales including BIR'!$D$8:$U$91,18,TRUE)+ VLOOKUP(DATE(YEAR(G$6),MONTH(G$6)+1,1)-1, '[1]TOD Sales (incl BIR) Allocation'!$E$46:$K$129,5,TRUE)</f>
        <v>3352</v>
      </c>
      <c r="H38" s="20">
        <f>VLOOKUP(DATE(YEAR(H$6),MONTH(H$6)+1,1)-1, '[1]Final Sales including BIR'!$D$8:$U$91,18,TRUE)+ VLOOKUP(DATE(YEAR(H$6),MONTH(H$6)+1,1)-1, '[1]TOD Sales (incl BIR) Allocation'!$E$46:$K$129,5,TRUE)</f>
        <v>3121</v>
      </c>
      <c r="I38" s="20">
        <f>VLOOKUP(DATE(YEAR(I$6),MONTH(I$6)+1,1)-1, '[1]Final Sales including BIR'!$D$8:$U$91,18,TRUE)+ VLOOKUP(DATE(YEAR(I$6),MONTH(I$6)+1,1)-1, '[1]TOD Sales (incl BIR) Allocation'!$E$46:$K$129,5,TRUE)</f>
        <v>3398</v>
      </c>
      <c r="J38" s="20">
        <f>VLOOKUP(DATE(YEAR(J$6),MONTH(J$6)+1,1)-1, '[1]Final Sales including BIR'!$D$8:$U$91,18,TRUE)+ VLOOKUP(DATE(YEAR(J$6),MONTH(J$6)+1,1)-1, '[1]TOD Sales (incl BIR) Allocation'!$E$46:$K$129,5,TRUE)</f>
        <v>3542</v>
      </c>
      <c r="K38" s="20">
        <f>VLOOKUP(DATE(YEAR(K$6),MONTH(K$6)+1,1)-1, '[1]Final Sales including BIR'!$D$8:$U$91,18,TRUE)+ VLOOKUP(DATE(YEAR(K$6),MONTH(K$6)+1,1)-1, '[1]TOD Sales (incl BIR) Allocation'!$E$46:$K$129,5,TRUE)</f>
        <v>3451</v>
      </c>
      <c r="L38" s="20">
        <f>VLOOKUP(DATE(YEAR(L$6),MONTH(L$6)+1,1)-1, '[1]Final Sales including BIR'!$D$8:$U$91,18,TRUE)+ VLOOKUP(DATE(YEAR(L$6),MONTH(L$6)+1,1)-1, '[1]TOD Sales (incl BIR) Allocation'!$E$46:$K$129,5,TRUE)</f>
        <v>3297</v>
      </c>
      <c r="M38" s="20">
        <f>VLOOKUP(DATE(YEAR(M$6),MONTH(M$6)+1,1)-1, '[1]Final Sales including BIR'!$D$8:$U$91,18,TRUE)+ VLOOKUP(DATE(YEAR(M$6),MONTH(M$6)+1,1)-1, '[1]TOD Sales (incl BIR) Allocation'!$E$46:$K$129,5,TRUE)</f>
        <v>3091</v>
      </c>
      <c r="N38" s="13"/>
      <c r="O38" s="13"/>
      <c r="P38" s="13"/>
      <c r="Q38" s="13"/>
      <c r="R38" s="13"/>
      <c r="S38" s="13"/>
      <c r="T38" s="13"/>
      <c r="U38" s="13"/>
      <c r="V38" s="20">
        <f>VLOOKUP(DATE(YEAR(V$6),MONTH(V$6)+1,1)-1, '[1]Final Sales including BIR'!$D$8:$U$91,18,TRUE)</f>
        <v>3027</v>
      </c>
      <c r="W38" s="20">
        <f>VLOOKUP(DATE(YEAR(W$6),MONTH(W$6)+1,1)-1, '[1]Final Sales including BIR'!$D$8:$U$91,18,TRUE)</f>
        <v>3279</v>
      </c>
      <c r="X38" s="20">
        <f>VLOOKUP(DATE(YEAR(X$6),MONTH(X$6)+1,1)-1, '[1]Final Sales including BIR'!$D$8:$U$91,18,TRUE)</f>
        <v>3426</v>
      </c>
      <c r="Y38" s="20">
        <f>VLOOKUP(DATE(YEAR(Y$6),MONTH(Y$6)+1,1)-1, '[1]Final Sales including BIR'!$D$8:$U$91,18,TRUE)</f>
        <v>3342</v>
      </c>
      <c r="Z38" s="20">
        <f>VLOOKUP(DATE(YEAR(Z$6),MONTH(Z$6)+1,1)-1, '[1]Final Sales including BIR'!$D$8:$U$91,18,TRUE)</f>
        <v>3181</v>
      </c>
      <c r="AA38" s="20">
        <f>VLOOKUP(DATE(YEAR(AA$6),MONTH(AA$6)+1,1)-1, '[1]Final Sales including BIR'!$D$8:$U$91,18,TRUE)</f>
        <v>2974</v>
      </c>
      <c r="AC38" s="20">
        <f>VLOOKUP(DATE(YEAR(AC$6),MONTH(AC$6)+1,1)-1, '[1]Final Sales including BIR'!$D$8:$U$91,18,TRUE)</f>
        <v>2890</v>
      </c>
      <c r="AD38" s="20">
        <f>VLOOKUP(DATE(YEAR(AD$6),MONTH(AD$6)+1,1)-1, '[1]Final Sales including BIR'!$D$8:$U$91,18,TRUE)</f>
        <v>3440</v>
      </c>
      <c r="AE38" s="20">
        <f>VLOOKUP(DATE(YEAR(AE$6),MONTH(AE$6)+1,1)-1, '[1]Final Sales including BIR'!$D$8:$U$91,18,TRUE)</f>
        <v>4159</v>
      </c>
      <c r="AF38" s="20">
        <f>VLOOKUP(DATE(YEAR(AF$6),MONTH(AF$6)+1,1)-1, '[1]Final Sales including BIR'!$D$8:$U$91,18,TRUE)</f>
        <v>4296</v>
      </c>
      <c r="AG38" s="20">
        <f>VLOOKUP(DATE(YEAR(AG$6),MONTH(AG$6)+1,1)-1, '[1]Final Sales including BIR'!$D$8:$U$91,18,TRUE)</f>
        <v>4040</v>
      </c>
      <c r="AH38" s="20">
        <f>VLOOKUP(DATE(YEAR(AH$6),MONTH(AH$6)+1,1)-1, '[1]Final Sales including BIR'!$D$8:$U$91,18,TRUE)</f>
        <v>3254</v>
      </c>
      <c r="AI38" s="20">
        <f>VLOOKUP(DATE(YEAR(AI$6),MONTH(AI$6)+1,1)-1, '[1]Final Sales including BIR'!$D$8:$U$91,18,TRUE)</f>
        <v>3026</v>
      </c>
      <c r="AJ38" s="20">
        <f>VLOOKUP(DATE(YEAR(AJ$6),MONTH(AJ$6)+1,1)-1, '[1]Final Sales including BIR'!$D$8:$U$91,18,TRUE)</f>
        <v>3236</v>
      </c>
    </row>
    <row r="39" spans="1:36" x14ac:dyDescent="0.25">
      <c r="A39" s="10" t="s">
        <v>32</v>
      </c>
      <c r="B39" s="21">
        <f>ROUND(B37-B38,3)</f>
        <v>4.6980000000000004</v>
      </c>
      <c r="C39" s="21">
        <f>ROUND(C37-C38,3)</f>
        <v>11.701000000000001</v>
      </c>
      <c r="D39" s="21">
        <f t="shared" ref="D39:M39" si="5">ROUND(D37-D38,3)</f>
        <v>9.6530000000000005</v>
      </c>
      <c r="E39" s="21">
        <f t="shared" si="5"/>
        <v>12.606</v>
      </c>
      <c r="F39" s="21">
        <f t="shared" si="5"/>
        <v>12.675000000000001</v>
      </c>
      <c r="G39" s="21">
        <f t="shared" si="5"/>
        <v>5.7119999999999997</v>
      </c>
      <c r="H39" s="21">
        <f t="shared" si="5"/>
        <v>3.8109999999999999</v>
      </c>
      <c r="I39" s="21">
        <f>ROUND(I37-I38,3)</f>
        <v>-8.1430000000000007</v>
      </c>
      <c r="J39" s="21">
        <f t="shared" si="5"/>
        <v>8.93</v>
      </c>
      <c r="K39" s="21">
        <f t="shared" si="5"/>
        <v>7.915</v>
      </c>
      <c r="L39" s="21">
        <f t="shared" si="5"/>
        <v>7.7969999999999997</v>
      </c>
      <c r="M39" s="21">
        <f t="shared" si="5"/>
        <v>10.789</v>
      </c>
      <c r="N39" s="7"/>
      <c r="O39" s="7"/>
      <c r="P39" s="7"/>
      <c r="Q39" s="7"/>
      <c r="R39" s="13"/>
      <c r="S39" s="13"/>
      <c r="T39" s="13"/>
      <c r="U39" s="13"/>
      <c r="V39" s="21">
        <f>ROUND(V37-V38,3)</f>
        <v>-2.1890000000000001</v>
      </c>
      <c r="W39" s="21">
        <f t="shared" ref="W39:AC39" si="6">ROUND(W37-W38,3)</f>
        <v>-0.14299999999999999</v>
      </c>
      <c r="X39" s="21">
        <f t="shared" si="6"/>
        <v>-1.07</v>
      </c>
      <c r="Y39" s="21">
        <f t="shared" si="6"/>
        <v>-1.085</v>
      </c>
      <c r="Z39" s="21">
        <f t="shared" si="6"/>
        <v>-3.2029999999999998</v>
      </c>
      <c r="AA39" s="21">
        <f t="shared" si="6"/>
        <v>-0.21099999999999999</v>
      </c>
      <c r="AC39" s="21">
        <f t="shared" si="6"/>
        <v>-3.302</v>
      </c>
      <c r="AD39" s="21">
        <f t="shared" ref="AD39" si="7">ROUND(AD37-AD38,3)</f>
        <v>-4.2939999999999996</v>
      </c>
      <c r="AE39" s="21">
        <f t="shared" ref="AE39" si="8">ROUND(AE37-AE38,3)</f>
        <v>3.653</v>
      </c>
      <c r="AF39" s="21">
        <f t="shared" ref="AF39" si="9">ROUND(AF37-AF38,3)</f>
        <v>3.6059999999999999</v>
      </c>
      <c r="AG39" s="21">
        <f t="shared" ref="AG39" si="10">ROUND(AG37-AG38,3)</f>
        <v>3.6749999999999998</v>
      </c>
      <c r="AH39" s="21">
        <f t="shared" ref="AH39" si="11">ROUND(AH37-AH38,3)</f>
        <v>-5.2880000000000003</v>
      </c>
      <c r="AI39" s="21">
        <f t="shared" ref="AI39" si="12">ROUND(AI37-AI38,3)</f>
        <v>-6.1890000000000001</v>
      </c>
      <c r="AJ39" s="21">
        <f t="shared" ref="AJ39" si="13">ROUND(AJ37-AJ38,3)</f>
        <v>-4.1429999999999998</v>
      </c>
    </row>
    <row r="40" spans="1:36" x14ac:dyDescent="0.25"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7"/>
      <c r="O40" s="7"/>
      <c r="P40" s="13"/>
      <c r="Q40" s="13"/>
      <c r="R40" s="13"/>
      <c r="S40" s="13"/>
      <c r="T40" s="13"/>
      <c r="U40" s="13"/>
      <c r="V40" s="13"/>
      <c r="W40" s="9"/>
    </row>
    <row r="41" spans="1:36" x14ac:dyDescent="0.25">
      <c r="A41" t="s">
        <v>33</v>
      </c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7"/>
      <c r="O41" s="7"/>
      <c r="P41" s="13"/>
      <c r="Q41" s="13"/>
      <c r="R41" s="13"/>
      <c r="S41" s="13"/>
      <c r="T41" s="13"/>
      <c r="U41" s="13"/>
      <c r="V41" s="13"/>
      <c r="W41" s="9"/>
    </row>
    <row r="42" spans="1:36" x14ac:dyDescent="0.25">
      <c r="A42" t="s">
        <v>34</v>
      </c>
      <c r="B42" s="22">
        <f>B10-VLOOKUP(DATE(YEAR(B$6),MONTH(B$6)+1,1)-1, '[1]Final Sales including BIR'!$D$8:$U$91,4,TRUE)</f>
        <v>6.8611999999999992E-2</v>
      </c>
      <c r="C42" s="22">
        <f>C10-VLOOKUP(DATE(YEAR(C$6),MONTH(C$6)+1,1)-1, '[1]Final Sales including BIR'!$D$8:$U$91,4,TRUE)</f>
        <v>5.3106E-2</v>
      </c>
      <c r="D42" s="22">
        <f>D10-VLOOKUP(DATE(YEAR(D$6),MONTH(D$6)+1,1)-1, '[1]Final Sales including BIR'!$D$8:$U$91,4,TRUE)</f>
        <v>5.3106E-2</v>
      </c>
      <c r="E42" s="22">
        <f>E10-VLOOKUP(DATE(YEAR(E$6),MONTH(E$6)+1,1)-1, '[1]Final Sales including BIR'!$D$8:$U$91,4,TRUE)</f>
        <v>4.9803E-2</v>
      </c>
      <c r="F42" s="22">
        <f>F10-VLOOKUP(DATE(YEAR(F$6),MONTH(F$6)+1,1)-1, '[1]Final Sales including BIR'!$D$8:$U$91,4,TRUE)</f>
        <v>4.8340000000000001E-2</v>
      </c>
      <c r="G42" s="22">
        <f>G10-VLOOKUP(DATE(YEAR(G$6),MONTH(G$6)+1,1)-1, '[1]Final Sales including BIR'!$D$8:$U$91,4,TRUE)</f>
        <v>4.5691999999999997E-2</v>
      </c>
      <c r="H42" s="22">
        <f>H10-VLOOKUP(DATE(YEAR(H$6),MONTH(H$6)+1,1)-1, '[1]Final Sales including BIR'!$D$8:$U$91,4,TRUE)</f>
        <v>5.3835000000000001E-2</v>
      </c>
      <c r="I42" s="22">
        <f>I10-VLOOKUP(DATE(YEAR(I$6),MONTH(I$6)+1,1)-1, '[1]Final Sales including BIR'!$D$8:$U$91,4,TRUE)</f>
        <v>6.1690000000000002E-2</v>
      </c>
      <c r="J42" s="22">
        <f>J10-VLOOKUP(DATE(YEAR(J$6),MONTH(J$6)+1,1)-1, '[1]Final Sales including BIR'!$D$8:$U$91,4,TRUE)</f>
        <v>-0.91624799999999995</v>
      </c>
      <c r="K42" s="22">
        <f>K10-VLOOKUP(DATE(YEAR(K$6),MONTH(K$6)+1,1)-1, '[1]Final Sales including BIR'!$D$8:$U$91,4,TRUE)</f>
        <v>8.5337999999999997E-2</v>
      </c>
      <c r="L42" s="22">
        <f>L10-VLOOKUP(DATE(YEAR(L$6),MONTH(L$6)+1,1)-1, '[1]Final Sales including BIR'!$D$8:$U$91,4,TRUE)</f>
        <v>8.1435999999999995E-2</v>
      </c>
      <c r="M42" s="22">
        <f>M10-VLOOKUP(DATE(YEAR(M$6),MONTH(M$6)+1,1)-1, '[1]Final Sales including BIR'!$D$8:$U$91,4,TRUE)</f>
        <v>6.8989999999999996E-2</v>
      </c>
      <c r="N42" s="13"/>
      <c r="O42" s="13"/>
      <c r="P42" s="13"/>
      <c r="Q42" s="13"/>
      <c r="R42" s="13"/>
      <c r="S42" s="13"/>
      <c r="T42" s="13"/>
      <c r="U42" s="13"/>
      <c r="V42" s="22"/>
      <c r="W42" s="22"/>
      <c r="X42" s="22"/>
      <c r="Y42" s="22"/>
      <c r="Z42" s="22"/>
      <c r="AA42" s="22"/>
      <c r="AC42" s="22">
        <f>AC10-VLOOKUP(DATE(YEAR(AC$6),MONTH(AC$6)+1,1)-1, '[1]Final Sales including BIR'!$D$8:$U$91,4,TRUE)</f>
        <v>6.8611999999999992E-2</v>
      </c>
      <c r="AD42" s="22">
        <f>AD10-VLOOKUP(DATE(YEAR(AD$6),MONTH(AD$6)+1,1)-1, '[1]Final Sales including BIR'!$D$8:$U$91,4,TRUE)</f>
        <v>5.8074000000000001E-2</v>
      </c>
      <c r="AE42" s="22">
        <f>AE10-VLOOKUP(DATE(YEAR(AE$6),MONTH(AE$6)+1,1)-1, '[1]Final Sales including BIR'!$D$8:$U$91,4,TRUE)</f>
        <v>5.3106E-2</v>
      </c>
      <c r="AF42" s="22">
        <f>AF10-VLOOKUP(DATE(YEAR(AF$6),MONTH(AF$6)+1,1)-1, '[1]Final Sales including BIR'!$D$8:$U$91,4,TRUE)</f>
        <v>4.9803E-2</v>
      </c>
      <c r="AG42" s="22">
        <f>AG10-VLOOKUP(DATE(YEAR(AG$6),MONTH(AG$6)+1,1)-1, '[1]Final Sales including BIR'!$D$8:$U$91,4,TRUE)</f>
        <v>4.8340000000000001E-2</v>
      </c>
      <c r="AH42" s="22">
        <f>AH10-VLOOKUP(DATE(YEAR(AH$6),MONTH(AH$6)+1,1)-1, '[1]Final Sales including BIR'!$D$8:$U$91,4,TRUE)</f>
        <v>4.5691999999999997E-2</v>
      </c>
      <c r="AI42" s="22">
        <f>AI10-VLOOKUP(DATE(YEAR(AI$6),MONTH(AI$6)+1,1)-1, '[1]Final Sales including BIR'!$D$8:$U$91,4,TRUE)</f>
        <v>5.3835000000000001E-2</v>
      </c>
      <c r="AJ42" s="22">
        <f>AJ10-VLOOKUP(DATE(YEAR(AJ$6),MONTH(AJ$6)+1,1)-1, '[1]Final Sales including BIR'!$D$8:$U$91,4,TRUE)</f>
        <v>6.1690000000000002E-2</v>
      </c>
    </row>
    <row r="43" spans="1:36" x14ac:dyDescent="0.25">
      <c r="A43" t="s">
        <v>35</v>
      </c>
      <c r="B43" s="22">
        <f>B12-VLOOKUP(DATE(YEAR(B$6),MONTH(B$6)+1,1)-1, '[1]Final Sales including BIR'!$D$8:$U$91,7,TRUE)</f>
        <v>-0.45305300000000004</v>
      </c>
      <c r="C43" s="22">
        <f>C12-VLOOKUP(DATE(YEAR(C$6),MONTH(C$6)+1,1)-1, '[1]Final Sales including BIR'!$D$8:$U$91,7,TRUE)</f>
        <v>-0.43451899999999999</v>
      </c>
      <c r="D43" s="22">
        <f>D12-VLOOKUP(DATE(YEAR(D$6),MONTH(D$6)+1,1)-1, '[1]Final Sales including BIR'!$D$8:$U$91,7,TRUE)</f>
        <v>-0.48316099999999995</v>
      </c>
      <c r="E43" s="22">
        <f>E12-VLOOKUP(DATE(YEAR(E$6),MONTH(E$6)+1,1)-1, '[1]Final Sales including BIR'!$D$8:$U$91,7,TRUE)</f>
        <v>0.47361999999999999</v>
      </c>
      <c r="F43" s="22">
        <f>F12-VLOOKUP(DATE(YEAR(F$6),MONTH(F$6)+1,1)-1, '[1]Final Sales including BIR'!$D$8:$U$91,7,TRUE)</f>
        <v>-0.45599400000000001</v>
      </c>
      <c r="G43" s="22">
        <f>G12-VLOOKUP(DATE(YEAR(G$6),MONTH(G$6)+1,1)-1, '[1]Final Sales including BIR'!$D$8:$U$91,7,TRUE)</f>
        <v>-0.41600599999999999</v>
      </c>
      <c r="H43" s="22">
        <f>H12-VLOOKUP(DATE(YEAR(H$6),MONTH(H$6)+1,1)-1, '[1]Final Sales including BIR'!$D$8:$U$91,7,TRUE)</f>
        <v>-0.32513099999999995</v>
      </c>
      <c r="I43" s="22">
        <f>I12-VLOOKUP(DATE(YEAR(I$6),MONTH(I$6)+1,1)-1, '[1]Final Sales including BIR'!$D$8:$U$91,7,TRUE)</f>
        <v>-0.28768700000000003</v>
      </c>
      <c r="J43" s="22">
        <f>J12-VLOOKUP(DATE(YEAR(J$6),MONTH(J$6)+1,1)-1, '[1]Final Sales including BIR'!$D$8:$U$91,7,TRUE)</f>
        <v>-0.23651</v>
      </c>
      <c r="K43" s="22">
        <f>K12-VLOOKUP(DATE(YEAR(K$6),MONTH(K$6)+1,1)-1, '[1]Final Sales including BIR'!$D$8:$U$91,7,TRUE)</f>
        <v>-0.25304099999999996</v>
      </c>
      <c r="L43" s="22">
        <f>L12-VLOOKUP(DATE(YEAR(L$6),MONTH(L$6)+1,1)-1, '[1]Final Sales including BIR'!$D$8:$U$91,7,TRUE)</f>
        <v>-0.36699400000000004</v>
      </c>
      <c r="M43" s="22">
        <f>M12-VLOOKUP(DATE(YEAR(M$6),MONTH(M$6)+1,1)-1, '[1]Final Sales including BIR'!$D$8:$U$91,7,TRUE)</f>
        <v>-0.362479</v>
      </c>
      <c r="V43" s="22"/>
      <c r="W43" s="22"/>
      <c r="X43" s="22"/>
      <c r="Y43" s="22"/>
      <c r="Z43" s="22"/>
      <c r="AA43" s="22"/>
      <c r="AC43" s="22">
        <f>AC12-VLOOKUP(DATE(YEAR(AC$6),MONTH(AC$6)+1,1)-1, '[1]Final Sales including BIR'!$D$8:$U$91,7,TRUE)</f>
        <v>-0.45305300000000004</v>
      </c>
      <c r="AD43" s="22">
        <f>AD12-VLOOKUP(DATE(YEAR(AD$6),MONTH(AD$6)+1,1)-1, '[1]Final Sales including BIR'!$D$8:$U$91,7,TRUE)</f>
        <v>-0.43451899999999999</v>
      </c>
      <c r="AE43" s="22">
        <f>AE12-VLOOKUP(DATE(YEAR(AE$6),MONTH(AE$6)+1,1)-1, '[1]Final Sales including BIR'!$D$8:$U$91,7,TRUE)</f>
        <v>-0.48316099999999995</v>
      </c>
      <c r="AF43" s="22">
        <f>AF12-VLOOKUP(DATE(YEAR(AF$6),MONTH(AF$6)+1,1)-1, '[1]Final Sales including BIR'!$D$8:$U$91,7,TRUE)</f>
        <v>0.47361999999999999</v>
      </c>
      <c r="AG43" s="22">
        <f>AG12-VLOOKUP(DATE(YEAR(AG$6),MONTH(AG$6)+1,1)-1, '[1]Final Sales including BIR'!$D$8:$U$91,7,TRUE)</f>
        <v>-0.45599400000000001</v>
      </c>
      <c r="AH43" s="22">
        <f>AH12-VLOOKUP(DATE(YEAR(AH$6),MONTH(AH$6)+1,1)-1, '[1]Final Sales including BIR'!$D$8:$U$91,7,TRUE)</f>
        <v>-0.41600599999999999</v>
      </c>
      <c r="AI43" s="22">
        <f>AI12-VLOOKUP(DATE(YEAR(AI$6),MONTH(AI$6)+1,1)-1, '[1]Final Sales including BIR'!$D$8:$U$91,7,TRUE)</f>
        <v>-0.32513099999999995</v>
      </c>
      <c r="AJ43" s="22">
        <f>AJ12-VLOOKUP(DATE(YEAR(AJ$6),MONTH(AJ$6)+1,1)-1, '[1]Final Sales including BIR'!$D$8:$U$91,7,TRUE)</f>
        <v>-0.28768700000000003</v>
      </c>
    </row>
    <row r="44" spans="1:36" x14ac:dyDescent="0.25">
      <c r="A44" t="s">
        <v>36</v>
      </c>
      <c r="B44" s="23">
        <f>B24-'[3]Sales Forecast'!$M$14</f>
        <v>-2.9174333333333333</v>
      </c>
      <c r="C44" s="23">
        <f>C24-'[3]Sales Forecast'!$M$15</f>
        <v>8.2566666666666677E-2</v>
      </c>
      <c r="D44" s="23">
        <f>D24-'[3]Sales Forecast'!$M$16</f>
        <v>-0.22243333333333304</v>
      </c>
      <c r="E44" s="23">
        <f>E24-'[3]Sales Forecast'!$M$17</f>
        <v>-2.1294333333333331</v>
      </c>
      <c r="F44" s="23">
        <f>F24-'[3]Sales Forecast'!$M$18</f>
        <v>-0.26743333333333297</v>
      </c>
      <c r="G44" s="23">
        <f>G24-'[3]Sales Forecast'!$M$19</f>
        <v>-1.9174333333333333</v>
      </c>
      <c r="H44" s="23">
        <f>H24-'[3]Sales Forecast'!$M$20</f>
        <v>-1.9174333333333333</v>
      </c>
      <c r="I44" s="23">
        <f>I24-'[3]Sales Forecast'!$M$21</f>
        <v>-0.63043333333333429</v>
      </c>
      <c r="J44" s="23">
        <f>J24-'[3]Sales Forecast'!$M$25</f>
        <v>1.0825666666666667</v>
      </c>
      <c r="K44" s="23">
        <f>K24-'[3]Sales Forecast'!$M$26</f>
        <v>-1.5824333333333334</v>
      </c>
      <c r="L44" s="23">
        <f>L24-'[3]Sales Forecast'!$M$27</f>
        <v>-7.3464333333333354</v>
      </c>
      <c r="M44" s="23">
        <f>M24-'[3]Sales Forecast'!$M$28</f>
        <v>-0.4954333333333345</v>
      </c>
      <c r="N44" s="7"/>
      <c r="O44" s="7"/>
      <c r="V44" s="23"/>
      <c r="W44" s="23"/>
      <c r="X44" s="23"/>
      <c r="Y44" s="23"/>
      <c r="Z44" s="23"/>
      <c r="AA44" s="23"/>
      <c r="AC44" s="23">
        <f t="array" ref="AC44:AJ44">TRANSPOSE('[3]Sales Forecast'!$K$29:$K$36)</f>
        <v>4</v>
      </c>
      <c r="AD44" s="23">
        <v>1</v>
      </c>
      <c r="AE44" s="23">
        <v>0</v>
      </c>
      <c r="AF44" s="23">
        <v>0</v>
      </c>
      <c r="AG44" s="23">
        <v>0</v>
      </c>
      <c r="AH44" s="23">
        <v>3</v>
      </c>
      <c r="AI44" s="23">
        <v>3</v>
      </c>
      <c r="AJ44" s="23">
        <v>0</v>
      </c>
    </row>
    <row r="45" spans="1:36" x14ac:dyDescent="0.25">
      <c r="A45" t="s">
        <v>37</v>
      </c>
      <c r="B45" s="760"/>
      <c r="C45" s="760"/>
      <c r="D45" s="760"/>
      <c r="E45" s="760"/>
      <c r="F45" s="760"/>
      <c r="G45" s="760"/>
      <c r="H45" s="760"/>
      <c r="I45" s="760"/>
      <c r="J45" s="760"/>
      <c r="K45" s="760"/>
      <c r="L45" s="760"/>
      <c r="M45" s="760"/>
      <c r="V45" s="24">
        <v>0</v>
      </c>
      <c r="W45" s="24">
        <v>0</v>
      </c>
      <c r="X45" s="24">
        <v>0</v>
      </c>
      <c r="Y45" s="24">
        <v>0</v>
      </c>
      <c r="Z45" s="24">
        <v>0</v>
      </c>
      <c r="AA45" s="24">
        <v>0</v>
      </c>
      <c r="AC45">
        <v>0</v>
      </c>
    </row>
    <row r="46" spans="1:36" x14ac:dyDescent="0.25">
      <c r="B46" s="25">
        <f>ROUND(SUM(B42:B45),3)</f>
        <v>-3.302</v>
      </c>
      <c r="C46" s="25">
        <f>ROUND(SUM(C42:C45),3)</f>
        <v>-0.29899999999999999</v>
      </c>
      <c r="D46" s="25">
        <f>ROUND(SUM(D42:D45),3)</f>
        <v>-0.65200000000000002</v>
      </c>
      <c r="E46" s="25">
        <f t="shared" ref="E46:M46" si="14">ROUND(SUM(E42:E45),3)</f>
        <v>-1.6060000000000001</v>
      </c>
      <c r="F46" s="25">
        <f t="shared" si="14"/>
        <v>-0.67500000000000004</v>
      </c>
      <c r="G46" s="25">
        <f t="shared" si="14"/>
        <v>-2.2879999999999998</v>
      </c>
      <c r="H46" s="25">
        <f t="shared" si="14"/>
        <v>-2.1890000000000001</v>
      </c>
      <c r="I46" s="25">
        <f>ROUND(SUM(I42:I45),3)</f>
        <v>-0.85599999999999998</v>
      </c>
      <c r="J46" s="25">
        <f t="shared" si="14"/>
        <v>-7.0000000000000007E-2</v>
      </c>
      <c r="K46" s="25">
        <f t="shared" si="14"/>
        <v>-1.75</v>
      </c>
      <c r="L46" s="25">
        <f t="shared" si="14"/>
        <v>-7.6319999999999997</v>
      </c>
      <c r="M46" s="25">
        <f t="shared" si="14"/>
        <v>-0.78900000000000003</v>
      </c>
      <c r="V46" s="25">
        <f>ROUND(SUM(V42:V45),3)</f>
        <v>0</v>
      </c>
      <c r="W46" s="25">
        <f t="shared" ref="W46:AC46" si="15">ROUND(SUM(W42:W45),3)</f>
        <v>0</v>
      </c>
      <c r="X46" s="25">
        <f t="shared" si="15"/>
        <v>0</v>
      </c>
      <c r="Y46" s="25">
        <f t="shared" si="15"/>
        <v>0</v>
      </c>
      <c r="Z46" s="25">
        <f t="shared" si="15"/>
        <v>0</v>
      </c>
      <c r="AA46" s="25">
        <f t="shared" si="15"/>
        <v>0</v>
      </c>
      <c r="AC46" s="25">
        <f t="shared" si="15"/>
        <v>3.6160000000000001</v>
      </c>
      <c r="AD46" s="25">
        <f t="shared" ref="AD46" si="16">ROUND(SUM(AD42:AD45),3)</f>
        <v>0.624</v>
      </c>
      <c r="AE46" s="25">
        <f t="shared" ref="AE46" si="17">ROUND(SUM(AE42:AE45),3)</f>
        <v>-0.43</v>
      </c>
      <c r="AF46" s="25">
        <f t="shared" ref="AF46" si="18">ROUND(SUM(AF42:AF45),3)</f>
        <v>0.52300000000000002</v>
      </c>
      <c r="AG46" s="25">
        <f t="shared" ref="AG46" si="19">ROUND(SUM(AG42:AG45),3)</f>
        <v>-0.40799999999999997</v>
      </c>
      <c r="AH46" s="25">
        <f t="shared" ref="AH46" si="20">ROUND(SUM(AH42:AH45),3)</f>
        <v>2.63</v>
      </c>
      <c r="AI46" s="25">
        <f t="shared" ref="AI46" si="21">ROUND(SUM(AI42:AI45),3)</f>
        <v>2.7290000000000001</v>
      </c>
      <c r="AJ46" s="25">
        <f t="shared" ref="AJ46" si="22">ROUND(SUM(AJ42:AJ45),3)</f>
        <v>-0.22600000000000001</v>
      </c>
    </row>
    <row r="47" spans="1:36" x14ac:dyDescent="0.25">
      <c r="B47" s="195" t="b">
        <f>B46=B39</f>
        <v>0</v>
      </c>
      <c r="C47" s="195" t="b">
        <f t="shared" ref="C47:K47" si="23">C46=C39</f>
        <v>0</v>
      </c>
      <c r="D47" s="195" t="b">
        <f>D46=D39</f>
        <v>0</v>
      </c>
      <c r="E47" s="195" t="b">
        <f t="shared" si="23"/>
        <v>0</v>
      </c>
      <c r="F47" s="195" t="b">
        <f t="shared" si="23"/>
        <v>0</v>
      </c>
      <c r="G47" s="195" t="b">
        <f t="shared" si="23"/>
        <v>0</v>
      </c>
      <c r="H47" s="195" t="b">
        <f t="shared" si="23"/>
        <v>0</v>
      </c>
      <c r="I47" s="195" t="b">
        <f t="shared" si="23"/>
        <v>0</v>
      </c>
      <c r="J47" s="195" t="b">
        <f t="shared" si="23"/>
        <v>0</v>
      </c>
      <c r="K47" s="195" t="b">
        <f t="shared" si="23"/>
        <v>0</v>
      </c>
      <c r="L47" s="195" t="b">
        <f>L46=L39</f>
        <v>0</v>
      </c>
      <c r="M47" s="195" t="b">
        <f>M46=M39</f>
        <v>0</v>
      </c>
    </row>
    <row r="49" spans="2:13" x14ac:dyDescent="0.25">
      <c r="B49" s="25">
        <f>B39-B46</f>
        <v>8</v>
      </c>
      <c r="C49" s="25">
        <f t="shared" ref="C49:M49" si="24">C39-C46</f>
        <v>12</v>
      </c>
      <c r="D49" s="25">
        <f t="shared" si="24"/>
        <v>10.305</v>
      </c>
      <c r="E49" s="25">
        <f t="shared" si="24"/>
        <v>14.212</v>
      </c>
      <c r="F49" s="25">
        <f t="shared" si="24"/>
        <v>13.350000000000001</v>
      </c>
      <c r="G49" s="25">
        <f t="shared" si="24"/>
        <v>8</v>
      </c>
      <c r="H49" s="25">
        <f t="shared" si="24"/>
        <v>6</v>
      </c>
      <c r="I49" s="25">
        <f t="shared" si="24"/>
        <v>-7.2870000000000008</v>
      </c>
      <c r="J49" s="25">
        <f t="shared" si="24"/>
        <v>9</v>
      </c>
      <c r="K49" s="25">
        <f t="shared" si="24"/>
        <v>9.6649999999999991</v>
      </c>
      <c r="L49" s="25">
        <f t="shared" si="24"/>
        <v>15.428999999999998</v>
      </c>
      <c r="M49" s="25">
        <f t="shared" si="24"/>
        <v>11.577999999999999</v>
      </c>
    </row>
    <row r="50" spans="2:13" x14ac:dyDescent="0.25">
      <c r="B50" s="25"/>
      <c r="C50" s="25"/>
      <c r="D50" s="25"/>
      <c r="E50" s="25"/>
      <c r="F50" s="25"/>
      <c r="G50" s="25"/>
      <c r="H50" s="25"/>
      <c r="I50" s="25"/>
    </row>
  </sheetData>
  <mergeCells count="3">
    <mergeCell ref="B3:M3"/>
    <mergeCell ref="B4:M4"/>
    <mergeCell ref="B5:M5"/>
  </mergeCells>
  <printOptions verticalCentered="1"/>
  <pageMargins left="0.75" right="0.75" top="0.25" bottom="1" header="0.5" footer="0.5"/>
  <pageSetup scale="84" orientation="landscape" r:id="rId1"/>
  <headerFooter alignWithMargins="0">
    <oddFooter>&amp;L&amp;F
&amp;A</oddFooter>
  </headerFooter>
  <ignoredErrors>
    <ignoredError sqref="H6 I14" formula="1"/>
  </ignoredError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indexed="8"/>
  </sheetPr>
  <dimension ref="A1:AD98"/>
  <sheetViews>
    <sheetView zoomScale="115" zoomScaleNormal="115" workbookViewId="0">
      <pane xSplit="1" ySplit="3" topLeftCell="B4" activePane="bottomRight" state="frozen"/>
      <selection activeCell="AC9" sqref="AC9"/>
      <selection pane="topRight" activeCell="AC9" sqref="AC9"/>
      <selection pane="bottomLeft" activeCell="AC9" sqref="AC9"/>
      <selection pane="bottomRight" activeCell="B4" sqref="B4"/>
    </sheetView>
  </sheetViews>
  <sheetFormatPr defaultColWidth="15.7265625" defaultRowHeight="12.5" x14ac:dyDescent="0.25"/>
  <cols>
    <col min="1" max="1" width="15.7265625" customWidth="1"/>
    <col min="2" max="2" width="17.81640625" customWidth="1"/>
    <col min="3" max="3" width="11.453125" customWidth="1"/>
    <col min="4" max="4" width="12.81640625" customWidth="1"/>
    <col min="5" max="5" width="11.453125" customWidth="1"/>
    <col min="6" max="6" width="13" customWidth="1"/>
    <col min="7" max="7" width="12.7265625" customWidth="1"/>
    <col min="8" max="8" width="14" customWidth="1"/>
    <col min="9" max="9" width="12.81640625" customWidth="1"/>
    <col min="10" max="13" width="11.453125" customWidth="1"/>
    <col min="14" max="15" width="3" customWidth="1"/>
    <col min="19" max="19" width="15.7265625" style="195"/>
  </cols>
  <sheetData>
    <row r="1" spans="1:30" ht="13" x14ac:dyDescent="0.3">
      <c r="A1" s="769" t="s">
        <v>38</v>
      </c>
      <c r="B1" s="769"/>
      <c r="C1" s="769"/>
      <c r="D1" s="769"/>
      <c r="E1" s="769"/>
      <c r="F1" s="769"/>
      <c r="G1" s="769"/>
      <c r="H1" s="769"/>
      <c r="I1" s="769"/>
      <c r="J1" s="769"/>
      <c r="K1" s="769"/>
      <c r="L1" s="769"/>
      <c r="M1" s="769"/>
      <c r="P1" s="191" t="s">
        <v>339</v>
      </c>
      <c r="Q1" s="191"/>
      <c r="R1" s="191"/>
    </row>
    <row r="2" spans="1:30" x14ac:dyDescent="0.25">
      <c r="P2" s="622" t="s">
        <v>550</v>
      </c>
      <c r="Q2" s="623"/>
      <c r="R2" s="623"/>
      <c r="S2" s="623"/>
      <c r="T2" s="195"/>
    </row>
    <row r="3" spans="1:30" x14ac:dyDescent="0.25">
      <c r="B3" s="26">
        <f>'Sales Forecast'!B6</f>
        <v>44682</v>
      </c>
      <c r="C3" s="26">
        <f>'Sales Forecast'!C6</f>
        <v>44713</v>
      </c>
      <c r="D3" s="26">
        <f>'Sales Forecast'!D6</f>
        <v>44743</v>
      </c>
      <c r="E3" s="26">
        <f>'Sales Forecast'!E6</f>
        <v>44774</v>
      </c>
      <c r="F3" s="26">
        <f>'Sales Forecast'!F6</f>
        <v>44805</v>
      </c>
      <c r="G3" s="26">
        <f>'Sales Forecast'!G6</f>
        <v>44835</v>
      </c>
      <c r="H3" s="605">
        <f>'Sales Forecast'!H6</f>
        <v>44530</v>
      </c>
      <c r="I3" s="26">
        <f>'Sales Forecast'!I6</f>
        <v>44531</v>
      </c>
      <c r="J3" s="26">
        <f>'Sales Forecast'!J6</f>
        <v>44562</v>
      </c>
      <c r="K3" s="26">
        <f>'Sales Forecast'!K6</f>
        <v>44593</v>
      </c>
      <c r="L3" s="26">
        <f>'Sales Forecast'!L6</f>
        <v>44621</v>
      </c>
      <c r="M3" s="26">
        <f>'Sales Forecast'!M6</f>
        <v>44652</v>
      </c>
      <c r="P3" s="566">
        <v>44520</v>
      </c>
      <c r="Q3" s="566">
        <v>44550</v>
      </c>
      <c r="R3" s="566">
        <v>44581</v>
      </c>
      <c r="S3" s="566">
        <v>44612</v>
      </c>
      <c r="T3" s="566">
        <v>44640</v>
      </c>
      <c r="U3" s="566">
        <v>44671</v>
      </c>
      <c r="W3" s="566">
        <v>44701</v>
      </c>
      <c r="X3" s="566">
        <v>44732</v>
      </c>
      <c r="Y3" s="566">
        <v>44762</v>
      </c>
      <c r="Z3" s="566">
        <v>44793</v>
      </c>
      <c r="AA3" s="566">
        <v>44824</v>
      </c>
      <c r="AB3" s="566">
        <v>44854</v>
      </c>
      <c r="AC3" s="566">
        <v>44885</v>
      </c>
      <c r="AD3" s="566">
        <v>44915</v>
      </c>
    </row>
    <row r="4" spans="1:30" x14ac:dyDescent="0.25">
      <c r="B4" s="26"/>
      <c r="C4" s="26"/>
      <c r="D4" s="26"/>
      <c r="E4" s="26"/>
      <c r="F4" s="26"/>
      <c r="G4" s="26"/>
      <c r="H4" s="26"/>
      <c r="I4" s="26"/>
      <c r="J4" s="26"/>
      <c r="K4" s="26"/>
      <c r="L4" s="26"/>
      <c r="M4" s="26"/>
      <c r="P4" s="195"/>
      <c r="Q4" s="195"/>
      <c r="R4" s="195"/>
      <c r="T4" s="195"/>
    </row>
    <row r="5" spans="1:30" x14ac:dyDescent="0.25">
      <c r="A5" s="10"/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</row>
    <row r="6" spans="1:30" x14ac:dyDescent="0.25">
      <c r="A6" s="10" t="s">
        <v>39</v>
      </c>
      <c r="B6" s="475">
        <f>ROUND('Sales Forecast'!B8*1000000,0)</f>
        <v>858000000</v>
      </c>
      <c r="C6" s="475">
        <f>ROUND('Sales Forecast'!C8*1000000,0)</f>
        <v>1086000000</v>
      </c>
      <c r="D6" s="475">
        <f>ROUND('Sales Forecast'!D8*1000000,0)</f>
        <v>1568000000</v>
      </c>
      <c r="E6" s="475">
        <f>ROUND('Sales Forecast'!E8*1000000,0)</f>
        <v>1627000000</v>
      </c>
      <c r="F6" s="475">
        <f>ROUND('Sales Forecast'!F8*1000000,0)</f>
        <v>1448000000</v>
      </c>
      <c r="G6" s="475">
        <f>ROUND('Sales Forecast'!G8*1000000,0)</f>
        <v>1050000000</v>
      </c>
      <c r="H6" s="475">
        <f>ROUND('Sales Forecast'!H8*1000000,0)</f>
        <v>952000000</v>
      </c>
      <c r="I6" s="475">
        <f>ROUND('Sales Forecast'!I8*1000000,0)</f>
        <v>1070000000</v>
      </c>
      <c r="J6" s="7">
        <f>ROUND('Sales Forecast'!J8*1000000,0)</f>
        <v>1117000000</v>
      </c>
      <c r="K6" s="7">
        <f>ROUND('Sales Forecast'!K8*1000000,0)</f>
        <v>1061000000</v>
      </c>
      <c r="L6" s="7">
        <f>ROUND('Sales Forecast'!L8*1000000,0)</f>
        <v>984000000</v>
      </c>
      <c r="M6" s="519">
        <f>ROUND('Sales Forecast'!M8*1000000,0)</f>
        <v>868000000</v>
      </c>
      <c r="P6" s="756">
        <f>ROUND('Sales Forecast'!V8*1000000,0)</f>
        <v>952000000</v>
      </c>
      <c r="Q6" s="475">
        <f>ROUND('Sales Forecast'!W8*1000000,0)</f>
        <v>1070000000</v>
      </c>
      <c r="R6" s="475">
        <f>ROUND('Sales Forecast'!X8*1000000,0)</f>
        <v>1117000000</v>
      </c>
      <c r="S6" s="475">
        <f>ROUND('Sales Forecast'!Y8*1000000,0)</f>
        <v>1061000000</v>
      </c>
      <c r="T6" s="475">
        <f>ROUND('Sales Forecast'!Z8*1000000,0)</f>
        <v>984000000</v>
      </c>
      <c r="U6" s="475">
        <f>ROUND('Sales Forecast'!AA8*1000000,0)</f>
        <v>868000000</v>
      </c>
      <c r="W6" s="475">
        <f>ROUND('Sales Forecast'!AC8*1000000,0)</f>
        <v>858000000</v>
      </c>
      <c r="X6" s="475">
        <f>ROUND('Sales Forecast'!AD8*1000000,0)</f>
        <v>1086000000</v>
      </c>
      <c r="Y6" s="475">
        <f>ROUND('Sales Forecast'!AE8*1000000,0)</f>
        <v>1568000000</v>
      </c>
      <c r="Z6" s="475">
        <f>ROUND('Sales Forecast'!AF8*1000000,0)</f>
        <v>1627000000</v>
      </c>
      <c r="AA6" s="475">
        <f>ROUND('Sales Forecast'!AG8*1000000,0)</f>
        <v>1448000000</v>
      </c>
      <c r="AB6" s="475">
        <f>ROUND('Sales Forecast'!AH8*1000000,0)</f>
        <v>1050000000</v>
      </c>
      <c r="AC6" s="475">
        <f>ROUND('Sales Forecast'!AI8*1000000,0)</f>
        <v>939000000</v>
      </c>
      <c r="AD6" s="475">
        <f>ROUND('Sales Forecast'!AJ8*1000000,0)</f>
        <v>1042000000</v>
      </c>
    </row>
    <row r="7" spans="1:30" x14ac:dyDescent="0.25">
      <c r="A7" s="10" t="s">
        <v>40</v>
      </c>
      <c r="B7" s="475">
        <f>ROUND(B6*$D$73,0)</f>
        <v>4249674</v>
      </c>
      <c r="C7" s="475">
        <f>ROUND(C6*$D$73,0)</f>
        <v>5378958</v>
      </c>
      <c r="D7" s="475">
        <f t="shared" ref="D7:M7" si="0">ROUND(D6*$D$73,0)</f>
        <v>7766304</v>
      </c>
      <c r="E7" s="475">
        <f t="shared" si="0"/>
        <v>8058531</v>
      </c>
      <c r="F7" s="475">
        <f t="shared" si="0"/>
        <v>7171944</v>
      </c>
      <c r="G7" s="475">
        <f t="shared" si="0"/>
        <v>5200650</v>
      </c>
      <c r="H7" s="475">
        <f t="shared" si="0"/>
        <v>4715256</v>
      </c>
      <c r="I7" s="475">
        <f t="shared" si="0"/>
        <v>5299710</v>
      </c>
      <c r="J7" s="7">
        <f t="shared" si="0"/>
        <v>5532501</v>
      </c>
      <c r="K7" s="7">
        <f t="shared" si="0"/>
        <v>5255133</v>
      </c>
      <c r="L7" s="7">
        <f t="shared" si="0"/>
        <v>4873752</v>
      </c>
      <c r="M7" s="7">
        <f t="shared" si="0"/>
        <v>4299204</v>
      </c>
      <c r="P7" s="475">
        <f>ROUND(P6*$D$73,0)</f>
        <v>4715256</v>
      </c>
      <c r="Q7" s="475">
        <f t="shared" ref="Q7:T7" si="1">ROUND(Q6*$D$73,0)</f>
        <v>5299710</v>
      </c>
      <c r="R7" s="475">
        <f t="shared" si="1"/>
        <v>5532501</v>
      </c>
      <c r="S7" s="475">
        <f t="shared" si="1"/>
        <v>5255133</v>
      </c>
      <c r="T7" s="475">
        <f t="shared" si="1"/>
        <v>4873752</v>
      </c>
      <c r="U7" s="475">
        <f>ROUND(U6*$D$73,0)</f>
        <v>4299204</v>
      </c>
      <c r="V7" s="475"/>
      <c r="W7" s="475">
        <f t="shared" ref="W7:AD7" si="2">ROUND(W6*$D$73,0)</f>
        <v>4249674</v>
      </c>
      <c r="X7" s="475">
        <f t="shared" si="2"/>
        <v>5378958</v>
      </c>
      <c r="Y7" s="475">
        <f t="shared" si="2"/>
        <v>7766304</v>
      </c>
      <c r="Z7" s="475">
        <f t="shared" si="2"/>
        <v>8058531</v>
      </c>
      <c r="AA7" s="475">
        <f t="shared" si="2"/>
        <v>7171944</v>
      </c>
      <c r="AB7" s="475">
        <f t="shared" si="2"/>
        <v>5200650</v>
      </c>
      <c r="AC7" s="475">
        <f t="shared" si="2"/>
        <v>4650867</v>
      </c>
      <c r="AD7" s="475">
        <f t="shared" si="2"/>
        <v>5161026</v>
      </c>
    </row>
    <row r="8" spans="1:30" s="27" customFormat="1" x14ac:dyDescent="0.25">
      <c r="A8" s="10" t="s">
        <v>41</v>
      </c>
      <c r="B8" s="475">
        <f t="shared" ref="B8:M8" si="3">B6*$H$60</f>
        <v>3928782</v>
      </c>
      <c r="C8" s="475">
        <f>C6*$H$60</f>
        <v>4972794</v>
      </c>
      <c r="D8" s="475">
        <f t="shared" si="3"/>
        <v>7179872</v>
      </c>
      <c r="E8" s="475">
        <f t="shared" si="3"/>
        <v>7450033</v>
      </c>
      <c r="F8" s="475">
        <f t="shared" si="3"/>
        <v>6630392</v>
      </c>
      <c r="G8" s="475">
        <f t="shared" si="3"/>
        <v>4807950</v>
      </c>
      <c r="H8" s="475">
        <f t="shared" si="3"/>
        <v>4359208</v>
      </c>
      <c r="I8" s="475">
        <f t="shared" si="3"/>
        <v>4899530</v>
      </c>
      <c r="J8" s="7">
        <f t="shared" si="3"/>
        <v>5114743</v>
      </c>
      <c r="K8" s="7">
        <f t="shared" si="3"/>
        <v>4858319</v>
      </c>
      <c r="L8" s="7">
        <f t="shared" si="3"/>
        <v>4505736</v>
      </c>
      <c r="M8" s="7">
        <f t="shared" si="3"/>
        <v>3974572</v>
      </c>
      <c r="P8" s="475">
        <f t="shared" ref="P8" si="4">P6*$H$60</f>
        <v>4359208</v>
      </c>
      <c r="Q8" s="475">
        <f t="shared" ref="Q8:AD8" si="5">Q6*$H$60</f>
        <v>4899530</v>
      </c>
      <c r="R8" s="475">
        <f t="shared" si="5"/>
        <v>5114743</v>
      </c>
      <c r="S8" s="475">
        <f t="shared" si="5"/>
        <v>4858319</v>
      </c>
      <c r="T8" s="475">
        <f t="shared" si="5"/>
        <v>4505736</v>
      </c>
      <c r="U8" s="475">
        <f t="shared" si="5"/>
        <v>3974572</v>
      </c>
      <c r="V8" s="475"/>
      <c r="W8" s="475">
        <f t="shared" si="5"/>
        <v>3928782</v>
      </c>
      <c r="X8" s="475">
        <f t="shared" si="5"/>
        <v>4972794</v>
      </c>
      <c r="Y8" s="475">
        <f t="shared" si="5"/>
        <v>7179872</v>
      </c>
      <c r="Z8" s="475">
        <f t="shared" si="5"/>
        <v>7450033</v>
      </c>
      <c r="AA8" s="475">
        <f t="shared" si="5"/>
        <v>6630392</v>
      </c>
      <c r="AB8" s="475">
        <f t="shared" si="5"/>
        <v>4807950</v>
      </c>
      <c r="AC8" s="475">
        <f t="shared" si="5"/>
        <v>4299681</v>
      </c>
      <c r="AD8" s="475">
        <f t="shared" si="5"/>
        <v>4771318</v>
      </c>
    </row>
    <row r="9" spans="1:30" x14ac:dyDescent="0.25">
      <c r="A9" s="10" t="s">
        <v>42</v>
      </c>
      <c r="B9" s="475">
        <f>B8</f>
        <v>3928782</v>
      </c>
      <c r="C9" s="475">
        <f>C8</f>
        <v>4972794</v>
      </c>
      <c r="D9" s="475">
        <f t="shared" ref="D9:M9" si="6">D8</f>
        <v>7179872</v>
      </c>
      <c r="E9" s="475">
        <f t="shared" si="6"/>
        <v>7450033</v>
      </c>
      <c r="F9" s="475">
        <f t="shared" si="6"/>
        <v>6630392</v>
      </c>
      <c r="G9" s="475">
        <f t="shared" si="6"/>
        <v>4807950</v>
      </c>
      <c r="H9" s="475">
        <f t="shared" si="6"/>
        <v>4359208</v>
      </c>
      <c r="I9" s="475">
        <f t="shared" si="6"/>
        <v>4899530</v>
      </c>
      <c r="J9" s="7">
        <f t="shared" si="6"/>
        <v>5114743</v>
      </c>
      <c r="K9" s="7">
        <f t="shared" si="6"/>
        <v>4858319</v>
      </c>
      <c r="L9" s="7">
        <f t="shared" si="6"/>
        <v>4505736</v>
      </c>
      <c r="M9" s="7">
        <f t="shared" si="6"/>
        <v>3974572</v>
      </c>
      <c r="P9" s="475">
        <f t="shared" ref="P9" si="7">P8</f>
        <v>4359208</v>
      </c>
      <c r="Q9" s="475">
        <f t="shared" ref="Q9:AD9" si="8">Q8</f>
        <v>4899530</v>
      </c>
      <c r="R9" s="475">
        <f t="shared" si="8"/>
        <v>5114743</v>
      </c>
      <c r="S9" s="475">
        <f t="shared" si="8"/>
        <v>4858319</v>
      </c>
      <c r="T9" s="475">
        <f t="shared" si="8"/>
        <v>4505736</v>
      </c>
      <c r="U9" s="475">
        <f t="shared" si="8"/>
        <v>3974572</v>
      </c>
      <c r="W9" s="475">
        <f t="shared" si="8"/>
        <v>3928782</v>
      </c>
      <c r="X9" s="475">
        <f t="shared" si="8"/>
        <v>4972794</v>
      </c>
      <c r="Y9" s="475">
        <f t="shared" si="8"/>
        <v>7179872</v>
      </c>
      <c r="Z9" s="475">
        <f t="shared" si="8"/>
        <v>7450033</v>
      </c>
      <c r="AA9" s="475">
        <f t="shared" si="8"/>
        <v>6630392</v>
      </c>
      <c r="AB9" s="475">
        <f t="shared" si="8"/>
        <v>4807950</v>
      </c>
      <c r="AC9" s="475">
        <f t="shared" si="8"/>
        <v>4299681</v>
      </c>
      <c r="AD9" s="475">
        <f t="shared" si="8"/>
        <v>4771318</v>
      </c>
    </row>
    <row r="10" spans="1:30" x14ac:dyDescent="0.25">
      <c r="A10" s="10" t="s">
        <v>43</v>
      </c>
      <c r="B10" s="519">
        <f>B6-B7-B8</f>
        <v>849821544</v>
      </c>
      <c r="C10" s="475">
        <f t="shared" ref="C10:M10" si="9">C6-C7</f>
        <v>1080621042</v>
      </c>
      <c r="D10" s="475">
        <f t="shared" si="9"/>
        <v>1560233696</v>
      </c>
      <c r="E10" s="475">
        <f t="shared" si="9"/>
        <v>1618941469</v>
      </c>
      <c r="F10" s="475">
        <f t="shared" si="9"/>
        <v>1440828056</v>
      </c>
      <c r="G10" s="475">
        <f t="shared" si="9"/>
        <v>1044799350</v>
      </c>
      <c r="H10" s="475">
        <f t="shared" si="9"/>
        <v>947284744</v>
      </c>
      <c r="I10" s="475">
        <f t="shared" si="9"/>
        <v>1064700290</v>
      </c>
      <c r="J10" s="7">
        <f t="shared" si="9"/>
        <v>1111467499</v>
      </c>
      <c r="K10" s="7">
        <f t="shared" si="9"/>
        <v>1055744867</v>
      </c>
      <c r="L10" s="7">
        <f t="shared" si="9"/>
        <v>979126248</v>
      </c>
      <c r="M10" s="7">
        <f t="shared" si="9"/>
        <v>863700796</v>
      </c>
      <c r="P10" s="475">
        <f t="shared" ref="P10" si="10">P6-P7</f>
        <v>947284744</v>
      </c>
      <c r="Q10" s="475">
        <f t="shared" ref="Q10:AD10" si="11">Q6-Q7</f>
        <v>1064700290</v>
      </c>
      <c r="R10" s="475">
        <f t="shared" si="11"/>
        <v>1111467499</v>
      </c>
      <c r="S10" s="475">
        <f t="shared" si="11"/>
        <v>1055744867</v>
      </c>
      <c r="T10" s="475">
        <f t="shared" si="11"/>
        <v>979126248</v>
      </c>
      <c r="U10" s="475">
        <f t="shared" si="11"/>
        <v>863700796</v>
      </c>
      <c r="W10" s="475">
        <f t="shared" si="11"/>
        <v>853750326</v>
      </c>
      <c r="X10" s="475">
        <f t="shared" si="11"/>
        <v>1080621042</v>
      </c>
      <c r="Y10" s="475">
        <f t="shared" si="11"/>
        <v>1560233696</v>
      </c>
      <c r="Z10" s="475">
        <f t="shared" si="11"/>
        <v>1618941469</v>
      </c>
      <c r="AA10" s="475">
        <f t="shared" si="11"/>
        <v>1440828056</v>
      </c>
      <c r="AB10" s="475">
        <f t="shared" si="11"/>
        <v>1044799350</v>
      </c>
      <c r="AC10" s="475">
        <f t="shared" si="11"/>
        <v>934349133</v>
      </c>
      <c r="AD10" s="475">
        <f t="shared" si="11"/>
        <v>1036838974</v>
      </c>
    </row>
    <row r="11" spans="1:30" x14ac:dyDescent="0.25">
      <c r="A11" s="10" t="s">
        <v>44</v>
      </c>
      <c r="B11" s="475">
        <v>0</v>
      </c>
      <c r="C11" s="475">
        <v>0</v>
      </c>
      <c r="D11" s="475">
        <v>0</v>
      </c>
      <c r="E11" s="475">
        <v>0</v>
      </c>
      <c r="F11" s="475">
        <v>0</v>
      </c>
      <c r="G11" s="475">
        <v>0</v>
      </c>
      <c r="H11" s="475">
        <v>0</v>
      </c>
      <c r="I11" s="475">
        <v>0</v>
      </c>
      <c r="J11" s="7">
        <v>0</v>
      </c>
      <c r="K11" s="7">
        <v>0</v>
      </c>
      <c r="L11" s="7">
        <v>0</v>
      </c>
      <c r="M11" s="7">
        <v>0</v>
      </c>
      <c r="P11" s="475">
        <v>0</v>
      </c>
      <c r="Q11" s="475">
        <v>0</v>
      </c>
      <c r="R11" s="475">
        <v>0</v>
      </c>
      <c r="S11" s="475">
        <v>0</v>
      </c>
      <c r="T11" s="475">
        <v>0</v>
      </c>
      <c r="U11" s="475">
        <v>0</v>
      </c>
      <c r="W11" s="475">
        <f>ROUND('Sales Forecast'!AC13*1000000,0)</f>
        <v>0</v>
      </c>
      <c r="X11" s="475">
        <f>ROUND('Sales Forecast'!AD13*1000000,0)</f>
        <v>0</v>
      </c>
      <c r="Y11" s="475">
        <f>ROUND('Sales Forecast'!AE13*1000000,0)</f>
        <v>0</v>
      </c>
      <c r="Z11" s="475">
        <f>ROUND('Sales Forecast'!AF13*1000000,0)</f>
        <v>0</v>
      </c>
      <c r="AA11" s="475">
        <f>ROUND('Sales Forecast'!AG13*1000000,0)</f>
        <v>0</v>
      </c>
      <c r="AB11" s="475">
        <f>ROUND('Sales Forecast'!AH13*1000000,0)</f>
        <v>0</v>
      </c>
      <c r="AC11" s="475">
        <f>ROUND('Sales Forecast'!AI13*1000000,0)</f>
        <v>0</v>
      </c>
      <c r="AD11" s="475">
        <f>ROUND('Sales Forecast'!AJ13*1000000,0)</f>
        <v>0</v>
      </c>
    </row>
    <row r="12" spans="1:30" x14ac:dyDescent="0.25">
      <c r="A12" s="10" t="s">
        <v>45</v>
      </c>
      <c r="B12" s="475">
        <f>B10-B11</f>
        <v>849821544</v>
      </c>
      <c r="C12" s="475">
        <f t="shared" ref="C12:M12" si="12">C10-C11</f>
        <v>1080621042</v>
      </c>
      <c r="D12" s="475">
        <f t="shared" si="12"/>
        <v>1560233696</v>
      </c>
      <c r="E12" s="475">
        <f t="shared" si="12"/>
        <v>1618941469</v>
      </c>
      <c r="F12" s="475">
        <f t="shared" si="12"/>
        <v>1440828056</v>
      </c>
      <c r="G12" s="475">
        <f t="shared" si="12"/>
        <v>1044799350</v>
      </c>
      <c r="H12" s="475">
        <f t="shared" si="12"/>
        <v>947284744</v>
      </c>
      <c r="I12" s="475">
        <f t="shared" si="12"/>
        <v>1064700290</v>
      </c>
      <c r="J12" s="7">
        <f t="shared" si="12"/>
        <v>1111467499</v>
      </c>
      <c r="K12" s="7">
        <f t="shared" si="12"/>
        <v>1055744867</v>
      </c>
      <c r="L12" s="7">
        <f t="shared" si="12"/>
        <v>979126248</v>
      </c>
      <c r="M12" s="7">
        <f t="shared" si="12"/>
        <v>863700796</v>
      </c>
      <c r="P12" s="475">
        <f t="shared" ref="P12" si="13">P10-P11</f>
        <v>947284744</v>
      </c>
      <c r="Q12" s="475">
        <f t="shared" ref="Q12:AD12" si="14">Q10-Q11</f>
        <v>1064700290</v>
      </c>
      <c r="R12" s="475">
        <f t="shared" si="14"/>
        <v>1111467499</v>
      </c>
      <c r="S12" s="475">
        <f t="shared" si="14"/>
        <v>1055744867</v>
      </c>
      <c r="T12" s="475">
        <f t="shared" si="14"/>
        <v>979126248</v>
      </c>
      <c r="U12" s="475">
        <f t="shared" si="14"/>
        <v>863700796</v>
      </c>
      <c r="W12" s="475">
        <f t="shared" si="14"/>
        <v>853750326</v>
      </c>
      <c r="X12" s="475">
        <f t="shared" si="14"/>
        <v>1080621042</v>
      </c>
      <c r="Y12" s="475">
        <f t="shared" si="14"/>
        <v>1560233696</v>
      </c>
      <c r="Z12" s="475">
        <f t="shared" si="14"/>
        <v>1618941469</v>
      </c>
      <c r="AA12" s="475">
        <f t="shared" si="14"/>
        <v>1440828056</v>
      </c>
      <c r="AB12" s="475">
        <f t="shared" si="14"/>
        <v>1044799350</v>
      </c>
      <c r="AC12" s="475">
        <f t="shared" si="14"/>
        <v>934349133</v>
      </c>
      <c r="AD12" s="475">
        <f t="shared" si="14"/>
        <v>1036838974</v>
      </c>
    </row>
    <row r="13" spans="1:30" x14ac:dyDescent="0.25">
      <c r="A13" s="10" t="s">
        <v>46</v>
      </c>
      <c r="B13" s="475">
        <f>ROUND('Sales Forecast'!B9*1000000,0)</f>
        <v>176000000</v>
      </c>
      <c r="C13" s="475">
        <f>ROUND('Sales Forecast'!C9*1000000,0)</f>
        <v>191000000</v>
      </c>
      <c r="D13" s="475">
        <f>ROUND('Sales Forecast'!D9*1000000,0)</f>
        <v>208000000</v>
      </c>
      <c r="E13" s="475">
        <f>ROUND('Sales Forecast'!E9*1000000,0)</f>
        <v>218000000</v>
      </c>
      <c r="F13" s="475">
        <f>ROUND('Sales Forecast'!F9*1000000,0)</f>
        <v>207000000</v>
      </c>
      <c r="G13" s="475">
        <f>ROUND('Sales Forecast'!G9*1000000,0)</f>
        <v>182000000</v>
      </c>
      <c r="H13" s="475">
        <f>ROUND('Sales Forecast'!H9*1000000,0)</f>
        <v>174000000</v>
      </c>
      <c r="I13" s="475">
        <f>ROUND('Sales Forecast'!I9*1000000,0)</f>
        <v>195000000</v>
      </c>
      <c r="J13" s="7">
        <f>ROUND('Sales Forecast'!J9*1000000,0)</f>
        <v>225000000</v>
      </c>
      <c r="K13" s="7">
        <f>ROUND('Sales Forecast'!K9*1000000,0)</f>
        <v>235000000</v>
      </c>
      <c r="L13" s="7">
        <f>ROUND('Sales Forecast'!L9*1000000,0)</f>
        <v>216000000</v>
      </c>
      <c r="M13" s="7">
        <f>ROUND('Sales Forecast'!M9*1000000,0)</f>
        <v>193000000</v>
      </c>
      <c r="P13" s="756">
        <f>ROUND('Sales Forecast'!V9*1000000,0)</f>
        <v>174000000</v>
      </c>
      <c r="Q13" s="475">
        <f>ROUND('Sales Forecast'!W9*1000000,0)</f>
        <v>195000000</v>
      </c>
      <c r="R13" s="475">
        <f>ROUND('Sales Forecast'!X9*1000000,0)</f>
        <v>225000000</v>
      </c>
      <c r="S13" s="475">
        <f>ROUND('Sales Forecast'!Y9*1000000,0)</f>
        <v>235000000</v>
      </c>
      <c r="T13" s="475">
        <f>ROUND('Sales Forecast'!Z9*1000000,0)</f>
        <v>216000000</v>
      </c>
      <c r="U13" s="475">
        <f>ROUND('Sales Forecast'!AA9*1000000,0)</f>
        <v>193000000</v>
      </c>
      <c r="W13" s="475">
        <f>ROUND('Sales Forecast'!AC9*1000000,0)</f>
        <v>176000000</v>
      </c>
      <c r="X13" s="475">
        <f>ROUND('Sales Forecast'!AD9*1000000,0)</f>
        <v>187000000</v>
      </c>
      <c r="Y13" s="475">
        <f>ROUND('Sales Forecast'!AE9*1000000,0)</f>
        <v>211000000</v>
      </c>
      <c r="Z13" s="475">
        <f>ROUND('Sales Forecast'!AF9*1000000,0)</f>
        <v>220000000</v>
      </c>
      <c r="AA13" s="475">
        <f>ROUND('Sales Forecast'!AG9*1000000,0)</f>
        <v>210000000</v>
      </c>
      <c r="AB13" s="475">
        <f>ROUND('Sales Forecast'!AH9*1000000,0)</f>
        <v>179000000</v>
      </c>
      <c r="AC13" s="475">
        <f>ROUND('Sales Forecast'!AI9*1000000,0)</f>
        <v>177000000</v>
      </c>
      <c r="AD13" s="475">
        <f>ROUND('Sales Forecast'!AJ9*1000000,0)</f>
        <v>196000000</v>
      </c>
    </row>
    <row r="14" spans="1:30" x14ac:dyDescent="0.25">
      <c r="A14" s="10" t="s">
        <v>47</v>
      </c>
      <c r="B14" s="475">
        <f>ROUND(B13*$D$81,0)</f>
        <v>8179072</v>
      </c>
      <c r="C14" s="475">
        <f t="shared" ref="C14:M14" si="15">ROUND(C13*$D$81,0)</f>
        <v>8876152</v>
      </c>
      <c r="D14" s="475">
        <f t="shared" si="15"/>
        <v>9666176</v>
      </c>
      <c r="E14" s="475">
        <f t="shared" si="15"/>
        <v>10130896</v>
      </c>
      <c r="F14" s="475">
        <f t="shared" si="15"/>
        <v>9619704</v>
      </c>
      <c r="G14" s="475">
        <f t="shared" si="15"/>
        <v>8457904</v>
      </c>
      <c r="H14" s="475">
        <f t="shared" si="15"/>
        <v>8086128</v>
      </c>
      <c r="I14" s="475">
        <f t="shared" si="15"/>
        <v>9062040</v>
      </c>
      <c r="J14" s="7">
        <f t="shared" si="15"/>
        <v>10456200</v>
      </c>
      <c r="K14" s="7">
        <f t="shared" si="15"/>
        <v>10920920</v>
      </c>
      <c r="L14" s="7">
        <f t="shared" si="15"/>
        <v>10037952</v>
      </c>
      <c r="M14" s="7">
        <f t="shared" si="15"/>
        <v>8969096</v>
      </c>
      <c r="P14" s="475">
        <f t="shared" ref="P14" si="16">ROUND(P13*$D$81,0)</f>
        <v>8086128</v>
      </c>
      <c r="Q14" s="475">
        <f t="shared" ref="Q14:AD14" si="17">ROUND(Q13*$D$81,0)</f>
        <v>9062040</v>
      </c>
      <c r="R14" s="475">
        <f t="shared" si="17"/>
        <v>10456200</v>
      </c>
      <c r="S14" s="475">
        <f t="shared" si="17"/>
        <v>10920920</v>
      </c>
      <c r="T14" s="475">
        <f t="shared" si="17"/>
        <v>10037952</v>
      </c>
      <c r="U14" s="475">
        <f t="shared" si="17"/>
        <v>8969096</v>
      </c>
      <c r="W14" s="475">
        <f t="shared" si="17"/>
        <v>8179072</v>
      </c>
      <c r="X14" s="475">
        <f t="shared" si="17"/>
        <v>8690264</v>
      </c>
      <c r="Y14" s="475">
        <f t="shared" si="17"/>
        <v>9805592</v>
      </c>
      <c r="Z14" s="475">
        <f t="shared" si="17"/>
        <v>10223840</v>
      </c>
      <c r="AA14" s="475">
        <f t="shared" si="17"/>
        <v>9759120</v>
      </c>
      <c r="AB14" s="475">
        <f t="shared" si="17"/>
        <v>8318488</v>
      </c>
      <c r="AC14" s="475">
        <f t="shared" si="17"/>
        <v>8225544</v>
      </c>
      <c r="AD14" s="475">
        <f t="shared" si="17"/>
        <v>9108512</v>
      </c>
    </row>
    <row r="15" spans="1:30" x14ac:dyDescent="0.25">
      <c r="A15" s="10" t="s">
        <v>48</v>
      </c>
      <c r="B15" s="519">
        <f t="shared" ref="B15:M15" si="18">B13-B14</f>
        <v>167820928</v>
      </c>
      <c r="C15" s="475">
        <f t="shared" si="18"/>
        <v>182123848</v>
      </c>
      <c r="D15" s="475">
        <f t="shared" si="18"/>
        <v>198333824</v>
      </c>
      <c r="E15" s="475">
        <f t="shared" si="18"/>
        <v>207869104</v>
      </c>
      <c r="F15" s="475">
        <f t="shared" si="18"/>
        <v>197380296</v>
      </c>
      <c r="G15" s="475">
        <f t="shared" si="18"/>
        <v>173542096</v>
      </c>
      <c r="H15" s="475">
        <f t="shared" si="18"/>
        <v>165913872</v>
      </c>
      <c r="I15" s="475">
        <f t="shared" si="18"/>
        <v>185937960</v>
      </c>
      <c r="J15" s="7">
        <f t="shared" si="18"/>
        <v>214543800</v>
      </c>
      <c r="K15" s="7">
        <f t="shared" si="18"/>
        <v>224079080</v>
      </c>
      <c r="L15" s="7">
        <f t="shared" si="18"/>
        <v>205962048</v>
      </c>
      <c r="M15" s="7">
        <f t="shared" si="18"/>
        <v>184030904</v>
      </c>
      <c r="P15" s="475">
        <f t="shared" ref="P15" si="19">P13-P14</f>
        <v>165913872</v>
      </c>
      <c r="Q15" s="475">
        <f t="shared" ref="Q15:AD15" si="20">Q13-Q14</f>
        <v>185937960</v>
      </c>
      <c r="R15" s="475">
        <f t="shared" si="20"/>
        <v>214543800</v>
      </c>
      <c r="S15" s="475">
        <f t="shared" si="20"/>
        <v>224079080</v>
      </c>
      <c r="T15" s="475">
        <f t="shared" si="20"/>
        <v>205962048</v>
      </c>
      <c r="U15" s="475">
        <f t="shared" si="20"/>
        <v>184030904</v>
      </c>
      <c r="W15" s="475">
        <f t="shared" si="20"/>
        <v>167820928</v>
      </c>
      <c r="X15" s="475">
        <f t="shared" si="20"/>
        <v>178309736</v>
      </c>
      <c r="Y15" s="475">
        <f t="shared" si="20"/>
        <v>201194408</v>
      </c>
      <c r="Z15" s="475">
        <f t="shared" si="20"/>
        <v>209776160</v>
      </c>
      <c r="AA15" s="475">
        <f t="shared" si="20"/>
        <v>200240880</v>
      </c>
      <c r="AB15" s="475">
        <f t="shared" si="20"/>
        <v>170681512</v>
      </c>
      <c r="AC15" s="475">
        <f t="shared" si="20"/>
        <v>168774456</v>
      </c>
      <c r="AD15" s="475">
        <f t="shared" si="20"/>
        <v>186891488</v>
      </c>
    </row>
    <row r="16" spans="1:30" x14ac:dyDescent="0.25">
      <c r="A16" s="10" t="s">
        <v>2</v>
      </c>
      <c r="B16" s="519">
        <f>'Sales Forecast'!B10*1000000</f>
        <v>68611.999999999985</v>
      </c>
      <c r="C16" s="475">
        <f>'Sales Forecast'!C10*1000000</f>
        <v>53106</v>
      </c>
      <c r="D16" s="475">
        <f>'Sales Forecast'!D10*1000000</f>
        <v>53106</v>
      </c>
      <c r="E16" s="475">
        <f>'Sales Forecast'!E10*1000000</f>
        <v>49803</v>
      </c>
      <c r="F16" s="475">
        <f>'Sales Forecast'!F10*1000000</f>
        <v>48340</v>
      </c>
      <c r="G16" s="475">
        <f>'Sales Forecast'!G10*1000000</f>
        <v>45692</v>
      </c>
      <c r="H16" s="475">
        <f>'Sales Forecast'!H10*1000000</f>
        <v>53835</v>
      </c>
      <c r="I16" s="475">
        <f>'Sales Forecast'!I10*1000000</f>
        <v>61690</v>
      </c>
      <c r="J16" s="7">
        <f>'Sales Forecast'!J10*1000000</f>
        <v>83752</v>
      </c>
      <c r="K16" s="7">
        <f>'Sales Forecast'!K10*1000000</f>
        <v>85338</v>
      </c>
      <c r="L16" s="7">
        <f>'Sales Forecast'!L10*1000000</f>
        <v>81436</v>
      </c>
      <c r="M16" s="7">
        <f>'Sales Forecast'!M10*1000000</f>
        <v>68990</v>
      </c>
      <c r="P16" s="755">
        <f>'Sales Forecast'!V10*1000000</f>
        <v>53835</v>
      </c>
      <c r="Q16" s="475">
        <f>'Sales Forecast'!W10*1000000</f>
        <v>61690</v>
      </c>
      <c r="R16" s="475">
        <f>'Sales Forecast'!X10*1000000</f>
        <v>83752</v>
      </c>
      <c r="S16" s="475">
        <f>'Sales Forecast'!Y10*1000000</f>
        <v>85338</v>
      </c>
      <c r="T16" s="475">
        <f>'Sales Forecast'!Z10*1000000</f>
        <v>81436</v>
      </c>
      <c r="U16" s="475">
        <f>'Sales Forecast'!AA10*1000000</f>
        <v>68990</v>
      </c>
      <c r="W16" s="475">
        <f>'Sales Forecast'!AC10*1000000</f>
        <v>68611.999999999985</v>
      </c>
      <c r="X16" s="475">
        <f>'Sales Forecast'!AD10*1000000</f>
        <v>58074</v>
      </c>
      <c r="Y16" s="475">
        <f>'Sales Forecast'!AE10*1000000</f>
        <v>53106</v>
      </c>
      <c r="Z16" s="475">
        <f>'Sales Forecast'!AF10*1000000</f>
        <v>49803</v>
      </c>
      <c r="AA16" s="475">
        <f>'Sales Forecast'!AG10*1000000</f>
        <v>48340</v>
      </c>
      <c r="AB16" s="475">
        <f>'Sales Forecast'!AH10*1000000</f>
        <v>45692</v>
      </c>
      <c r="AC16" s="475">
        <f>'Sales Forecast'!AI10*1000000</f>
        <v>53835</v>
      </c>
      <c r="AD16" s="475">
        <f>'Sales Forecast'!AJ10*1000000</f>
        <v>61690</v>
      </c>
    </row>
    <row r="17" spans="1:30" x14ac:dyDescent="0.25">
      <c r="A17" s="10" t="s">
        <v>4</v>
      </c>
      <c r="B17" s="475">
        <f>ROUND('Sales Forecast'!B11*1000000,0)</f>
        <v>8000000</v>
      </c>
      <c r="C17" s="475">
        <f>ROUND('Sales Forecast'!C11*1000000,0)</f>
        <v>8000000</v>
      </c>
      <c r="D17" s="475">
        <f>ROUND('Sales Forecast'!D11*1000000,0)</f>
        <v>9000000</v>
      </c>
      <c r="E17" s="475">
        <f>ROUND('Sales Forecast'!E11*1000000,0)</f>
        <v>9000000</v>
      </c>
      <c r="F17" s="475">
        <f>ROUND('Sales Forecast'!F11*1000000,0)</f>
        <v>9000000</v>
      </c>
      <c r="G17" s="475">
        <f>ROUND('Sales Forecast'!G11*1000000,0)</f>
        <v>9000000</v>
      </c>
      <c r="H17" s="475">
        <f>ROUND('Sales Forecast'!H11*1000000,0)</f>
        <v>8000000</v>
      </c>
      <c r="I17" s="475">
        <f>ROUND('Sales Forecast'!I11*1000000,0)</f>
        <v>10000000</v>
      </c>
      <c r="J17" s="7">
        <f>ROUND('Sales Forecast'!J11*1000000,0)</f>
        <v>8000000</v>
      </c>
      <c r="K17" s="7">
        <f>ROUND('Sales Forecast'!K11*1000000,0)</f>
        <v>10000000</v>
      </c>
      <c r="L17" s="7">
        <f>ROUND('Sales Forecast'!L11*1000000,0)</f>
        <v>10000000</v>
      </c>
      <c r="M17" s="7">
        <f>ROUND('Sales Forecast'!M11*1000000,0)</f>
        <v>9000000</v>
      </c>
      <c r="P17" s="756">
        <f>ROUND('Sales Forecast'!V11*1000000,0)</f>
        <v>8000000</v>
      </c>
      <c r="Q17" s="475">
        <f>ROUND('Sales Forecast'!W11*1000000,0)</f>
        <v>10000000</v>
      </c>
      <c r="R17" s="475">
        <f>ROUND('Sales Forecast'!X11*1000000,0)</f>
        <v>8000000</v>
      </c>
      <c r="S17" s="475">
        <f>ROUND('Sales Forecast'!Y11*1000000,0)</f>
        <v>10000000</v>
      </c>
      <c r="T17" s="475">
        <f>ROUND('Sales Forecast'!Z11*1000000,0)</f>
        <v>10000000</v>
      </c>
      <c r="U17" s="475">
        <f>ROUND('Sales Forecast'!AA11*1000000,0)</f>
        <v>9000000</v>
      </c>
      <c r="W17" s="475">
        <f>ROUND('Sales Forecast'!AC11*1000000,0)</f>
        <v>8000000</v>
      </c>
      <c r="X17" s="475">
        <f>ROUND('Sales Forecast'!AD11*1000000,0)</f>
        <v>8000000</v>
      </c>
      <c r="Y17" s="475">
        <f>ROUND('Sales Forecast'!AE11*1000000,0)</f>
        <v>9000000</v>
      </c>
      <c r="Z17" s="475">
        <f>ROUND('Sales Forecast'!AF11*1000000,0)</f>
        <v>9000000</v>
      </c>
      <c r="AA17" s="475">
        <f>ROUND('Sales Forecast'!AG11*1000000,0)</f>
        <v>9000000</v>
      </c>
      <c r="AB17" s="475">
        <f>ROUND('Sales Forecast'!AH11*1000000,0)</f>
        <v>9000000</v>
      </c>
      <c r="AC17" s="475">
        <f>ROUND('Sales Forecast'!AI11*1000000,0)</f>
        <v>8000000</v>
      </c>
      <c r="AD17" s="475">
        <f>ROUND('Sales Forecast'!AJ11*1000000,0)</f>
        <v>10000000</v>
      </c>
    </row>
    <row r="18" spans="1:30" x14ac:dyDescent="0.25">
      <c r="A18" s="10" t="s">
        <v>5</v>
      </c>
      <c r="B18" s="519">
        <f>ROUND('Sales Forecast'!B12*1000000,0)</f>
        <v>546947</v>
      </c>
      <c r="C18" s="475">
        <f>ROUND('Sales Forecast'!C12*1000000,0)</f>
        <v>565481</v>
      </c>
      <c r="D18" s="475">
        <f>ROUND('Sales Forecast'!D12*1000000,0)</f>
        <v>516839</v>
      </c>
      <c r="E18" s="475">
        <f>ROUND('Sales Forecast'!E12*1000000,0)</f>
        <v>473620</v>
      </c>
      <c r="F18" s="475">
        <f>ROUND('Sales Forecast'!F12*1000000,0)</f>
        <v>544006</v>
      </c>
      <c r="G18" s="475">
        <f>ROUND('Sales Forecast'!G12*1000000,0)</f>
        <v>583994</v>
      </c>
      <c r="H18" s="475">
        <f>ROUND('Sales Forecast'!H12*1000000,0)</f>
        <v>674869</v>
      </c>
      <c r="I18" s="475">
        <f>ROUND('Sales Forecast'!I12*1000000,0)</f>
        <v>712313</v>
      </c>
      <c r="J18" s="7">
        <f>ROUND('Sales Forecast'!J12*1000000,0)</f>
        <v>763490</v>
      </c>
      <c r="K18" s="7">
        <f>ROUND('Sales Forecast'!K12*1000000,0)</f>
        <v>746959</v>
      </c>
      <c r="L18" s="7">
        <f>ROUND('Sales Forecast'!L12*1000000,0)</f>
        <v>633006</v>
      </c>
      <c r="M18" s="7">
        <f>ROUND('Sales Forecast'!M12*1000000,0)</f>
        <v>637521</v>
      </c>
      <c r="P18" s="754">
        <f>ROUND('Sales Forecast'!V12*1000000,0)</f>
        <v>674869</v>
      </c>
      <c r="Q18" s="475">
        <f>ROUND('Sales Forecast'!W12*1000000,0)</f>
        <v>712313</v>
      </c>
      <c r="R18" s="475">
        <f>ROUND('Sales Forecast'!X12*1000000,0)</f>
        <v>763490</v>
      </c>
      <c r="S18" s="475">
        <f>ROUND('Sales Forecast'!Y12*1000000,0)</f>
        <v>746959</v>
      </c>
      <c r="T18" s="475">
        <f>ROUND('Sales Forecast'!Z12*1000000,0)</f>
        <v>633006</v>
      </c>
      <c r="U18" s="475">
        <f>ROUND('Sales Forecast'!AA12*1000000,0)</f>
        <v>637521</v>
      </c>
      <c r="W18" s="475">
        <f>ROUND('Sales Forecast'!AC12*1000000,0)</f>
        <v>546947</v>
      </c>
      <c r="X18" s="475">
        <f>ROUND('Sales Forecast'!AD12*1000000,0)</f>
        <v>565481</v>
      </c>
      <c r="Y18" s="475">
        <f>ROUND('Sales Forecast'!AE12*1000000,0)</f>
        <v>516839</v>
      </c>
      <c r="Z18" s="475">
        <f>ROUND('Sales Forecast'!AF12*1000000,0)</f>
        <v>473620</v>
      </c>
      <c r="AA18" s="475">
        <f>ROUND('Sales Forecast'!AG12*1000000,0)</f>
        <v>544006</v>
      </c>
      <c r="AB18" s="475">
        <f>ROUND('Sales Forecast'!AH12*1000000,0)</f>
        <v>583994</v>
      </c>
      <c r="AC18" s="475">
        <f>ROUND('Sales Forecast'!AI12*1000000,0)</f>
        <v>674869</v>
      </c>
      <c r="AD18" s="475">
        <f>ROUND('Sales Forecast'!AJ12*1000000,0)</f>
        <v>712313</v>
      </c>
    </row>
    <row r="19" spans="1:30" x14ac:dyDescent="0.25">
      <c r="A19" s="10" t="s">
        <v>49</v>
      </c>
      <c r="B19" s="475">
        <f>ROUND('Sales Forecast'!B13*1000000,0)</f>
        <v>0</v>
      </c>
      <c r="C19" s="475">
        <f>ROUND('Sales Forecast'!C13*1000000,0)</f>
        <v>0</v>
      </c>
      <c r="D19" s="475">
        <f>ROUND('Sales Forecast'!D13*1000000,0)</f>
        <v>0</v>
      </c>
      <c r="E19" s="475">
        <f>ROUND('Sales Forecast'!E13*1000000,0)</f>
        <v>0</v>
      </c>
      <c r="F19" s="475">
        <f>ROUND('Sales Forecast'!F13*1000000,0)</f>
        <v>0</v>
      </c>
      <c r="G19" s="475">
        <f>ROUND('Sales Forecast'!G13*1000000,0)</f>
        <v>0</v>
      </c>
      <c r="H19" s="475">
        <f>ROUND('Sales Forecast'!H13*1000000,0)</f>
        <v>0</v>
      </c>
      <c r="I19" s="475">
        <f>ROUND('Sales Forecast'!I13*1000000,0)</f>
        <v>0</v>
      </c>
      <c r="J19" s="7">
        <f>ROUND('Sales Forecast'!J13*1000000,0)</f>
        <v>0</v>
      </c>
      <c r="K19" s="7">
        <f>ROUND('Sales Forecast'!K13*1000000,0)</f>
        <v>0</v>
      </c>
      <c r="L19" s="7">
        <f>ROUND('Sales Forecast'!L13*1000000,0)</f>
        <v>0</v>
      </c>
      <c r="M19" s="7">
        <f>ROUND('Sales Forecast'!M13*1000000,0)</f>
        <v>0</v>
      </c>
      <c r="P19" s="754">
        <f>ROUND('Sales Forecast'!V13*1000000,0)</f>
        <v>0</v>
      </c>
      <c r="Q19" s="475">
        <f>ROUND('Sales Forecast'!W13*1000000,0)</f>
        <v>0</v>
      </c>
      <c r="R19" s="475">
        <f>ROUND('Sales Forecast'!X13*1000000,0)</f>
        <v>0</v>
      </c>
      <c r="S19" s="475">
        <f>ROUND('Sales Forecast'!Y13*1000000,0)</f>
        <v>0</v>
      </c>
      <c r="T19" s="475">
        <f>ROUND('Sales Forecast'!Z13*1000000,0)</f>
        <v>0</v>
      </c>
      <c r="U19" s="475">
        <f>ROUND('Sales Forecast'!AA13*1000000,0)</f>
        <v>0</v>
      </c>
      <c r="W19" s="475"/>
      <c r="X19" s="475"/>
      <c r="Y19" s="475"/>
      <c r="Z19" s="475"/>
      <c r="AA19" s="475"/>
      <c r="AB19" s="475"/>
      <c r="AC19" s="475"/>
      <c r="AD19" s="475"/>
    </row>
    <row r="20" spans="1:30" hidden="1" x14ac:dyDescent="0.25">
      <c r="A20" s="10" t="s">
        <v>50</v>
      </c>
      <c r="B20" s="475" t="e">
        <f>ROUND(B19*$D$89,0)</f>
        <v>#DIV/0!</v>
      </c>
      <c r="C20" s="475" t="e">
        <f t="shared" ref="C20:M20" si="21">ROUND(C19*$D$89,0)</f>
        <v>#DIV/0!</v>
      </c>
      <c r="D20" s="475" t="e">
        <f t="shared" si="21"/>
        <v>#DIV/0!</v>
      </c>
      <c r="E20" s="475" t="e">
        <f t="shared" si="21"/>
        <v>#DIV/0!</v>
      </c>
      <c r="F20" s="475" t="e">
        <f t="shared" si="21"/>
        <v>#DIV/0!</v>
      </c>
      <c r="G20" s="475" t="e">
        <f t="shared" si="21"/>
        <v>#DIV/0!</v>
      </c>
      <c r="H20" s="475" t="e">
        <f t="shared" si="21"/>
        <v>#DIV/0!</v>
      </c>
      <c r="I20" s="475" t="e">
        <f t="shared" si="21"/>
        <v>#DIV/0!</v>
      </c>
      <c r="J20" s="7" t="e">
        <f t="shared" si="21"/>
        <v>#DIV/0!</v>
      </c>
      <c r="K20" s="7" t="e">
        <f t="shared" si="21"/>
        <v>#DIV/0!</v>
      </c>
      <c r="L20" s="7" t="e">
        <f t="shared" si="21"/>
        <v>#DIV/0!</v>
      </c>
      <c r="M20" s="7" t="e">
        <f t="shared" si="21"/>
        <v>#DIV/0!</v>
      </c>
      <c r="P20" s="754" t="e">
        <f t="shared" ref="P20" si="22">ROUND(P19*$D$89,0)</f>
        <v>#DIV/0!</v>
      </c>
      <c r="Q20" s="475" t="e">
        <f t="shared" ref="Q20:U20" si="23">ROUND(Q19*$D$89,0)</f>
        <v>#DIV/0!</v>
      </c>
      <c r="R20" s="475" t="e">
        <f t="shared" si="23"/>
        <v>#DIV/0!</v>
      </c>
      <c r="S20" s="475" t="e">
        <f t="shared" si="23"/>
        <v>#DIV/0!</v>
      </c>
      <c r="T20" s="475" t="e">
        <f t="shared" si="23"/>
        <v>#DIV/0!</v>
      </c>
      <c r="U20" s="475" t="e">
        <f t="shared" si="23"/>
        <v>#DIV/0!</v>
      </c>
      <c r="W20" s="475">
        <f t="shared" ref="W20" si="24">ROUND(W19*$D$73,0)</f>
        <v>0</v>
      </c>
      <c r="X20" s="475">
        <f t="shared" ref="X20" si="25">ROUND(X19*$D$73,0)</f>
        <v>0</v>
      </c>
      <c r="Y20" s="475">
        <f t="shared" ref="Y20" si="26">ROUND(Y19*$D$73,0)</f>
        <v>0</v>
      </c>
      <c r="Z20" s="475">
        <f t="shared" ref="Z20" si="27">ROUND(Z19*$D$73,0)</f>
        <v>0</v>
      </c>
      <c r="AA20" s="475">
        <f t="shared" ref="AA20" si="28">ROUND(AA19*$D$73,0)</f>
        <v>0</v>
      </c>
      <c r="AB20" s="475">
        <f t="shared" ref="AB20" si="29">ROUND(AB19*$D$73,0)</f>
        <v>0</v>
      </c>
      <c r="AC20" s="475">
        <f t="shared" ref="AC20" si="30">ROUND(AC19*$D$73,0)</f>
        <v>0</v>
      </c>
      <c r="AD20" s="475">
        <f t="shared" ref="AD20" si="31">ROUND(AD19*$D$73,0)</f>
        <v>0</v>
      </c>
    </row>
    <row r="21" spans="1:30" hidden="1" x14ac:dyDescent="0.25">
      <c r="A21" s="10" t="s">
        <v>51</v>
      </c>
      <c r="B21" s="475" t="e">
        <f>B19-B20</f>
        <v>#DIV/0!</v>
      </c>
      <c r="C21" s="475" t="e">
        <f>C19-C20</f>
        <v>#DIV/0!</v>
      </c>
      <c r="D21" s="475" t="e">
        <f t="shared" ref="D21:M21" si="32">D19-D20</f>
        <v>#DIV/0!</v>
      </c>
      <c r="E21" s="475" t="e">
        <f t="shared" si="32"/>
        <v>#DIV/0!</v>
      </c>
      <c r="F21" s="475" t="e">
        <f t="shared" si="32"/>
        <v>#DIV/0!</v>
      </c>
      <c r="G21" s="475" t="e">
        <f t="shared" si="32"/>
        <v>#DIV/0!</v>
      </c>
      <c r="H21" s="475" t="e">
        <f t="shared" si="32"/>
        <v>#DIV/0!</v>
      </c>
      <c r="I21" s="475" t="e">
        <f t="shared" si="32"/>
        <v>#DIV/0!</v>
      </c>
      <c r="J21" s="7" t="e">
        <f t="shared" si="32"/>
        <v>#DIV/0!</v>
      </c>
      <c r="K21" s="7" t="e">
        <f t="shared" si="32"/>
        <v>#DIV/0!</v>
      </c>
      <c r="L21" s="7" t="e">
        <f t="shared" si="32"/>
        <v>#DIV/0!</v>
      </c>
      <c r="M21" s="7" t="e">
        <f t="shared" si="32"/>
        <v>#DIV/0!</v>
      </c>
      <c r="P21" s="754" t="e">
        <f t="shared" ref="P21" si="33">P19-P20</f>
        <v>#DIV/0!</v>
      </c>
      <c r="Q21" s="475" t="e">
        <f t="shared" ref="Q21:U21" si="34">Q19-Q20</f>
        <v>#DIV/0!</v>
      </c>
      <c r="R21" s="475" t="e">
        <f t="shared" si="34"/>
        <v>#DIV/0!</v>
      </c>
      <c r="S21" s="475" t="e">
        <f t="shared" si="34"/>
        <v>#DIV/0!</v>
      </c>
      <c r="T21" s="475" t="e">
        <f t="shared" si="34"/>
        <v>#DIV/0!</v>
      </c>
      <c r="U21" s="475" t="e">
        <f t="shared" si="34"/>
        <v>#DIV/0!</v>
      </c>
      <c r="W21" s="475">
        <f>ROUND('Sales Forecast'!AC23*1000000,0)</f>
        <v>10000000</v>
      </c>
      <c r="X21" s="475">
        <f>ROUND('Sales Forecast'!AD23*1000000,0)</f>
        <v>12000000</v>
      </c>
      <c r="Y21" s="475">
        <f>ROUND('Sales Forecast'!AE23*1000000,0)</f>
        <v>11000000</v>
      </c>
      <c r="Z21" s="475">
        <f>ROUND('Sales Forecast'!AF23*1000000,0)</f>
        <v>12000000</v>
      </c>
      <c r="AA21" s="475">
        <f>ROUND('Sales Forecast'!AG23*1000000,0)</f>
        <v>11000000</v>
      </c>
      <c r="AB21" s="475">
        <f>ROUND('Sales Forecast'!AH23*1000000,0)</f>
        <v>8000000</v>
      </c>
      <c r="AC21" s="475">
        <f>ROUND('Sales Forecast'!AI23*1000000,0)</f>
        <v>10000000</v>
      </c>
      <c r="AD21" s="475">
        <f>ROUND('Sales Forecast'!AJ23*1000000,0)</f>
        <v>12000000</v>
      </c>
    </row>
    <row r="22" spans="1:30" x14ac:dyDescent="0.25">
      <c r="A22" s="10" t="s">
        <v>52</v>
      </c>
      <c r="B22" s="519">
        <f>ROUND('Sales Forecast'!B14*1000000,0)</f>
        <v>99000000</v>
      </c>
      <c r="C22" s="475">
        <f>ROUND('Sales Forecast'!C14*1000000,0)</f>
        <v>121000000</v>
      </c>
      <c r="D22" s="475">
        <f>ROUND('Sales Forecast'!D14*1000000,0)</f>
        <v>161000000</v>
      </c>
      <c r="E22" s="475">
        <f>ROUND('Sales Forecast'!E14*1000000,0)</f>
        <v>172000000</v>
      </c>
      <c r="F22" s="475">
        <f>ROUND('Sales Forecast'!F14*1000000,0)</f>
        <v>160000000</v>
      </c>
      <c r="G22" s="475">
        <f>ROUND('Sales Forecast'!G14*1000000,0)</f>
        <v>124000000</v>
      </c>
      <c r="H22" s="475">
        <f>ROUND('Sales Forecast'!H14*1000000,0)</f>
        <v>103000000</v>
      </c>
      <c r="I22" s="475">
        <f>ROUND('Sales Forecast'!I14*1000000,0)</f>
        <v>108000000</v>
      </c>
      <c r="J22" s="7">
        <f>ROUND('Sales Forecast'!J14*1000000,0)</f>
        <v>117000000</v>
      </c>
      <c r="K22" s="7">
        <f>ROUND('Sales Forecast'!K14*1000000,0)</f>
        <v>110000000</v>
      </c>
      <c r="L22" s="7">
        <f>ROUND('Sales Forecast'!L14*1000000,0)</f>
        <v>104000000</v>
      </c>
      <c r="M22" s="7">
        <f>ROUND('Sales Forecast'!M14*1000000,0)</f>
        <v>96000000</v>
      </c>
      <c r="P22" s="754">
        <f>ROUND('Sales Forecast'!V14*1000000,0)</f>
        <v>103000000</v>
      </c>
      <c r="Q22" s="475">
        <f>ROUND('Sales Forecast'!W14*1000000,0)</f>
        <v>108000000</v>
      </c>
      <c r="R22" s="475">
        <f>ROUND('Sales Forecast'!X14*1000000,0)</f>
        <v>117000000</v>
      </c>
      <c r="S22" s="475">
        <f>ROUND('Sales Forecast'!Y14*1000000,0)</f>
        <v>110000000</v>
      </c>
      <c r="T22" s="475">
        <f>ROUND('Sales Forecast'!Z14*1000000,0)</f>
        <v>104000000</v>
      </c>
      <c r="U22" s="475">
        <f>ROUND('Sales Forecast'!AA14*1000000,0)</f>
        <v>96000000</v>
      </c>
      <c r="W22" s="475">
        <f>ROUND('Sales Forecast'!AC14*1000000,0)</f>
        <v>99000000</v>
      </c>
      <c r="X22" s="475">
        <f>ROUND('Sales Forecast'!AD14*1000000,0)</f>
        <v>121000000</v>
      </c>
      <c r="Y22" s="475">
        <f>ROUND('Sales Forecast'!AE14*1000000,0)</f>
        <v>161000000</v>
      </c>
      <c r="Z22" s="475">
        <f>ROUND('Sales Forecast'!AF14*1000000,0)</f>
        <v>172000000</v>
      </c>
      <c r="AA22" s="475">
        <f>ROUND('Sales Forecast'!AG14*1000000,0)</f>
        <v>160000000</v>
      </c>
      <c r="AB22" s="475">
        <f>ROUND('Sales Forecast'!AH14*1000000,0)</f>
        <v>124000000</v>
      </c>
      <c r="AC22" s="475">
        <f>ROUND('Sales Forecast'!AI14*1000000,0)</f>
        <v>102000000</v>
      </c>
      <c r="AD22" s="475">
        <f>ROUND('Sales Forecast'!AJ14*1000000,0)</f>
        <v>107000000</v>
      </c>
    </row>
    <row r="23" spans="1:30" x14ac:dyDescent="0.25">
      <c r="A23" s="10" t="s">
        <v>53</v>
      </c>
      <c r="B23" s="475">
        <f>ROUND('Sales Forecast'!B16*1000000,0)</f>
        <v>16000000</v>
      </c>
      <c r="C23" s="475">
        <f>ROUND('Sales Forecast'!C16*1000000,0)</f>
        <v>24000000</v>
      </c>
      <c r="D23" s="475">
        <f>ROUND('Sales Forecast'!D16*1000000,0)</f>
        <v>23000000</v>
      </c>
      <c r="E23" s="475">
        <f>ROUND('Sales Forecast'!E16*1000000,0)</f>
        <v>28000000</v>
      </c>
      <c r="F23" s="475">
        <f>ROUND('Sales Forecast'!F16*1000000,0)</f>
        <v>26000000</v>
      </c>
      <c r="G23" s="475">
        <f>ROUND('Sales Forecast'!G16*1000000,0)</f>
        <v>20000000</v>
      </c>
      <c r="H23" s="475">
        <f>ROUND('Sales Forecast'!H16*1000000,0)</f>
        <v>14000000</v>
      </c>
      <c r="I23" s="475">
        <f>ROUND('Sales Forecast'!I16*1000000,0)</f>
        <v>21000000</v>
      </c>
      <c r="J23" s="7">
        <f>ROUND('Sales Forecast'!J16*1000000,0)</f>
        <v>20000000</v>
      </c>
      <c r="K23" s="7">
        <f>ROUND('Sales Forecast'!K16*1000000,0)</f>
        <v>19000000</v>
      </c>
      <c r="L23" s="7">
        <f>ROUND('Sales Forecast'!L16*1000000,0)</f>
        <v>20000000</v>
      </c>
      <c r="M23" s="7">
        <f>ROUND('Sales Forecast'!M16*1000000,0)</f>
        <v>19000000</v>
      </c>
      <c r="P23" s="754">
        <f>ROUND('Sales Forecast'!V16*1000000,0)</f>
        <v>8000000</v>
      </c>
      <c r="Q23" s="475">
        <f>ROUND('Sales Forecast'!W16*1000000,0)</f>
        <v>10000000</v>
      </c>
      <c r="R23" s="475">
        <f>ROUND('Sales Forecast'!X16*1000000,0)</f>
        <v>10000000</v>
      </c>
      <c r="S23" s="475">
        <f>ROUND('Sales Forecast'!Y16*1000000,0)</f>
        <v>10000000</v>
      </c>
      <c r="T23" s="475">
        <f>ROUND('Sales Forecast'!Z16*1000000,0)</f>
        <v>9000000</v>
      </c>
      <c r="U23" s="475">
        <f>ROUND('Sales Forecast'!AA16*1000000,0)</f>
        <v>8000000</v>
      </c>
      <c r="W23" s="475">
        <f>ROUND('Sales Forecast'!AC16*1000000,0)</f>
        <v>8000000</v>
      </c>
      <c r="X23" s="475">
        <f>ROUND('Sales Forecast'!AD16*1000000,0)</f>
        <v>12000000</v>
      </c>
      <c r="Y23" s="475">
        <f>ROUND('Sales Forecast'!AE16*1000000,0)</f>
        <v>14000000</v>
      </c>
      <c r="Z23" s="475">
        <f>ROUND('Sales Forecast'!AF16*1000000,0)</f>
        <v>17000000</v>
      </c>
      <c r="AA23" s="475">
        <f>ROUND('Sales Forecast'!AG16*1000000,0)</f>
        <v>14000000</v>
      </c>
      <c r="AB23" s="475">
        <f>ROUND('Sales Forecast'!AH16*1000000,0)</f>
        <v>12000000</v>
      </c>
      <c r="AC23" s="475">
        <f>ROUND('Sales Forecast'!AI16*1000000,0)</f>
        <v>9000000</v>
      </c>
      <c r="AD23" s="475">
        <f>ROUND('Sales Forecast'!AJ16*1000000,0)</f>
        <v>10000000</v>
      </c>
    </row>
    <row r="24" spans="1:30" x14ac:dyDescent="0.25">
      <c r="A24" s="10" t="s">
        <v>54</v>
      </c>
      <c r="B24" s="475">
        <f>'Sales Forecast'!B15*1000000</f>
        <v>8000000</v>
      </c>
      <c r="C24" s="475">
        <f>'Sales Forecast'!C15*1000000</f>
        <v>12000000</v>
      </c>
      <c r="D24" s="475">
        <f>'Sales Forecast'!D15*1000000</f>
        <v>9000000</v>
      </c>
      <c r="E24" s="475">
        <f>'Sales Forecast'!E15*1000000</f>
        <v>11000000</v>
      </c>
      <c r="F24" s="475">
        <f>'Sales Forecast'!F15*1000000</f>
        <v>12000000</v>
      </c>
      <c r="G24" s="475">
        <f>'Sales Forecast'!G15*1000000</f>
        <v>8000000</v>
      </c>
      <c r="H24" s="476">
        <f>'Sales Forecast'!H15*1000000</f>
        <v>6000000</v>
      </c>
      <c r="I24" s="476">
        <f>'Sales Forecast'!I15*1000000</f>
        <v>11000000</v>
      </c>
      <c r="J24" s="8">
        <f>'Sales Forecast'!J15*1000000</f>
        <v>10000000</v>
      </c>
      <c r="K24" s="8">
        <f>'Sales Forecast'!K15*1000000</f>
        <v>9000000</v>
      </c>
      <c r="L24" s="8">
        <f>'Sales Forecast'!L15*1000000</f>
        <v>11000000</v>
      </c>
      <c r="M24" s="8">
        <f>'Sales Forecast'!M15*1000000</f>
        <v>11000000</v>
      </c>
      <c r="P24" s="754">
        <f>'Sales Forecast'!V15*1000000</f>
        <v>6000000</v>
      </c>
      <c r="Q24" s="475">
        <f>'Sales Forecast'!W15*1000000</f>
        <v>11000000</v>
      </c>
      <c r="R24" s="475">
        <f>'Sales Forecast'!X15*1000000</f>
        <v>10000000</v>
      </c>
      <c r="S24" s="475">
        <f>'Sales Forecast'!Y15*1000000</f>
        <v>9000000</v>
      </c>
      <c r="T24" s="475">
        <f>'Sales Forecast'!Z15*1000000</f>
        <v>11000000</v>
      </c>
      <c r="U24" s="475">
        <f>'Sales Forecast'!AA15*1000000</f>
        <v>11000000</v>
      </c>
      <c r="W24" s="475">
        <f>'Sales Forecast'!AC15*1000000</f>
        <v>8000000</v>
      </c>
      <c r="X24" s="475">
        <f>'Sales Forecast'!AD15*1000000</f>
        <v>12000000</v>
      </c>
      <c r="Y24" s="475">
        <f>'Sales Forecast'!AE15*1000000</f>
        <v>9000000</v>
      </c>
      <c r="Z24" s="475">
        <f>'Sales Forecast'!AF15*1000000</f>
        <v>11000000</v>
      </c>
      <c r="AA24" s="475">
        <f>'Sales Forecast'!AG15*1000000</f>
        <v>12000000</v>
      </c>
      <c r="AB24" s="475">
        <f>'Sales Forecast'!AH15*1000000</f>
        <v>8000000</v>
      </c>
      <c r="AC24" s="475">
        <f>'Sales Forecast'!AI15*1000000</f>
        <v>6000000</v>
      </c>
      <c r="AD24" s="475">
        <f>'Sales Forecast'!AJ15*1000000</f>
        <v>11000000</v>
      </c>
    </row>
    <row r="25" spans="1:30" x14ac:dyDescent="0.25">
      <c r="A25" s="10" t="s">
        <v>55</v>
      </c>
      <c r="B25" s="475">
        <f>ROUND('Sales Forecast'!B17*1000000,0)</f>
        <v>1224000000</v>
      </c>
      <c r="C25" s="475">
        <f>ROUND('Sales Forecast'!C17*1000000,0)</f>
        <v>1386000000</v>
      </c>
      <c r="D25" s="475">
        <f>ROUND('Sales Forecast'!D17*1000000,0)</f>
        <v>1464000000</v>
      </c>
      <c r="E25" s="475">
        <f>ROUND('Sales Forecast'!E17*1000000,0)</f>
        <v>1492000000</v>
      </c>
      <c r="F25" s="475">
        <f>ROUND('Sales Forecast'!F17*1000000,0)</f>
        <v>1466000000</v>
      </c>
      <c r="G25" s="475">
        <f>ROUND('Sales Forecast'!G17*1000000,0)</f>
        <v>1288000000</v>
      </c>
      <c r="H25" s="475">
        <f>ROUND('Sales Forecast'!H17*1000000,0)</f>
        <v>1211000000</v>
      </c>
      <c r="I25" s="475">
        <f>ROUND('Sales Forecast'!I17*1000000,0)</f>
        <v>1262000000</v>
      </c>
      <c r="J25" s="7">
        <f>ROUND('Sales Forecast'!J17*1000000,0)</f>
        <v>1306000000</v>
      </c>
      <c r="K25" s="7">
        <f>ROUND('Sales Forecast'!K17*1000000,0)</f>
        <v>1269000000</v>
      </c>
      <c r="L25" s="7">
        <f>ROUND('Sales Forecast'!L17*1000000,0)</f>
        <v>1255000000</v>
      </c>
      <c r="M25" s="7">
        <f>ROUND('Sales Forecast'!M17*1000000,0)</f>
        <v>1238000000</v>
      </c>
      <c r="P25" s="755">
        <f>ROUND('Sales Forecast'!V17*1000000,0)</f>
        <v>1211000000</v>
      </c>
      <c r="Q25" s="475">
        <f>ROUND('Sales Forecast'!W17*1000000,0)</f>
        <v>1262000000</v>
      </c>
      <c r="R25" s="475">
        <f>ROUND('Sales Forecast'!X17*1000000,0)</f>
        <v>1306000000</v>
      </c>
      <c r="S25" s="475">
        <f>ROUND('Sales Forecast'!Y17*1000000,0)</f>
        <v>1269000000</v>
      </c>
      <c r="T25" s="475">
        <f>ROUND('Sales Forecast'!Z17*1000000,0)</f>
        <v>1255000000</v>
      </c>
      <c r="U25" s="475">
        <f>ROUND('Sales Forecast'!AA17*1000000,0)</f>
        <v>1238000000</v>
      </c>
      <c r="W25" s="475">
        <f>ROUND('Sales Forecast'!AC17*1000000,0)</f>
        <v>1224000000</v>
      </c>
      <c r="X25" s="475">
        <f>ROUND('Sales Forecast'!AD17*1000000,0)</f>
        <v>1386000000</v>
      </c>
      <c r="Y25" s="475">
        <f>ROUND('Sales Forecast'!AE17*1000000,0)</f>
        <v>1464000000</v>
      </c>
      <c r="Z25" s="475">
        <f>ROUND('Sales Forecast'!AF17*1000000,0)</f>
        <v>1492000000</v>
      </c>
      <c r="AA25" s="475">
        <f>ROUND('Sales Forecast'!AG17*1000000,0)</f>
        <v>1466000000</v>
      </c>
      <c r="AB25" s="475">
        <f>ROUND('Sales Forecast'!AH17*1000000,0)</f>
        <v>1288000000</v>
      </c>
      <c r="AC25" s="475">
        <f>ROUND('Sales Forecast'!AI17*1000000,0)</f>
        <v>1222000000</v>
      </c>
      <c r="AD25" s="475">
        <f>ROUND('Sales Forecast'!AJ17*1000000,0)</f>
        <v>1253000000</v>
      </c>
    </row>
    <row r="26" spans="1:30" x14ac:dyDescent="0.25">
      <c r="A26" s="10" t="s">
        <v>56</v>
      </c>
      <c r="B26" s="519">
        <f t="shared" ref="B26:M26" si="35">ROUND(B25*$D$65,0)</f>
        <v>0</v>
      </c>
      <c r="C26" s="475">
        <f t="shared" si="35"/>
        <v>0</v>
      </c>
      <c r="D26" s="475">
        <f t="shared" si="35"/>
        <v>0</v>
      </c>
      <c r="E26" s="475">
        <f t="shared" si="35"/>
        <v>0</v>
      </c>
      <c r="F26" s="475">
        <f t="shared" si="35"/>
        <v>0</v>
      </c>
      <c r="G26" s="475">
        <f t="shared" si="35"/>
        <v>0</v>
      </c>
      <c r="H26" s="475">
        <f t="shared" si="35"/>
        <v>0</v>
      </c>
      <c r="I26" s="475">
        <f t="shared" si="35"/>
        <v>0</v>
      </c>
      <c r="J26" s="7">
        <f t="shared" si="35"/>
        <v>0</v>
      </c>
      <c r="K26" s="7">
        <f t="shared" si="35"/>
        <v>0</v>
      </c>
      <c r="L26" s="7">
        <f t="shared" si="35"/>
        <v>0</v>
      </c>
      <c r="M26" s="7">
        <f t="shared" si="35"/>
        <v>0</v>
      </c>
      <c r="P26" s="475">
        <f t="shared" ref="P26" si="36">ROUND(P25*$D$65,0)</f>
        <v>0</v>
      </c>
      <c r="Q26" s="475">
        <f t="shared" ref="Q26:U26" si="37">ROUND(Q25*$D$65,0)</f>
        <v>0</v>
      </c>
      <c r="R26" s="475">
        <f t="shared" si="37"/>
        <v>0</v>
      </c>
      <c r="S26" s="475">
        <f t="shared" si="37"/>
        <v>0</v>
      </c>
      <c r="T26" s="475">
        <f t="shared" si="37"/>
        <v>0</v>
      </c>
      <c r="U26" s="475">
        <f t="shared" si="37"/>
        <v>0</v>
      </c>
      <c r="W26" s="475"/>
      <c r="X26" s="475"/>
      <c r="Y26" s="475"/>
      <c r="Z26" s="475"/>
      <c r="AA26" s="475"/>
      <c r="AB26" s="475"/>
      <c r="AC26" s="475"/>
      <c r="AD26" s="475"/>
    </row>
    <row r="27" spans="1:30" x14ac:dyDescent="0.25">
      <c r="A27" s="10" t="s">
        <v>10</v>
      </c>
      <c r="B27" s="519">
        <f>B25-B26</f>
        <v>1224000000</v>
      </c>
      <c r="C27" s="475">
        <f t="shared" ref="C27:M27" si="38">C25-C26</f>
        <v>1386000000</v>
      </c>
      <c r="D27" s="475">
        <f t="shared" si="38"/>
        <v>1464000000</v>
      </c>
      <c r="E27" s="475">
        <f t="shared" si="38"/>
        <v>1492000000</v>
      </c>
      <c r="F27" s="475">
        <f t="shared" si="38"/>
        <v>1466000000</v>
      </c>
      <c r="G27" s="475">
        <f t="shared" si="38"/>
        <v>1288000000</v>
      </c>
      <c r="H27" s="475">
        <f t="shared" si="38"/>
        <v>1211000000</v>
      </c>
      <c r="I27" s="475">
        <f t="shared" si="38"/>
        <v>1262000000</v>
      </c>
      <c r="J27" s="7">
        <f t="shared" si="38"/>
        <v>1306000000</v>
      </c>
      <c r="K27" s="7">
        <f t="shared" si="38"/>
        <v>1269000000</v>
      </c>
      <c r="L27" s="7">
        <f t="shared" si="38"/>
        <v>1255000000</v>
      </c>
      <c r="M27" s="7">
        <f t="shared" si="38"/>
        <v>1238000000</v>
      </c>
      <c r="P27" s="475">
        <f t="shared" ref="P27" si="39">P25-P26</f>
        <v>1211000000</v>
      </c>
      <c r="Q27" s="475">
        <f t="shared" ref="Q27:AD27" si="40">Q25-Q26</f>
        <v>1262000000</v>
      </c>
      <c r="R27" s="475">
        <f t="shared" si="40"/>
        <v>1306000000</v>
      </c>
      <c r="S27" s="475">
        <f t="shared" si="40"/>
        <v>1269000000</v>
      </c>
      <c r="T27" s="475">
        <f t="shared" si="40"/>
        <v>1255000000</v>
      </c>
      <c r="U27" s="475">
        <f t="shared" si="40"/>
        <v>1238000000</v>
      </c>
      <c r="W27" s="475">
        <f t="shared" si="40"/>
        <v>1224000000</v>
      </c>
      <c r="X27" s="475">
        <f t="shared" si="40"/>
        <v>1386000000</v>
      </c>
      <c r="Y27" s="475">
        <f t="shared" si="40"/>
        <v>1464000000</v>
      </c>
      <c r="Z27" s="475">
        <f t="shared" si="40"/>
        <v>1492000000</v>
      </c>
      <c r="AA27" s="475">
        <f t="shared" si="40"/>
        <v>1466000000</v>
      </c>
      <c r="AB27" s="475">
        <f t="shared" si="40"/>
        <v>1288000000</v>
      </c>
      <c r="AC27" s="475">
        <f t="shared" si="40"/>
        <v>1222000000</v>
      </c>
      <c r="AD27" s="475">
        <f t="shared" si="40"/>
        <v>1253000000</v>
      </c>
    </row>
    <row r="28" spans="1:30" x14ac:dyDescent="0.25">
      <c r="A28" s="10" t="s">
        <v>12</v>
      </c>
      <c r="B28" s="475">
        <f>ROUND(('Sales Forecast'!B19+'Sales Forecast'!B35)*1000000,0)</f>
        <v>486000000</v>
      </c>
      <c r="C28" s="475">
        <f>ROUND(('Sales Forecast'!C19+'Sales Forecast'!C35)*1000000,0)</f>
        <v>601000000</v>
      </c>
      <c r="D28" s="475">
        <f>ROUND(('Sales Forecast'!D19+'Sales Forecast'!D35)*1000000,0)</f>
        <v>704000000</v>
      </c>
      <c r="E28" s="475">
        <f>ROUND(('Sales Forecast'!E19+'Sales Forecast'!E35)*1000000,0)</f>
        <v>727000000</v>
      </c>
      <c r="F28" s="475">
        <f>ROUND(('Sales Forecast'!F19+'Sales Forecast'!F35)*1000000,0)</f>
        <v>704000000</v>
      </c>
      <c r="G28" s="475">
        <f>ROUND(('Sales Forecast'!G19+'Sales Forecast'!G35)*1000000,0)</f>
        <v>561000000</v>
      </c>
      <c r="H28" s="475">
        <f>ROUND(('Sales Forecast'!H19)*1000000,0)</f>
        <v>542000000</v>
      </c>
      <c r="I28" s="475">
        <f>ROUND(('Sales Forecast'!I19)*1000000,0)</f>
        <v>562000000</v>
      </c>
      <c r="J28" s="7">
        <f>ROUND(('Sales Forecast'!J19)*1000000,0)</f>
        <v>593000000</v>
      </c>
      <c r="K28" s="7">
        <f>ROUND(('Sales Forecast'!K19)*1000000,0)</f>
        <v>591000000</v>
      </c>
      <c r="L28" s="7">
        <f>ROUND(('Sales Forecast'!L19)*1000000,0)</f>
        <v>554000000</v>
      </c>
      <c r="M28" s="7">
        <f>ROUND(('Sales Forecast'!M19)*1000000,0)</f>
        <v>522000000</v>
      </c>
      <c r="P28" s="754">
        <f>ROUND(('Sales Forecast'!V19+'Sales Forecast'!V35)*1000000,0)</f>
        <v>448000000</v>
      </c>
      <c r="Q28" s="475">
        <f>ROUND(('Sales Forecast'!W19+'Sales Forecast'!W35)*1000000,0)</f>
        <v>462000000</v>
      </c>
      <c r="R28" s="475">
        <f>ROUND(('Sales Forecast'!X19+'Sales Forecast'!X35)*1000000,0)</f>
        <v>477000000</v>
      </c>
      <c r="S28" s="475">
        <f>ROUND(('Sales Forecast'!Y19+'Sales Forecast'!Y35)*1000000,0)</f>
        <v>482000000</v>
      </c>
      <c r="T28" s="475">
        <f>ROUND(('Sales Forecast'!Z19+'Sales Forecast'!Z35)*1000000,0)</f>
        <v>438000000</v>
      </c>
      <c r="U28" s="475">
        <f>ROUND(('Sales Forecast'!AA19+'Sales Forecast'!AA35)*1000000,0)</f>
        <v>405000000</v>
      </c>
      <c r="W28" s="475">
        <f>ROUND(('Sales Forecast'!AC19+'Sales Forecast'!AC35)*1000000,0)</f>
        <v>382000000</v>
      </c>
      <c r="X28" s="475">
        <f>ROUND(('Sales Forecast'!AD19+'Sales Forecast'!AD35)*1000000,0)</f>
        <v>482000000</v>
      </c>
      <c r="Y28" s="475">
        <f>ROUND(('Sales Forecast'!AE19+'Sales Forecast'!AE35)*1000000,0)</f>
        <v>575000000</v>
      </c>
      <c r="Z28" s="475">
        <f>ROUND(('Sales Forecast'!AF19+'Sales Forecast'!AF35)*1000000,0)</f>
        <v>596000000</v>
      </c>
      <c r="AA28" s="475">
        <f>ROUND(('Sales Forecast'!AG19+'Sales Forecast'!AG35)*1000000,0)</f>
        <v>577000000</v>
      </c>
      <c r="AB28" s="475">
        <f>ROUND(('Sales Forecast'!AH19+'Sales Forecast'!AH35)*1000000,0)</f>
        <v>463000000</v>
      </c>
      <c r="AC28" s="475">
        <f>ROUND(('Sales Forecast'!AI19+'Sales Forecast'!AI35)*1000000,0)</f>
        <v>444000000</v>
      </c>
      <c r="AD28" s="475">
        <f>ROUND(('Sales Forecast'!AJ19+'Sales Forecast'!AJ35)*1000000,0)</f>
        <v>455000000</v>
      </c>
    </row>
    <row r="29" spans="1:30" x14ac:dyDescent="0.25">
      <c r="A29" s="10" t="s">
        <v>11</v>
      </c>
      <c r="B29" s="475">
        <f>'Sales Forecast'!B18*1000000</f>
        <v>104000000</v>
      </c>
      <c r="C29" s="475">
        <f>'Sales Forecast'!C18*1000000</f>
        <v>119000000</v>
      </c>
      <c r="D29" s="475">
        <f>'Sales Forecast'!D18*1000000</f>
        <v>129000000</v>
      </c>
      <c r="E29" s="475">
        <f>'Sales Forecast'!E18*1000000</f>
        <v>131000000</v>
      </c>
      <c r="F29" s="475">
        <f>'Sales Forecast'!F18*1000000</f>
        <v>127000000</v>
      </c>
      <c r="G29" s="475">
        <f>'Sales Forecast'!G18*1000000</f>
        <v>98000000</v>
      </c>
      <c r="H29" s="475">
        <f>'Sales Forecast'!H18*1000000</f>
        <v>94000000</v>
      </c>
      <c r="I29" s="475">
        <f>'Sales Forecast'!I18*1000000</f>
        <v>119000000</v>
      </c>
      <c r="J29" s="7">
        <f>'Sales Forecast'!J18*1000000</f>
        <v>116000000</v>
      </c>
      <c r="K29" s="7">
        <f>'Sales Forecast'!K18*1000000</f>
        <v>109000000</v>
      </c>
      <c r="L29" s="7">
        <f>'Sales Forecast'!L18*1000000</f>
        <v>116000000</v>
      </c>
      <c r="M29" s="7">
        <f>'Sales Forecast'!M18*1000000</f>
        <v>117000000</v>
      </c>
      <c r="P29" s="754">
        <f>'Sales Forecast'!V18*1000000</f>
        <v>94000000</v>
      </c>
      <c r="Q29" s="475">
        <f>'Sales Forecast'!W18*1000000</f>
        <v>119000000</v>
      </c>
      <c r="R29" s="475">
        <f>'Sales Forecast'!X18*1000000</f>
        <v>116000000</v>
      </c>
      <c r="S29" s="475">
        <f>'Sales Forecast'!Y18*1000000</f>
        <v>109000000</v>
      </c>
      <c r="T29" s="475">
        <f>'Sales Forecast'!Z18*1000000</f>
        <v>116000000</v>
      </c>
      <c r="U29" s="475">
        <f>'Sales Forecast'!AA18*1000000</f>
        <v>117000000</v>
      </c>
      <c r="W29" s="475">
        <f>'Sales Forecast'!AC18*1000000</f>
        <v>104000000</v>
      </c>
      <c r="X29" s="475">
        <f>'Sales Forecast'!AD18*1000000</f>
        <v>119000000</v>
      </c>
      <c r="Y29" s="475">
        <f>'Sales Forecast'!AE18*1000000</f>
        <v>129000000</v>
      </c>
      <c r="Z29" s="475">
        <f>'Sales Forecast'!AF18*1000000</f>
        <v>131000000</v>
      </c>
      <c r="AA29" s="475">
        <f>'Sales Forecast'!AG18*1000000</f>
        <v>127000000</v>
      </c>
      <c r="AB29" s="475">
        <f>'Sales Forecast'!AH18*1000000</f>
        <v>98000000</v>
      </c>
      <c r="AC29" s="475">
        <f>'Sales Forecast'!AI18*1000000</f>
        <v>93000000</v>
      </c>
      <c r="AD29" s="475">
        <f>'Sales Forecast'!AJ18*1000000</f>
        <v>117000000</v>
      </c>
    </row>
    <row r="30" spans="1:30" x14ac:dyDescent="0.25">
      <c r="A30" s="10" t="s">
        <v>57</v>
      </c>
      <c r="B30" s="475">
        <f>ROUND('Sales Forecast'!B21*1000000,0)</f>
        <v>8000000</v>
      </c>
      <c r="C30" s="475">
        <f>ROUND('Sales Forecast'!C21*1000000,0)</f>
        <v>9000000</v>
      </c>
      <c r="D30" s="475">
        <f>ROUND('Sales Forecast'!D21*1000000,0)</f>
        <v>10000000</v>
      </c>
      <c r="E30" s="475">
        <f>ROUND('Sales Forecast'!E21*1000000,0)</f>
        <v>11000000</v>
      </c>
      <c r="F30" s="475">
        <f>ROUND('Sales Forecast'!F21*1000000,0)</f>
        <v>8000000</v>
      </c>
      <c r="G30" s="475">
        <f>ROUND('Sales Forecast'!G21*1000000,0)</f>
        <v>8000000</v>
      </c>
      <c r="H30" s="475">
        <f>ROUND('Sales Forecast'!H21*1000000,0)</f>
        <v>9000000</v>
      </c>
      <c r="I30" s="475">
        <f>ROUND('Sales Forecast'!I21*1000000,0)</f>
        <v>18000000</v>
      </c>
      <c r="J30" s="7">
        <f>ROUND('Sales Forecast'!J21*1000000,0)</f>
        <v>22000000</v>
      </c>
      <c r="K30" s="7">
        <f>ROUND('Sales Forecast'!K21*1000000,0)</f>
        <v>29000000</v>
      </c>
      <c r="L30" s="7">
        <f>ROUND('Sales Forecast'!L21*1000000,0)</f>
        <v>21000000</v>
      </c>
      <c r="M30" s="7">
        <f>ROUND('Sales Forecast'!M21*1000000,0)</f>
        <v>16000000</v>
      </c>
      <c r="P30" s="754">
        <f>ROUND('Sales Forecast'!V21*1000000,0)</f>
        <v>9000000</v>
      </c>
      <c r="Q30" s="475">
        <f>ROUND('Sales Forecast'!W21*1000000,0)</f>
        <v>18000000</v>
      </c>
      <c r="R30" s="475">
        <f>ROUND('Sales Forecast'!X21*1000000,0)</f>
        <v>22000000</v>
      </c>
      <c r="S30" s="475">
        <f>ROUND('Sales Forecast'!Y21*1000000,0)</f>
        <v>29000000</v>
      </c>
      <c r="T30" s="475">
        <f>ROUND('Sales Forecast'!Z21*1000000,0)</f>
        <v>21000000</v>
      </c>
      <c r="U30" s="475">
        <f>ROUND('Sales Forecast'!AA21*1000000,0)</f>
        <v>16000000</v>
      </c>
      <c r="W30" s="475">
        <f>ROUND('Sales Forecast'!AC21*1000000,0)</f>
        <v>8000000</v>
      </c>
      <c r="X30" s="475">
        <f>ROUND('Sales Forecast'!AD21*1000000,0)</f>
        <v>9000000</v>
      </c>
      <c r="Y30" s="475">
        <f>ROUND('Sales Forecast'!AE21*1000000,0)</f>
        <v>10000000</v>
      </c>
      <c r="Z30" s="475">
        <f>ROUND('Sales Forecast'!AF21*1000000,0)</f>
        <v>11000000</v>
      </c>
      <c r="AA30" s="475">
        <f>ROUND('Sales Forecast'!AG21*1000000,0)</f>
        <v>8000000</v>
      </c>
      <c r="AB30" s="475">
        <f>ROUND('Sales Forecast'!AH21*1000000,0)</f>
        <v>8000000</v>
      </c>
      <c r="AC30" s="475">
        <f>ROUND('Sales Forecast'!AI21*1000000,0)</f>
        <v>8000000</v>
      </c>
      <c r="AD30" s="475">
        <f>ROUND('Sales Forecast'!AJ21*1000000,0)</f>
        <v>17000000</v>
      </c>
    </row>
    <row r="31" spans="1:30" x14ac:dyDescent="0.25">
      <c r="A31" s="10" t="s">
        <v>13</v>
      </c>
      <c r="B31" s="519">
        <f>ROUND(B30*$D$58,0)</f>
        <v>58568</v>
      </c>
      <c r="C31" s="475">
        <f t="shared" ref="C31:M31" si="41">ROUND(C30*$D$58,0)</f>
        <v>65889</v>
      </c>
      <c r="D31" s="475">
        <f t="shared" si="41"/>
        <v>73210</v>
      </c>
      <c r="E31" s="475">
        <f t="shared" si="41"/>
        <v>80531</v>
      </c>
      <c r="F31" s="475">
        <f t="shared" si="41"/>
        <v>58568</v>
      </c>
      <c r="G31" s="475">
        <f t="shared" si="41"/>
        <v>58568</v>
      </c>
      <c r="H31" s="475">
        <f t="shared" si="41"/>
        <v>65889</v>
      </c>
      <c r="I31" s="475">
        <f t="shared" si="41"/>
        <v>131778</v>
      </c>
      <c r="J31" s="7">
        <f t="shared" si="41"/>
        <v>161062</v>
      </c>
      <c r="K31" s="7">
        <f t="shared" si="41"/>
        <v>212309</v>
      </c>
      <c r="L31" s="7">
        <f t="shared" si="41"/>
        <v>153741</v>
      </c>
      <c r="M31" s="7">
        <f t="shared" si="41"/>
        <v>117136</v>
      </c>
      <c r="P31" s="475">
        <f t="shared" ref="P31" si="42">ROUND(P30*$D$58,0)</f>
        <v>65889</v>
      </c>
      <c r="Q31" s="475">
        <f t="shared" ref="Q31:AD31" si="43">ROUND(Q30*$D$58,0)</f>
        <v>131778</v>
      </c>
      <c r="R31" s="475">
        <f t="shared" si="43"/>
        <v>161062</v>
      </c>
      <c r="S31" s="475">
        <f t="shared" si="43"/>
        <v>212309</v>
      </c>
      <c r="T31" s="475">
        <f t="shared" si="43"/>
        <v>153741</v>
      </c>
      <c r="U31" s="475">
        <f t="shared" si="43"/>
        <v>117136</v>
      </c>
      <c r="W31" s="475">
        <f t="shared" si="43"/>
        <v>58568</v>
      </c>
      <c r="X31" s="475">
        <f t="shared" si="43"/>
        <v>65889</v>
      </c>
      <c r="Y31" s="475">
        <f t="shared" si="43"/>
        <v>73210</v>
      </c>
      <c r="Z31" s="475">
        <f t="shared" si="43"/>
        <v>80531</v>
      </c>
      <c r="AA31" s="475">
        <f t="shared" si="43"/>
        <v>58568</v>
      </c>
      <c r="AB31" s="475">
        <f t="shared" si="43"/>
        <v>58568</v>
      </c>
      <c r="AC31" s="475">
        <f t="shared" si="43"/>
        <v>58568</v>
      </c>
      <c r="AD31" s="475">
        <f t="shared" si="43"/>
        <v>124457</v>
      </c>
    </row>
    <row r="32" spans="1:30" x14ac:dyDescent="0.25">
      <c r="A32" s="10" t="s">
        <v>14</v>
      </c>
      <c r="B32" s="519">
        <f>B30-B31</f>
        <v>7941432</v>
      </c>
      <c r="C32" s="475">
        <f t="shared" ref="C32:M32" si="44">C30-C31</f>
        <v>8934111</v>
      </c>
      <c r="D32" s="475">
        <f t="shared" si="44"/>
        <v>9926790</v>
      </c>
      <c r="E32" s="475">
        <f t="shared" si="44"/>
        <v>10919469</v>
      </c>
      <c r="F32" s="475">
        <f t="shared" si="44"/>
        <v>7941432</v>
      </c>
      <c r="G32" s="475">
        <f t="shared" si="44"/>
        <v>7941432</v>
      </c>
      <c r="H32" s="475">
        <f t="shared" si="44"/>
        <v>8934111</v>
      </c>
      <c r="I32" s="475">
        <f t="shared" si="44"/>
        <v>17868222</v>
      </c>
      <c r="J32" s="7">
        <f t="shared" si="44"/>
        <v>21838938</v>
      </c>
      <c r="K32" s="7">
        <f t="shared" si="44"/>
        <v>28787691</v>
      </c>
      <c r="L32" s="7">
        <f t="shared" si="44"/>
        <v>20846259</v>
      </c>
      <c r="M32" s="7">
        <f t="shared" si="44"/>
        <v>15882864</v>
      </c>
      <c r="P32" s="475">
        <f t="shared" ref="P32" si="45">P30-P31</f>
        <v>8934111</v>
      </c>
      <c r="Q32" s="475">
        <f t="shared" ref="Q32:AD32" si="46">Q30-Q31</f>
        <v>17868222</v>
      </c>
      <c r="R32" s="475">
        <f t="shared" si="46"/>
        <v>21838938</v>
      </c>
      <c r="S32" s="475">
        <f t="shared" si="46"/>
        <v>28787691</v>
      </c>
      <c r="T32" s="475">
        <f t="shared" si="46"/>
        <v>20846259</v>
      </c>
      <c r="U32" s="475">
        <f t="shared" si="46"/>
        <v>15882864</v>
      </c>
      <c r="W32" s="475">
        <f t="shared" si="46"/>
        <v>7941432</v>
      </c>
      <c r="X32" s="475">
        <f t="shared" si="46"/>
        <v>8934111</v>
      </c>
      <c r="Y32" s="475">
        <f t="shared" si="46"/>
        <v>9926790</v>
      </c>
      <c r="Z32" s="475">
        <f t="shared" si="46"/>
        <v>10919469</v>
      </c>
      <c r="AA32" s="475">
        <f t="shared" si="46"/>
        <v>7941432</v>
      </c>
      <c r="AB32" s="475">
        <f t="shared" si="46"/>
        <v>7941432</v>
      </c>
      <c r="AC32" s="475">
        <f t="shared" si="46"/>
        <v>7941432</v>
      </c>
      <c r="AD32" s="475">
        <f t="shared" si="46"/>
        <v>16875543</v>
      </c>
    </row>
    <row r="33" spans="1:30" x14ac:dyDescent="0.25">
      <c r="A33" s="10" t="s">
        <v>15</v>
      </c>
      <c r="B33" s="475">
        <f>$D$60</f>
        <v>0</v>
      </c>
      <c r="C33" s="475">
        <f t="shared" ref="C33:M33" si="47">$D$60</f>
        <v>0</v>
      </c>
      <c r="D33" s="475">
        <f t="shared" si="47"/>
        <v>0</v>
      </c>
      <c r="E33" s="475">
        <f t="shared" si="47"/>
        <v>0</v>
      </c>
      <c r="F33" s="475">
        <f t="shared" si="47"/>
        <v>0</v>
      </c>
      <c r="G33" s="475">
        <f t="shared" si="47"/>
        <v>0</v>
      </c>
      <c r="H33" s="475">
        <f t="shared" si="47"/>
        <v>0</v>
      </c>
      <c r="I33" s="475">
        <f t="shared" si="47"/>
        <v>0</v>
      </c>
      <c r="J33" s="7">
        <f t="shared" si="47"/>
        <v>0</v>
      </c>
      <c r="K33" s="7">
        <f t="shared" si="47"/>
        <v>0</v>
      </c>
      <c r="L33" s="7">
        <f t="shared" si="47"/>
        <v>0</v>
      </c>
      <c r="M33" s="7">
        <f t="shared" si="47"/>
        <v>0</v>
      </c>
      <c r="P33" s="475">
        <f t="shared" ref="P33:AD33" si="48">$D$60</f>
        <v>0</v>
      </c>
      <c r="Q33" s="475">
        <f t="shared" si="48"/>
        <v>0</v>
      </c>
      <c r="R33" s="475">
        <f t="shared" si="48"/>
        <v>0</v>
      </c>
      <c r="S33" s="475">
        <f t="shared" si="48"/>
        <v>0</v>
      </c>
      <c r="T33" s="475">
        <f t="shared" si="48"/>
        <v>0</v>
      </c>
      <c r="U33" s="475">
        <f t="shared" si="48"/>
        <v>0</v>
      </c>
      <c r="W33" s="475">
        <f t="shared" si="48"/>
        <v>0</v>
      </c>
      <c r="X33" s="475">
        <f t="shared" si="48"/>
        <v>0</v>
      </c>
      <c r="Y33" s="475">
        <f t="shared" si="48"/>
        <v>0</v>
      </c>
      <c r="Z33" s="475">
        <f t="shared" si="48"/>
        <v>0</v>
      </c>
      <c r="AA33" s="475">
        <f t="shared" si="48"/>
        <v>0</v>
      </c>
      <c r="AB33" s="475">
        <f t="shared" si="48"/>
        <v>0</v>
      </c>
      <c r="AC33" s="475">
        <f t="shared" si="48"/>
        <v>0</v>
      </c>
      <c r="AD33" s="475">
        <f t="shared" si="48"/>
        <v>0</v>
      </c>
    </row>
    <row r="34" spans="1:30" x14ac:dyDescent="0.25">
      <c r="A34" s="10" t="s">
        <v>16</v>
      </c>
      <c r="B34" s="7">
        <f>ROUND('Sales Forecast'!B23*1000000,0)</f>
        <v>10000000</v>
      </c>
      <c r="C34" s="7">
        <f>ROUND('Sales Forecast'!C23*1000000,0)</f>
        <v>12000000</v>
      </c>
      <c r="D34" s="7">
        <f>ROUND('Sales Forecast'!D23*1000000,0)</f>
        <v>11000000</v>
      </c>
      <c r="E34" s="7">
        <f>ROUND('Sales Forecast'!E23*1000000,0)</f>
        <v>12000000</v>
      </c>
      <c r="F34" s="7">
        <f>ROUND('Sales Forecast'!F23*1000000,0)</f>
        <v>11000000</v>
      </c>
      <c r="G34" s="7">
        <f>ROUND('Sales Forecast'!G23*1000000,0)</f>
        <v>8000000</v>
      </c>
      <c r="H34" s="7">
        <f>ROUND('Sales Forecast'!H23*1000000,0)</f>
        <v>10000000</v>
      </c>
      <c r="I34" s="7">
        <f>ROUND('Sales Forecast'!I23*1000000,0)</f>
        <v>12000000</v>
      </c>
      <c r="J34" s="7">
        <f>ROUND('Sales Forecast'!J23*1000000,0)</f>
        <v>15000000</v>
      </c>
      <c r="K34" s="7">
        <f>ROUND('Sales Forecast'!K23*1000000,0)</f>
        <v>15000000</v>
      </c>
      <c r="L34" s="7">
        <f>ROUND('Sales Forecast'!L23*1000000,0)</f>
        <v>12000000</v>
      </c>
      <c r="M34" s="7">
        <f>ROUND('Sales Forecast'!M23*1000000,0)</f>
        <v>11000000</v>
      </c>
      <c r="P34" s="754">
        <f>ROUND('Sales Forecast'!V23*1000000,0)</f>
        <v>10000000</v>
      </c>
      <c r="Q34" s="7">
        <f>ROUND('Sales Forecast'!W23*1000000,0)</f>
        <v>12000000</v>
      </c>
      <c r="R34" s="7">
        <f>ROUND('Sales Forecast'!X23*1000000,0)</f>
        <v>15000000</v>
      </c>
      <c r="S34" s="7">
        <f>ROUND('Sales Forecast'!Y23*1000000,0)</f>
        <v>15000000</v>
      </c>
      <c r="T34" s="7">
        <f>ROUND('Sales Forecast'!Z23*1000000,0)</f>
        <v>12000000</v>
      </c>
      <c r="U34" s="7">
        <f>ROUND('Sales Forecast'!AA23*1000000,0)</f>
        <v>11000000</v>
      </c>
      <c r="W34" s="7">
        <f>ROUND('Sales Forecast'!AC23*1000000,0)</f>
        <v>10000000</v>
      </c>
      <c r="X34" s="7">
        <f>ROUND('Sales Forecast'!AD23*1000000,0)</f>
        <v>12000000</v>
      </c>
      <c r="Y34" s="7">
        <f>ROUND('Sales Forecast'!AE23*1000000,0)</f>
        <v>11000000</v>
      </c>
      <c r="Z34" s="7">
        <f>ROUND('Sales Forecast'!AF23*1000000,0)</f>
        <v>12000000</v>
      </c>
      <c r="AA34" s="7">
        <f>ROUND('Sales Forecast'!AG23*1000000,0)</f>
        <v>11000000</v>
      </c>
      <c r="AB34" s="7">
        <f>ROUND('Sales Forecast'!AH23*1000000,0)</f>
        <v>8000000</v>
      </c>
      <c r="AC34" s="7">
        <f>ROUND('Sales Forecast'!AI23*1000000,0)</f>
        <v>10000000</v>
      </c>
      <c r="AD34" s="7">
        <f>ROUND('Sales Forecast'!AJ23*1000000,0)</f>
        <v>12000000</v>
      </c>
    </row>
    <row r="35" spans="1:30" x14ac:dyDescent="0.25">
      <c r="A35" s="10" t="s">
        <v>17</v>
      </c>
      <c r="B35" s="7">
        <f>ROUND('Sales Forecast'!B24*1000000,0)</f>
        <v>1082567</v>
      </c>
      <c r="C35" s="7">
        <f>ROUND('Sales Forecast'!C24*1000000,0)</f>
        <v>1082567</v>
      </c>
      <c r="D35" s="7">
        <f>ROUND('Sales Forecast'!D24*1000000,0)</f>
        <v>1082567</v>
      </c>
      <c r="E35" s="7">
        <f>ROUND('Sales Forecast'!E24*1000000,0)</f>
        <v>1082567</v>
      </c>
      <c r="F35" s="7">
        <f>ROUND('Sales Forecast'!F24*1000000,0)</f>
        <v>1082567</v>
      </c>
      <c r="G35" s="7">
        <f>ROUND('Sales Forecast'!G24*1000000,0)</f>
        <v>1082567</v>
      </c>
      <c r="H35" s="7">
        <f>ROUND('Sales Forecast'!H24*1000000,0)</f>
        <v>1082567</v>
      </c>
      <c r="I35" s="7">
        <f>ROUND('Sales Forecast'!I24*1000000,0)</f>
        <v>1082567</v>
      </c>
      <c r="J35" s="7">
        <f>ROUND('Sales Forecast'!J24*1000000,0)</f>
        <v>1082567</v>
      </c>
      <c r="K35" s="7">
        <f>ROUND('Sales Forecast'!K24*1000000,0)</f>
        <v>1082567</v>
      </c>
      <c r="L35" s="7">
        <f>ROUND('Sales Forecast'!L24*1000000,0)</f>
        <v>1082567</v>
      </c>
      <c r="M35" s="7">
        <f>ROUND('Sales Forecast'!M24*1000000,0)</f>
        <v>1082567</v>
      </c>
      <c r="P35" s="754">
        <f>ROUND('Sales Forecast'!V24*1000000,0)</f>
        <v>1082567</v>
      </c>
      <c r="Q35" s="7">
        <f>ROUND('Sales Forecast'!W24*1000000,0)</f>
        <v>1082567</v>
      </c>
      <c r="R35" s="7">
        <f>ROUND('Sales Forecast'!X24*1000000,0)</f>
        <v>1082567</v>
      </c>
      <c r="S35" s="7">
        <f>ROUND('Sales Forecast'!Y24*1000000,0)</f>
        <v>1082567</v>
      </c>
      <c r="T35" s="7">
        <f>ROUND('Sales Forecast'!Z24*1000000,0)</f>
        <v>1082567</v>
      </c>
      <c r="U35" s="7">
        <f>ROUND('Sales Forecast'!AA24*1000000,0)</f>
        <v>1082567</v>
      </c>
      <c r="W35" s="7">
        <f>ROUND('Sales Forecast'!AC24*1000000,0)</f>
        <v>1082567</v>
      </c>
      <c r="X35" s="7">
        <f>ROUND('Sales Forecast'!AD24*1000000,0)</f>
        <v>1082567</v>
      </c>
      <c r="Y35" s="7">
        <f>ROUND('Sales Forecast'!AE24*1000000,0)</f>
        <v>1082567</v>
      </c>
      <c r="Z35" s="7">
        <f>ROUND('Sales Forecast'!AF24*1000000,0)</f>
        <v>1082567</v>
      </c>
      <c r="AA35" s="7">
        <f>ROUND('Sales Forecast'!AG24*1000000,0)</f>
        <v>1082567</v>
      </c>
      <c r="AB35" s="7">
        <f>ROUND('Sales Forecast'!AH24*1000000,0)</f>
        <v>1082567</v>
      </c>
      <c r="AC35" s="7">
        <f>ROUND('Sales Forecast'!AI24*1000000,0)</f>
        <v>1082567</v>
      </c>
      <c r="AD35" s="7">
        <f>ROUND('Sales Forecast'!AJ24*1000000,0)</f>
        <v>1082567</v>
      </c>
    </row>
    <row r="36" spans="1:30" x14ac:dyDescent="0.25">
      <c r="A36" s="10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P36" s="7"/>
      <c r="Q36" s="7"/>
      <c r="R36" s="7"/>
      <c r="S36" s="7"/>
      <c r="T36" s="7"/>
      <c r="U36" s="7"/>
      <c r="W36" s="475"/>
      <c r="X36" s="475"/>
      <c r="Y36" s="475"/>
      <c r="Z36" s="475"/>
      <c r="AA36" s="475"/>
      <c r="AB36" s="475"/>
      <c r="AC36" s="475"/>
      <c r="AD36" s="475"/>
    </row>
    <row r="37" spans="1:30" x14ac:dyDescent="0.25">
      <c r="A37" s="10" t="s">
        <v>20</v>
      </c>
      <c r="B37" s="519">
        <f t="shared" ref="B37:M37" si="49">ROUND(B39*$D$74,0)</f>
        <v>1675901</v>
      </c>
      <c r="C37" s="7">
        <f t="shared" si="49"/>
        <v>2121246</v>
      </c>
      <c r="D37" s="7">
        <f t="shared" si="49"/>
        <v>3062720</v>
      </c>
      <c r="E37" s="7">
        <f t="shared" si="49"/>
        <v>3177962</v>
      </c>
      <c r="F37" s="7">
        <f t="shared" si="49"/>
        <v>2828328</v>
      </c>
      <c r="G37" s="7">
        <f t="shared" si="49"/>
        <v>2050928</v>
      </c>
      <c r="H37" s="7">
        <f t="shared" si="49"/>
        <v>1859508</v>
      </c>
      <c r="I37" s="7">
        <f t="shared" si="49"/>
        <v>2089994</v>
      </c>
      <c r="J37" s="7">
        <f t="shared" si="49"/>
        <v>2181797</v>
      </c>
      <c r="K37" s="7">
        <f t="shared" si="49"/>
        <v>2072414</v>
      </c>
      <c r="L37" s="7">
        <f t="shared" si="49"/>
        <v>1922013</v>
      </c>
      <c r="M37" s="7">
        <f t="shared" si="49"/>
        <v>1695434</v>
      </c>
      <c r="P37" s="7">
        <f t="shared" ref="P37" si="50">ROUND(P39*$D$74,0)</f>
        <v>1859508</v>
      </c>
      <c r="Q37" s="7">
        <f t="shared" ref="Q37:AD37" si="51">ROUND(Q39*$D$74,0)</f>
        <v>2089994</v>
      </c>
      <c r="R37" s="7">
        <f t="shared" si="51"/>
        <v>2181797</v>
      </c>
      <c r="S37" s="7">
        <f t="shared" si="51"/>
        <v>2072414</v>
      </c>
      <c r="T37" s="7">
        <f t="shared" si="51"/>
        <v>1922013</v>
      </c>
      <c r="U37" s="7">
        <f t="shared" si="51"/>
        <v>1695434</v>
      </c>
      <c r="W37" s="7">
        <f t="shared" si="51"/>
        <v>1675901</v>
      </c>
      <c r="X37" s="7">
        <f t="shared" si="51"/>
        <v>2121246</v>
      </c>
      <c r="Y37" s="7">
        <f t="shared" si="51"/>
        <v>3062720</v>
      </c>
      <c r="Z37" s="7">
        <f t="shared" si="51"/>
        <v>3177962</v>
      </c>
      <c r="AA37" s="7">
        <f t="shared" si="51"/>
        <v>2828328</v>
      </c>
      <c r="AB37" s="7">
        <f t="shared" si="51"/>
        <v>2050928</v>
      </c>
      <c r="AC37" s="7">
        <f t="shared" si="51"/>
        <v>1834116</v>
      </c>
      <c r="AD37" s="7">
        <f t="shared" si="51"/>
        <v>2035302</v>
      </c>
    </row>
    <row r="38" spans="1:30" x14ac:dyDescent="0.25">
      <c r="A38" s="10" t="s">
        <v>21</v>
      </c>
      <c r="B38" s="519">
        <f>B39-B37</f>
        <v>2573773</v>
      </c>
      <c r="C38" s="7">
        <f t="shared" ref="C38:M38" si="52">C39-C37</f>
        <v>3257712</v>
      </c>
      <c r="D38" s="7">
        <f t="shared" si="52"/>
        <v>4703584</v>
      </c>
      <c r="E38" s="7">
        <f t="shared" si="52"/>
        <v>4880569</v>
      </c>
      <c r="F38" s="7">
        <f t="shared" si="52"/>
        <v>4343616</v>
      </c>
      <c r="G38" s="7">
        <f t="shared" si="52"/>
        <v>3149722</v>
      </c>
      <c r="H38" s="7">
        <f t="shared" si="52"/>
        <v>2855748</v>
      </c>
      <c r="I38" s="7">
        <f t="shared" si="52"/>
        <v>3209716</v>
      </c>
      <c r="J38" s="7">
        <f t="shared" si="52"/>
        <v>3350704</v>
      </c>
      <c r="K38" s="7">
        <f t="shared" si="52"/>
        <v>3182719</v>
      </c>
      <c r="L38" s="7">
        <f t="shared" si="52"/>
        <v>2951739</v>
      </c>
      <c r="M38" s="7">
        <f t="shared" si="52"/>
        <v>2603770</v>
      </c>
      <c r="P38" s="7">
        <f t="shared" ref="P38" si="53">P39-P37</f>
        <v>2855748</v>
      </c>
      <c r="Q38" s="7">
        <f t="shared" ref="Q38:AD38" si="54">Q39-Q37</f>
        <v>3209716</v>
      </c>
      <c r="R38" s="7">
        <f t="shared" si="54"/>
        <v>3350704</v>
      </c>
      <c r="S38" s="7">
        <f t="shared" si="54"/>
        <v>3182719</v>
      </c>
      <c r="T38" s="7">
        <f t="shared" si="54"/>
        <v>2951739</v>
      </c>
      <c r="U38" s="7">
        <f t="shared" si="54"/>
        <v>2603770</v>
      </c>
      <c r="W38" s="7">
        <f t="shared" si="54"/>
        <v>2573773</v>
      </c>
      <c r="X38" s="7">
        <f t="shared" si="54"/>
        <v>3257712</v>
      </c>
      <c r="Y38" s="7">
        <f t="shared" si="54"/>
        <v>4703584</v>
      </c>
      <c r="Z38" s="7">
        <f t="shared" si="54"/>
        <v>4880569</v>
      </c>
      <c r="AA38" s="7">
        <f t="shared" si="54"/>
        <v>4343616</v>
      </c>
      <c r="AB38" s="7">
        <f t="shared" si="54"/>
        <v>3149722</v>
      </c>
      <c r="AC38" s="7">
        <f t="shared" si="54"/>
        <v>2816751</v>
      </c>
      <c r="AD38" s="7">
        <f t="shared" si="54"/>
        <v>3125724</v>
      </c>
    </row>
    <row r="39" spans="1:30" x14ac:dyDescent="0.25">
      <c r="A39" s="10" t="s">
        <v>22</v>
      </c>
      <c r="B39" s="7">
        <f t="shared" ref="B39:M39" si="55">B7</f>
        <v>4249674</v>
      </c>
      <c r="C39" s="7">
        <f t="shared" si="55"/>
        <v>5378958</v>
      </c>
      <c r="D39" s="7">
        <f t="shared" si="55"/>
        <v>7766304</v>
      </c>
      <c r="E39" s="7">
        <f t="shared" si="55"/>
        <v>8058531</v>
      </c>
      <c r="F39" s="7">
        <f t="shared" si="55"/>
        <v>7171944</v>
      </c>
      <c r="G39" s="7">
        <f t="shared" si="55"/>
        <v>5200650</v>
      </c>
      <c r="H39" s="7">
        <f t="shared" si="55"/>
        <v>4715256</v>
      </c>
      <c r="I39" s="7">
        <f t="shared" si="55"/>
        <v>5299710</v>
      </c>
      <c r="J39" s="7">
        <f t="shared" si="55"/>
        <v>5532501</v>
      </c>
      <c r="K39" s="7">
        <f t="shared" si="55"/>
        <v>5255133</v>
      </c>
      <c r="L39" s="7">
        <f t="shared" si="55"/>
        <v>4873752</v>
      </c>
      <c r="M39" s="7">
        <f t="shared" si="55"/>
        <v>4299204</v>
      </c>
      <c r="P39" s="7">
        <f t="shared" ref="P39" si="56">P7</f>
        <v>4715256</v>
      </c>
      <c r="Q39" s="7">
        <f t="shared" ref="Q39:T39" si="57">Q7</f>
        <v>5299710</v>
      </c>
      <c r="R39" s="7">
        <f t="shared" si="57"/>
        <v>5532501</v>
      </c>
      <c r="S39" s="7">
        <f t="shared" si="57"/>
        <v>5255133</v>
      </c>
      <c r="T39" s="7">
        <f t="shared" si="57"/>
        <v>4873752</v>
      </c>
      <c r="U39" s="7">
        <f>U7</f>
        <v>4299204</v>
      </c>
      <c r="W39" s="7">
        <f t="shared" ref="W39:AD39" si="58">W7</f>
        <v>4249674</v>
      </c>
      <c r="X39" s="7">
        <f t="shared" si="58"/>
        <v>5378958</v>
      </c>
      <c r="Y39" s="7">
        <f t="shared" si="58"/>
        <v>7766304</v>
      </c>
      <c r="Z39" s="7">
        <f t="shared" si="58"/>
        <v>8058531</v>
      </c>
      <c r="AA39" s="7">
        <f t="shared" si="58"/>
        <v>7171944</v>
      </c>
      <c r="AB39" s="7">
        <f t="shared" si="58"/>
        <v>5200650</v>
      </c>
      <c r="AC39" s="7">
        <f t="shared" si="58"/>
        <v>4650867</v>
      </c>
      <c r="AD39" s="7">
        <f t="shared" si="58"/>
        <v>5161026</v>
      </c>
    </row>
    <row r="40" spans="1:30" x14ac:dyDescent="0.25">
      <c r="A40" s="10" t="s">
        <v>23</v>
      </c>
      <c r="B40" s="519">
        <f>ROUND(B14*$D$82,0)</f>
        <v>3519659</v>
      </c>
      <c r="C40" s="7">
        <f t="shared" ref="C40:M40" si="59">ROUND(C14*$D$82,0)</f>
        <v>3819630</v>
      </c>
      <c r="D40" s="7">
        <f t="shared" si="59"/>
        <v>4159597</v>
      </c>
      <c r="E40" s="7">
        <f t="shared" si="59"/>
        <v>4359578</v>
      </c>
      <c r="F40" s="7">
        <f t="shared" si="59"/>
        <v>4139599</v>
      </c>
      <c r="G40" s="7">
        <f t="shared" si="59"/>
        <v>3639648</v>
      </c>
      <c r="H40" s="7">
        <f t="shared" si="59"/>
        <v>3479663</v>
      </c>
      <c r="I40" s="7">
        <f t="shared" si="59"/>
        <v>3899622</v>
      </c>
      <c r="J40" s="7">
        <f t="shared" si="59"/>
        <v>4499564</v>
      </c>
      <c r="K40" s="7">
        <f t="shared" si="59"/>
        <v>4699545</v>
      </c>
      <c r="L40" s="7">
        <f t="shared" si="59"/>
        <v>4319582</v>
      </c>
      <c r="M40" s="7">
        <f t="shared" si="59"/>
        <v>3859626</v>
      </c>
      <c r="P40" s="7">
        <f t="shared" ref="P40" si="60">ROUND(P14*$D$82,0)</f>
        <v>3479663</v>
      </c>
      <c r="Q40" s="7">
        <f t="shared" ref="Q40:AD40" si="61">ROUND(Q14*$D$82,0)</f>
        <v>3899622</v>
      </c>
      <c r="R40" s="7">
        <f t="shared" si="61"/>
        <v>4499564</v>
      </c>
      <c r="S40" s="7">
        <f t="shared" si="61"/>
        <v>4699545</v>
      </c>
      <c r="T40" s="7">
        <f t="shared" si="61"/>
        <v>4319582</v>
      </c>
      <c r="U40" s="7">
        <f t="shared" si="61"/>
        <v>3859626</v>
      </c>
      <c r="W40" s="7">
        <f t="shared" si="61"/>
        <v>3519659</v>
      </c>
      <c r="X40" s="7">
        <f t="shared" si="61"/>
        <v>3739638</v>
      </c>
      <c r="Y40" s="7">
        <f t="shared" si="61"/>
        <v>4219591</v>
      </c>
      <c r="Z40" s="7">
        <f t="shared" si="61"/>
        <v>4399574</v>
      </c>
      <c r="AA40" s="7">
        <f t="shared" si="61"/>
        <v>4199593</v>
      </c>
      <c r="AB40" s="7">
        <f t="shared" si="61"/>
        <v>3579653</v>
      </c>
      <c r="AC40" s="7">
        <f t="shared" si="61"/>
        <v>3539657</v>
      </c>
      <c r="AD40" s="7">
        <f t="shared" si="61"/>
        <v>3919620</v>
      </c>
    </row>
    <row r="41" spans="1:30" x14ac:dyDescent="0.25">
      <c r="A41" s="10" t="s">
        <v>24</v>
      </c>
      <c r="B41" s="519">
        <f>B42-B40</f>
        <v>4659413</v>
      </c>
      <c r="C41" s="7">
        <f t="shared" ref="C41:M41" si="62">C42-C40</f>
        <v>5056522</v>
      </c>
      <c r="D41" s="7">
        <f t="shared" si="62"/>
        <v>5506579</v>
      </c>
      <c r="E41" s="7">
        <f t="shared" si="62"/>
        <v>5771318</v>
      </c>
      <c r="F41" s="7">
        <f t="shared" si="62"/>
        <v>5480105</v>
      </c>
      <c r="G41" s="7">
        <f t="shared" si="62"/>
        <v>4818256</v>
      </c>
      <c r="H41" s="7">
        <f t="shared" si="62"/>
        <v>4606465</v>
      </c>
      <c r="I41" s="7">
        <f t="shared" si="62"/>
        <v>5162418</v>
      </c>
      <c r="J41" s="7">
        <f t="shared" si="62"/>
        <v>5956636</v>
      </c>
      <c r="K41" s="7">
        <f t="shared" si="62"/>
        <v>6221375</v>
      </c>
      <c r="L41" s="7">
        <f t="shared" si="62"/>
        <v>5718370</v>
      </c>
      <c r="M41" s="7">
        <f t="shared" si="62"/>
        <v>5109470</v>
      </c>
      <c r="P41" s="7">
        <f t="shared" ref="P41" si="63">P42-P40</f>
        <v>4606465</v>
      </c>
      <c r="Q41" s="7">
        <f t="shared" ref="Q41:AD41" si="64">Q42-Q40</f>
        <v>5162418</v>
      </c>
      <c r="R41" s="7">
        <f t="shared" si="64"/>
        <v>5956636</v>
      </c>
      <c r="S41" s="7">
        <f t="shared" si="64"/>
        <v>6221375</v>
      </c>
      <c r="T41" s="7">
        <f t="shared" si="64"/>
        <v>5718370</v>
      </c>
      <c r="U41" s="7">
        <f t="shared" si="64"/>
        <v>5109470</v>
      </c>
      <c r="W41" s="7">
        <f t="shared" si="64"/>
        <v>4659413</v>
      </c>
      <c r="X41" s="7">
        <f t="shared" si="64"/>
        <v>4950626</v>
      </c>
      <c r="Y41" s="7">
        <f t="shared" si="64"/>
        <v>5586001</v>
      </c>
      <c r="Z41" s="7">
        <f t="shared" si="64"/>
        <v>5824266</v>
      </c>
      <c r="AA41" s="7">
        <f t="shared" si="64"/>
        <v>5559527</v>
      </c>
      <c r="AB41" s="7">
        <f t="shared" si="64"/>
        <v>4738835</v>
      </c>
      <c r="AC41" s="7">
        <f t="shared" si="64"/>
        <v>4685887</v>
      </c>
      <c r="AD41" s="7">
        <f t="shared" si="64"/>
        <v>5188892</v>
      </c>
    </row>
    <row r="42" spans="1:30" x14ac:dyDescent="0.25">
      <c r="A42" s="10" t="s">
        <v>25</v>
      </c>
      <c r="B42" s="7">
        <f>B14</f>
        <v>8179072</v>
      </c>
      <c r="C42" s="7">
        <f t="shared" ref="C42:M42" si="65">C14</f>
        <v>8876152</v>
      </c>
      <c r="D42" s="7">
        <f t="shared" si="65"/>
        <v>9666176</v>
      </c>
      <c r="E42" s="7">
        <f t="shared" si="65"/>
        <v>10130896</v>
      </c>
      <c r="F42" s="7">
        <f t="shared" si="65"/>
        <v>9619704</v>
      </c>
      <c r="G42" s="7">
        <f t="shared" si="65"/>
        <v>8457904</v>
      </c>
      <c r="H42" s="7">
        <f t="shared" si="65"/>
        <v>8086128</v>
      </c>
      <c r="I42" s="7">
        <f t="shared" si="65"/>
        <v>9062040</v>
      </c>
      <c r="J42" s="7">
        <f t="shared" si="65"/>
        <v>10456200</v>
      </c>
      <c r="K42" s="7">
        <f t="shared" si="65"/>
        <v>10920920</v>
      </c>
      <c r="L42" s="7">
        <f t="shared" si="65"/>
        <v>10037952</v>
      </c>
      <c r="M42" s="7">
        <f t="shared" si="65"/>
        <v>8969096</v>
      </c>
      <c r="P42" s="7">
        <f t="shared" ref="P42" si="66">P14</f>
        <v>8086128</v>
      </c>
      <c r="Q42" s="7">
        <f t="shared" ref="Q42:AD42" si="67">Q14</f>
        <v>9062040</v>
      </c>
      <c r="R42" s="7">
        <f t="shared" si="67"/>
        <v>10456200</v>
      </c>
      <c r="S42" s="7">
        <f t="shared" si="67"/>
        <v>10920920</v>
      </c>
      <c r="T42" s="7">
        <f t="shared" si="67"/>
        <v>10037952</v>
      </c>
      <c r="U42" s="7">
        <f t="shared" si="67"/>
        <v>8969096</v>
      </c>
      <c r="W42" s="7">
        <f t="shared" si="67"/>
        <v>8179072</v>
      </c>
      <c r="X42" s="7">
        <f t="shared" si="67"/>
        <v>8690264</v>
      </c>
      <c r="Y42" s="7">
        <f t="shared" si="67"/>
        <v>9805592</v>
      </c>
      <c r="Z42" s="7">
        <f t="shared" si="67"/>
        <v>10223840</v>
      </c>
      <c r="AA42" s="7">
        <f t="shared" si="67"/>
        <v>9759120</v>
      </c>
      <c r="AB42" s="7">
        <f t="shared" si="67"/>
        <v>8318488</v>
      </c>
      <c r="AC42" s="7">
        <f t="shared" si="67"/>
        <v>8225544</v>
      </c>
      <c r="AD42" s="7">
        <f t="shared" si="67"/>
        <v>9108512</v>
      </c>
    </row>
    <row r="43" spans="1:30" hidden="1" x14ac:dyDescent="0.25">
      <c r="A43" s="10" t="s">
        <v>26</v>
      </c>
      <c r="B43" s="7" t="e">
        <f>ROUND(B45*$D$90,0)</f>
        <v>#DIV/0!</v>
      </c>
      <c r="C43" s="7" t="e">
        <f t="shared" ref="C43:M43" si="68">ROUND(C45*$D$90,0)</f>
        <v>#DIV/0!</v>
      </c>
      <c r="D43" s="7" t="e">
        <f t="shared" si="68"/>
        <v>#DIV/0!</v>
      </c>
      <c r="E43" s="7" t="e">
        <f t="shared" si="68"/>
        <v>#DIV/0!</v>
      </c>
      <c r="F43" s="7" t="e">
        <f t="shared" si="68"/>
        <v>#DIV/0!</v>
      </c>
      <c r="G43" s="7" t="e">
        <f t="shared" si="68"/>
        <v>#DIV/0!</v>
      </c>
      <c r="H43" s="7" t="e">
        <f t="shared" si="68"/>
        <v>#DIV/0!</v>
      </c>
      <c r="I43" s="7" t="e">
        <f t="shared" si="68"/>
        <v>#DIV/0!</v>
      </c>
      <c r="J43" s="7" t="e">
        <f t="shared" si="68"/>
        <v>#DIV/0!</v>
      </c>
      <c r="K43" s="7" t="e">
        <f t="shared" si="68"/>
        <v>#DIV/0!</v>
      </c>
      <c r="L43" s="7" t="e">
        <f t="shared" si="68"/>
        <v>#DIV/0!</v>
      </c>
      <c r="M43" s="7" t="e">
        <f t="shared" si="68"/>
        <v>#DIV/0!</v>
      </c>
      <c r="P43" s="7" t="e">
        <f t="shared" ref="P43" si="69">ROUND(P45*$D$90,0)</f>
        <v>#DIV/0!</v>
      </c>
      <c r="Q43" s="7" t="e">
        <f t="shared" ref="Q43:U43" si="70">ROUND(Q45*$D$90,0)</f>
        <v>#DIV/0!</v>
      </c>
      <c r="R43" s="7" t="e">
        <f t="shared" si="70"/>
        <v>#DIV/0!</v>
      </c>
      <c r="S43" s="7" t="e">
        <f t="shared" si="70"/>
        <v>#DIV/0!</v>
      </c>
      <c r="T43" s="7" t="e">
        <f t="shared" si="70"/>
        <v>#DIV/0!</v>
      </c>
      <c r="U43" s="7" t="e">
        <f t="shared" si="70"/>
        <v>#DIV/0!</v>
      </c>
    </row>
    <row r="44" spans="1:30" hidden="1" x14ac:dyDescent="0.25">
      <c r="A44" s="10" t="s">
        <v>27</v>
      </c>
      <c r="B44" s="7" t="e">
        <f>B45-B43</f>
        <v>#DIV/0!</v>
      </c>
      <c r="C44" s="7" t="e">
        <f t="shared" ref="C44:M44" si="71">C45-C43</f>
        <v>#DIV/0!</v>
      </c>
      <c r="D44" s="7" t="e">
        <f t="shared" si="71"/>
        <v>#DIV/0!</v>
      </c>
      <c r="E44" s="7" t="e">
        <f t="shared" si="71"/>
        <v>#DIV/0!</v>
      </c>
      <c r="F44" s="7" t="e">
        <f t="shared" si="71"/>
        <v>#DIV/0!</v>
      </c>
      <c r="G44" s="7" t="e">
        <f t="shared" si="71"/>
        <v>#DIV/0!</v>
      </c>
      <c r="H44" s="7" t="e">
        <f t="shared" si="71"/>
        <v>#DIV/0!</v>
      </c>
      <c r="I44" s="7" t="e">
        <f t="shared" si="71"/>
        <v>#DIV/0!</v>
      </c>
      <c r="J44" s="7" t="e">
        <f t="shared" si="71"/>
        <v>#DIV/0!</v>
      </c>
      <c r="K44" s="7" t="e">
        <f t="shared" si="71"/>
        <v>#DIV/0!</v>
      </c>
      <c r="L44" s="7" t="e">
        <f t="shared" si="71"/>
        <v>#DIV/0!</v>
      </c>
      <c r="M44" s="7" t="e">
        <f t="shared" si="71"/>
        <v>#DIV/0!</v>
      </c>
      <c r="P44" s="7" t="e">
        <f t="shared" ref="P44" si="72">P45-P43</f>
        <v>#DIV/0!</v>
      </c>
      <c r="Q44" s="7" t="e">
        <f t="shared" ref="Q44:U44" si="73">Q45-Q43</f>
        <v>#DIV/0!</v>
      </c>
      <c r="R44" s="7" t="e">
        <f t="shared" si="73"/>
        <v>#DIV/0!</v>
      </c>
      <c r="S44" s="7" t="e">
        <f t="shared" si="73"/>
        <v>#DIV/0!</v>
      </c>
      <c r="T44" s="7" t="e">
        <f t="shared" si="73"/>
        <v>#DIV/0!</v>
      </c>
      <c r="U44" s="7" t="e">
        <f t="shared" si="73"/>
        <v>#DIV/0!</v>
      </c>
    </row>
    <row r="45" spans="1:30" hidden="1" x14ac:dyDescent="0.25">
      <c r="A45" s="10" t="s">
        <v>28</v>
      </c>
      <c r="B45" s="7" t="e">
        <f>B20</f>
        <v>#DIV/0!</v>
      </c>
      <c r="C45" s="7" t="e">
        <f t="shared" ref="C45:M45" si="74">C20</f>
        <v>#DIV/0!</v>
      </c>
      <c r="D45" s="7" t="e">
        <f t="shared" si="74"/>
        <v>#DIV/0!</v>
      </c>
      <c r="E45" s="7" t="e">
        <f t="shared" si="74"/>
        <v>#DIV/0!</v>
      </c>
      <c r="F45" s="7" t="e">
        <f t="shared" si="74"/>
        <v>#DIV/0!</v>
      </c>
      <c r="G45" s="7" t="e">
        <f t="shared" si="74"/>
        <v>#DIV/0!</v>
      </c>
      <c r="H45" s="7" t="e">
        <f t="shared" si="74"/>
        <v>#DIV/0!</v>
      </c>
      <c r="I45" s="7" t="e">
        <f t="shared" si="74"/>
        <v>#DIV/0!</v>
      </c>
      <c r="J45" s="7" t="e">
        <f t="shared" si="74"/>
        <v>#DIV/0!</v>
      </c>
      <c r="K45" s="7" t="e">
        <f t="shared" si="74"/>
        <v>#DIV/0!</v>
      </c>
      <c r="L45" s="7" t="e">
        <f t="shared" si="74"/>
        <v>#DIV/0!</v>
      </c>
      <c r="M45" s="7" t="e">
        <f t="shared" si="74"/>
        <v>#DIV/0!</v>
      </c>
      <c r="P45" s="7" t="e">
        <f t="shared" ref="P45" si="75">P20</f>
        <v>#DIV/0!</v>
      </c>
      <c r="Q45" s="7" t="e">
        <f t="shared" ref="Q45:U45" si="76">Q20</f>
        <v>#DIV/0!</v>
      </c>
      <c r="R45" s="7" t="e">
        <f t="shared" si="76"/>
        <v>#DIV/0!</v>
      </c>
      <c r="S45" s="7" t="e">
        <f t="shared" si="76"/>
        <v>#DIV/0!</v>
      </c>
      <c r="T45" s="7" t="e">
        <f t="shared" si="76"/>
        <v>#DIV/0!</v>
      </c>
      <c r="U45" s="7" t="e">
        <f t="shared" si="76"/>
        <v>#DIV/0!</v>
      </c>
    </row>
    <row r="46" spans="1:30" x14ac:dyDescent="0.25">
      <c r="A46" s="10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P46" s="7"/>
      <c r="Q46" s="7"/>
      <c r="R46" s="7"/>
      <c r="S46" s="7"/>
      <c r="T46" s="7"/>
      <c r="U46" s="7"/>
    </row>
    <row r="47" spans="1:30" x14ac:dyDescent="0.25">
      <c r="A47" s="10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P47" s="7"/>
      <c r="Q47" s="7"/>
      <c r="R47" s="7"/>
      <c r="S47" s="7"/>
      <c r="T47" s="7"/>
      <c r="U47" s="7"/>
    </row>
    <row r="48" spans="1:30" x14ac:dyDescent="0.25">
      <c r="A48" s="10" t="s">
        <v>58</v>
      </c>
      <c r="B48" s="7">
        <f t="shared" ref="B48:M48" si="77">B6+B13+B16+B17+B18+B19+B22+B23+B24+B25+B28+B29+B30+B34+B35</f>
        <v>2998698126</v>
      </c>
      <c r="C48" s="7">
        <f t="shared" si="77"/>
        <v>3570701154</v>
      </c>
      <c r="D48" s="7">
        <f t="shared" si="77"/>
        <v>4297652512</v>
      </c>
      <c r="E48" s="7">
        <f t="shared" si="77"/>
        <v>4439605990</v>
      </c>
      <c r="F48" s="7">
        <f t="shared" si="77"/>
        <v>4179674913</v>
      </c>
      <c r="G48" s="7">
        <f>G6+G13+G16+G17+G18+G19+G22+G23+G24+G25+G28+G29+G30+G34+G35</f>
        <v>3357712253</v>
      </c>
      <c r="H48" s="7">
        <f t="shared" si="77"/>
        <v>3124811271</v>
      </c>
      <c r="I48" s="7">
        <f t="shared" si="77"/>
        <v>3389856570</v>
      </c>
      <c r="J48" s="7">
        <f t="shared" si="77"/>
        <v>3550929809</v>
      </c>
      <c r="K48" s="7">
        <f t="shared" si="77"/>
        <v>3458914864</v>
      </c>
      <c r="L48" s="7">
        <f t="shared" si="77"/>
        <v>3304797009</v>
      </c>
      <c r="M48" s="7">
        <f t="shared" si="77"/>
        <v>3101789078</v>
      </c>
      <c r="P48" s="7">
        <f>P6+P13+P16+P17+P18+P19+P22+P23+P24+P25+P28+P29+P30+P34+P35</f>
        <v>3024811271</v>
      </c>
      <c r="Q48" s="7">
        <f t="shared" ref="Q48:AD48" si="78">Q6+Q13+Q16+Q17+Q18+Q19+Q22+Q23+Q24+Q25+Q28+Q29+Q30+Q34+Q35</f>
        <v>3278856570</v>
      </c>
      <c r="R48" s="7">
        <f t="shared" si="78"/>
        <v>3424929809</v>
      </c>
      <c r="S48" s="7">
        <f t="shared" si="78"/>
        <v>3340914864</v>
      </c>
      <c r="T48" s="7">
        <f t="shared" si="78"/>
        <v>3177797009</v>
      </c>
      <c r="U48" s="7">
        <f t="shared" si="78"/>
        <v>2973789078</v>
      </c>
      <c r="W48" s="7">
        <f t="shared" si="78"/>
        <v>2886698126</v>
      </c>
      <c r="X48" s="7">
        <f t="shared" si="78"/>
        <v>3435706122</v>
      </c>
      <c r="Y48" s="7">
        <f t="shared" si="78"/>
        <v>4162652512</v>
      </c>
      <c r="Z48" s="7">
        <f t="shared" si="78"/>
        <v>4299605990</v>
      </c>
      <c r="AA48" s="7">
        <f t="shared" si="78"/>
        <v>4043674913</v>
      </c>
      <c r="AB48" s="7">
        <f t="shared" si="78"/>
        <v>3248712253</v>
      </c>
      <c r="AC48" s="7">
        <f t="shared" si="78"/>
        <v>3019811271</v>
      </c>
      <c r="AD48" s="7">
        <f t="shared" si="78"/>
        <v>3231856570</v>
      </c>
    </row>
    <row r="49" spans="1:13" x14ac:dyDescent="0.25">
      <c r="A49" s="4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</row>
    <row r="50" spans="1:13" x14ac:dyDescent="0.25">
      <c r="A50" s="4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</row>
    <row r="51" spans="1:13" x14ac:dyDescent="0.25">
      <c r="A51" s="29" t="s">
        <v>59</v>
      </c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</row>
    <row r="52" spans="1:13" ht="13" thickBot="1" x14ac:dyDescent="0.3">
      <c r="A52" s="29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</row>
    <row r="53" spans="1:13" ht="13" thickBot="1" x14ac:dyDescent="0.3">
      <c r="A53" s="770" t="s">
        <v>60</v>
      </c>
      <c r="B53" s="771"/>
      <c r="C53" s="771"/>
      <c r="D53" s="771"/>
      <c r="E53" s="771"/>
      <c r="F53" s="771"/>
      <c r="G53" s="771"/>
      <c r="H53" s="772"/>
      <c r="I53" s="28"/>
      <c r="J53" s="28"/>
      <c r="K53" s="28"/>
      <c r="L53" s="28"/>
      <c r="M53" s="28"/>
    </row>
    <row r="54" spans="1:13" ht="13" thickBot="1" x14ac:dyDescent="0.3">
      <c r="A54" s="30"/>
      <c r="B54" s="31"/>
      <c r="C54" s="31"/>
      <c r="D54" s="31"/>
      <c r="E54" s="770" t="s">
        <v>61</v>
      </c>
      <c r="F54" s="771"/>
      <c r="G54" s="771"/>
      <c r="H54" s="772"/>
      <c r="I54" s="28"/>
      <c r="J54" s="28"/>
      <c r="K54" s="28"/>
      <c r="L54" s="28"/>
    </row>
    <row r="55" spans="1:13" x14ac:dyDescent="0.25">
      <c r="A55" s="32" t="s">
        <v>62</v>
      </c>
      <c r="B55" s="7" t="s">
        <v>63</v>
      </c>
      <c r="C55" s="7"/>
      <c r="D55" s="33">
        <f>[4]Summary!$D$45</f>
        <v>1140306</v>
      </c>
      <c r="E55" s="34"/>
      <c r="F55" s="35" t="s">
        <v>64</v>
      </c>
      <c r="G55" s="35"/>
      <c r="H55" s="36">
        <f>'[5]Standby - Rider Q'!$D$15+'[5]Standby - Rider Q'!$J$15</f>
        <v>23245594.054892078</v>
      </c>
      <c r="I55" s="28"/>
      <c r="J55" s="28"/>
      <c r="K55" s="28"/>
      <c r="L55" s="28"/>
    </row>
    <row r="56" spans="1:13" x14ac:dyDescent="0.25">
      <c r="A56" s="37"/>
      <c r="B56" s="7" t="s">
        <v>65</v>
      </c>
      <c r="C56" s="7"/>
      <c r="D56" s="33">
        <f>[4]Summary!$D$43</f>
        <v>154613337</v>
      </c>
      <c r="E56" s="38"/>
      <c r="F56" s="8" t="s">
        <v>66</v>
      </c>
      <c r="G56" s="8"/>
      <c r="H56" s="39">
        <f>'[5]Standby - Rider Q'!$E$15+'[5]Standby - Rider Q'!$L$15</f>
        <v>38876451.042424999</v>
      </c>
      <c r="I56" s="28"/>
      <c r="J56" s="28"/>
      <c r="K56" s="28"/>
      <c r="L56" s="28"/>
    </row>
    <row r="57" spans="1:13" x14ac:dyDescent="0.25">
      <c r="A57" s="37"/>
      <c r="B57" s="7" t="s">
        <v>67</v>
      </c>
      <c r="C57" s="7"/>
      <c r="D57" s="7">
        <f>D55+D56</f>
        <v>155753643</v>
      </c>
      <c r="E57" s="38"/>
      <c r="F57" s="8" t="s">
        <v>68</v>
      </c>
      <c r="G57" s="8"/>
      <c r="H57" s="39">
        <f>SUM(H55:H56)</f>
        <v>62122045.097317077</v>
      </c>
      <c r="I57" s="28"/>
      <c r="J57" s="28"/>
      <c r="K57" s="28"/>
      <c r="L57" s="28"/>
    </row>
    <row r="58" spans="1:13" x14ac:dyDescent="0.25">
      <c r="A58" s="37"/>
      <c r="B58" s="7" t="s">
        <v>69</v>
      </c>
      <c r="C58" s="7"/>
      <c r="D58" s="40">
        <f>ROUND(D55/D57,6)</f>
        <v>7.3210000000000003E-3</v>
      </c>
      <c r="E58" s="41"/>
      <c r="F58" s="8" t="s">
        <v>70</v>
      </c>
      <c r="G58" s="8"/>
      <c r="H58" s="39">
        <f>[4]Summary!$D$10+[4]Summary!$D$11</f>
        <v>13504327673.65</v>
      </c>
      <c r="I58" s="28"/>
      <c r="J58" s="28"/>
      <c r="K58" s="28"/>
      <c r="L58" s="28"/>
    </row>
    <row r="59" spans="1:13" x14ac:dyDescent="0.25">
      <c r="A59" s="37"/>
      <c r="B59" s="7"/>
      <c r="C59" s="7"/>
      <c r="D59" s="7"/>
      <c r="E59" s="41"/>
      <c r="F59" s="8" t="s">
        <v>71</v>
      </c>
      <c r="G59" s="8"/>
      <c r="H59" s="42">
        <f>H57+H58</f>
        <v>13566449718.747316</v>
      </c>
      <c r="I59" s="28"/>
      <c r="J59" s="28"/>
      <c r="K59" s="28"/>
      <c r="L59" s="28"/>
    </row>
    <row r="60" spans="1:13" x14ac:dyDescent="0.25">
      <c r="A60" s="32" t="s">
        <v>72</v>
      </c>
      <c r="B60" s="7" t="s">
        <v>73</v>
      </c>
      <c r="C60" s="7"/>
      <c r="D60" s="33">
        <v>0</v>
      </c>
      <c r="E60" s="41"/>
      <c r="F60" s="8" t="s">
        <v>74</v>
      </c>
      <c r="G60" s="8"/>
      <c r="H60" s="43">
        <f>ROUND(H57/H59,6)</f>
        <v>4.5789999999999997E-3</v>
      </c>
      <c r="I60" s="28"/>
      <c r="J60" s="28"/>
      <c r="K60" s="28"/>
      <c r="L60" s="28"/>
    </row>
    <row r="61" spans="1:13" ht="13" thickBot="1" x14ac:dyDescent="0.3">
      <c r="A61" s="41"/>
      <c r="B61" s="28"/>
      <c r="C61" s="28"/>
      <c r="D61" s="44"/>
      <c r="E61" s="45"/>
      <c r="F61" s="46" t="s">
        <v>75</v>
      </c>
      <c r="G61" s="47"/>
      <c r="H61" s="48">
        <f>ROUND(H55/H57,6)</f>
        <v>0.37419200000000002</v>
      </c>
      <c r="I61" s="28"/>
      <c r="J61" s="28"/>
      <c r="K61" s="28"/>
      <c r="L61" s="28"/>
    </row>
    <row r="62" spans="1:13" x14ac:dyDescent="0.25">
      <c r="A62" s="32" t="s">
        <v>56</v>
      </c>
      <c r="B62" s="7" t="s">
        <v>76</v>
      </c>
      <c r="C62" s="7"/>
      <c r="D62" s="39">
        <f>[4]Summary!$D$36</f>
        <v>0</v>
      </c>
      <c r="E62" s="28"/>
      <c r="F62" s="28"/>
      <c r="G62" s="28"/>
      <c r="H62" s="28"/>
      <c r="I62" s="13"/>
      <c r="J62" s="13"/>
      <c r="K62" s="13"/>
      <c r="L62" s="13"/>
    </row>
    <row r="63" spans="1:13" x14ac:dyDescent="0.25">
      <c r="A63" s="37"/>
      <c r="B63" s="7" t="s">
        <v>77</v>
      </c>
      <c r="C63" s="7"/>
      <c r="D63" s="39">
        <f>[4]Summary!$D$37</f>
        <v>16339197761</v>
      </c>
      <c r="E63" s="13"/>
      <c r="F63" s="13"/>
      <c r="G63" s="13"/>
      <c r="H63" s="13"/>
      <c r="I63" s="13"/>
      <c r="J63" s="13"/>
      <c r="K63" s="13"/>
      <c r="L63" s="13"/>
      <c r="M63" s="13"/>
    </row>
    <row r="64" spans="1:13" x14ac:dyDescent="0.25">
      <c r="A64" s="41"/>
      <c r="B64" s="7" t="s">
        <v>78</v>
      </c>
      <c r="C64" s="7"/>
      <c r="D64" s="42">
        <f>D62+D63</f>
        <v>16339197761</v>
      </c>
      <c r="E64" s="13"/>
      <c r="F64" s="13"/>
      <c r="G64" s="13"/>
      <c r="H64" s="13"/>
      <c r="I64" s="13"/>
      <c r="J64" s="13"/>
      <c r="K64" s="13"/>
      <c r="L64" s="13"/>
      <c r="M64" s="13"/>
    </row>
    <row r="65" spans="1:13" x14ac:dyDescent="0.25">
      <c r="A65" s="41"/>
      <c r="B65" s="7" t="s">
        <v>79</v>
      </c>
      <c r="C65" s="7"/>
      <c r="D65" s="43">
        <f>ROUND(D62/D64,6)</f>
        <v>0</v>
      </c>
      <c r="E65" s="13"/>
      <c r="F65" s="13"/>
      <c r="G65" s="13"/>
      <c r="H65" s="13"/>
      <c r="I65" s="13"/>
      <c r="J65" s="13"/>
      <c r="K65" s="13"/>
      <c r="L65" s="13"/>
      <c r="M65" s="13"/>
    </row>
    <row r="66" spans="1:13" x14ac:dyDescent="0.25">
      <c r="A66" s="41"/>
      <c r="B66" s="7"/>
      <c r="C66" s="7"/>
      <c r="D66" s="43"/>
      <c r="E66" s="13"/>
      <c r="F66" s="13"/>
      <c r="G66" s="13"/>
      <c r="H66" s="13"/>
      <c r="I66" s="13"/>
      <c r="J66" s="13"/>
      <c r="K66" s="13"/>
      <c r="L66" s="13"/>
      <c r="M66" s="13"/>
    </row>
    <row r="67" spans="1:13" x14ac:dyDescent="0.25">
      <c r="A67" s="41"/>
      <c r="D67" s="49"/>
      <c r="E67" s="13"/>
      <c r="F67" s="13"/>
      <c r="G67" s="13"/>
      <c r="H67" s="13"/>
    </row>
    <row r="68" spans="1:13" x14ac:dyDescent="0.25">
      <c r="A68" s="38" t="s">
        <v>80</v>
      </c>
      <c r="B68" s="8" t="s">
        <v>81</v>
      </c>
      <c r="C68" s="8"/>
      <c r="D68" s="39">
        <f>'[4]SC 1&amp;7 TODS Rate II'!$H$18</f>
        <v>26507987</v>
      </c>
    </row>
    <row r="69" spans="1:13" x14ac:dyDescent="0.25">
      <c r="A69" s="41"/>
      <c r="B69" s="8" t="s">
        <v>82</v>
      </c>
      <c r="C69" s="8"/>
      <c r="D69" s="39">
        <f>'[4]SC 1&amp;7 TODS Rate II'!$H$19</f>
        <v>40709793</v>
      </c>
    </row>
    <row r="70" spans="1:13" x14ac:dyDescent="0.25">
      <c r="A70" s="41"/>
      <c r="B70" s="8" t="s">
        <v>83</v>
      </c>
      <c r="C70" s="8"/>
      <c r="D70" s="42">
        <f>SUM(D68:D69)</f>
        <v>67217780</v>
      </c>
    </row>
    <row r="71" spans="1:13" x14ac:dyDescent="0.25">
      <c r="A71" s="41"/>
      <c r="B71" s="8" t="s">
        <v>70</v>
      </c>
      <c r="C71" s="8"/>
      <c r="D71" s="39">
        <f>[4]Summary!$D$10+[4]Summary!$D$11</f>
        <v>13504327673.65</v>
      </c>
    </row>
    <row r="72" spans="1:13" x14ac:dyDescent="0.25">
      <c r="A72" s="41"/>
      <c r="B72" s="8" t="s">
        <v>71</v>
      </c>
      <c r="C72" s="8"/>
      <c r="D72" s="42">
        <f>D70+D71</f>
        <v>13571545453.65</v>
      </c>
    </row>
    <row r="73" spans="1:13" x14ac:dyDescent="0.25">
      <c r="A73" s="41"/>
      <c r="B73" s="8" t="s">
        <v>74</v>
      </c>
      <c r="C73" s="8"/>
      <c r="D73" s="43">
        <f>ROUND(D70/D72,6)</f>
        <v>4.9529999999999999E-3</v>
      </c>
    </row>
    <row r="74" spans="1:13" x14ac:dyDescent="0.25">
      <c r="A74" s="41"/>
      <c r="B74" s="8" t="s">
        <v>75</v>
      </c>
      <c r="D74" s="43">
        <f>ROUND(D68/D70,6)</f>
        <v>0.39435999999999999</v>
      </c>
    </row>
    <row r="75" spans="1:13" x14ac:dyDescent="0.25">
      <c r="A75" s="41"/>
      <c r="B75" s="8"/>
      <c r="D75" s="43"/>
    </row>
    <row r="76" spans="1:13" x14ac:dyDescent="0.25">
      <c r="A76" s="38" t="s">
        <v>84</v>
      </c>
      <c r="B76" s="8" t="s">
        <v>85</v>
      </c>
      <c r="C76" s="8"/>
      <c r="D76" s="39">
        <f>'[4]SC 2 TODS'!$H$18</f>
        <v>45470659</v>
      </c>
    </row>
    <row r="77" spans="1:13" x14ac:dyDescent="0.25">
      <c r="A77" s="41"/>
      <c r="B77" s="8" t="s">
        <v>86</v>
      </c>
      <c r="C77" s="8"/>
      <c r="D77" s="39">
        <f>'[4]SC 2 TODS'!$H$19</f>
        <v>60195277</v>
      </c>
    </row>
    <row r="78" spans="1:13" x14ac:dyDescent="0.25">
      <c r="A78" s="41"/>
      <c r="B78" s="8" t="s">
        <v>87</v>
      </c>
      <c r="C78" s="8"/>
      <c r="D78" s="42">
        <f>SUM(D76:D77)</f>
        <v>105665936</v>
      </c>
    </row>
    <row r="79" spans="1:13" x14ac:dyDescent="0.25">
      <c r="A79" s="41"/>
      <c r="B79" s="8" t="s">
        <v>88</v>
      </c>
      <c r="C79" s="8"/>
      <c r="D79" s="39">
        <f>[4]Summary!$D$15</f>
        <v>2168077822</v>
      </c>
    </row>
    <row r="80" spans="1:13" x14ac:dyDescent="0.25">
      <c r="A80" s="41"/>
      <c r="B80" s="8" t="s">
        <v>89</v>
      </c>
      <c r="C80" s="8"/>
      <c r="D80" s="42">
        <f>D78+D79</f>
        <v>2273743758</v>
      </c>
    </row>
    <row r="81" spans="1:6" x14ac:dyDescent="0.25">
      <c r="A81" s="41"/>
      <c r="B81" s="8" t="s">
        <v>90</v>
      </c>
      <c r="C81" s="8"/>
      <c r="D81" s="43">
        <f>ROUND(D78/D80,6)</f>
        <v>4.6471999999999999E-2</v>
      </c>
    </row>
    <row r="82" spans="1:6" ht="13" thickBot="1" x14ac:dyDescent="0.3">
      <c r="A82" s="45"/>
      <c r="B82" s="46" t="s">
        <v>91</v>
      </c>
      <c r="C82" s="47"/>
      <c r="D82" s="48">
        <f>ROUND(D76/D78,6)</f>
        <v>0.43032500000000001</v>
      </c>
    </row>
    <row r="83" spans="1:6" hidden="1" x14ac:dyDescent="0.25">
      <c r="D83" s="50"/>
    </row>
    <row r="84" spans="1:6" hidden="1" x14ac:dyDescent="0.25">
      <c r="A84" s="15" t="s">
        <v>92</v>
      </c>
      <c r="B84" s="8" t="s">
        <v>93</v>
      </c>
      <c r="C84" s="8"/>
      <c r="D84" s="51"/>
    </row>
    <row r="85" spans="1:6" hidden="1" x14ac:dyDescent="0.25">
      <c r="A85" t="s">
        <v>94</v>
      </c>
      <c r="B85" s="8" t="s">
        <v>95</v>
      </c>
      <c r="C85" s="8"/>
      <c r="D85" s="51"/>
    </row>
    <row r="86" spans="1:6" hidden="1" x14ac:dyDescent="0.25">
      <c r="B86" s="8" t="s">
        <v>96</v>
      </c>
      <c r="C86" s="8"/>
      <c r="D86" s="52">
        <f>SUM(D84:D85)</f>
        <v>0</v>
      </c>
    </row>
    <row r="87" spans="1:6" hidden="1" x14ac:dyDescent="0.25">
      <c r="B87" s="8" t="s">
        <v>97</v>
      </c>
      <c r="C87" s="8"/>
      <c r="D87" s="51"/>
    </row>
    <row r="88" spans="1:6" hidden="1" x14ac:dyDescent="0.25">
      <c r="B88" s="8" t="s">
        <v>98</v>
      </c>
      <c r="C88" s="8"/>
      <c r="D88" s="52">
        <f>D86+D87</f>
        <v>0</v>
      </c>
    </row>
    <row r="89" spans="1:6" hidden="1" x14ac:dyDescent="0.25">
      <c r="B89" s="8" t="s">
        <v>99</v>
      </c>
      <c r="C89" s="8"/>
      <c r="D89" s="53" t="e">
        <f>ROUND(D86/D88,6)</f>
        <v>#DIV/0!</v>
      </c>
    </row>
    <row r="90" spans="1:6" hidden="1" x14ac:dyDescent="0.25">
      <c r="A90" s="54"/>
      <c r="B90" s="55" t="s">
        <v>100</v>
      </c>
      <c r="C90" s="54"/>
      <c r="D90" s="56" t="e">
        <f>ROUND(D84/D86,6)</f>
        <v>#DIV/0!</v>
      </c>
    </row>
    <row r="91" spans="1:6" hidden="1" x14ac:dyDescent="0.25"/>
    <row r="92" spans="1:6" hidden="1" x14ac:dyDescent="0.25">
      <c r="A92" t="s">
        <v>101</v>
      </c>
      <c r="B92" s="8" t="s">
        <v>102</v>
      </c>
    </row>
    <row r="93" spans="1:6" x14ac:dyDescent="0.25">
      <c r="B93" s="8"/>
    </row>
    <row r="95" spans="1:6" x14ac:dyDescent="0.25">
      <c r="A95" s="8"/>
      <c r="C95" s="8"/>
      <c r="D95" s="8"/>
    </row>
    <row r="96" spans="1:6" x14ac:dyDescent="0.25">
      <c r="A96" s="57"/>
      <c r="C96" s="8"/>
      <c r="D96" s="8"/>
      <c r="E96" s="58"/>
      <c r="F96" s="8"/>
    </row>
    <row r="97" spans="1:6" x14ac:dyDescent="0.25">
      <c r="A97" s="8"/>
      <c r="C97" s="8"/>
      <c r="D97" s="8"/>
      <c r="E97" s="58"/>
      <c r="F97" s="8"/>
    </row>
    <row r="98" spans="1:6" x14ac:dyDescent="0.25">
      <c r="A98" s="8"/>
      <c r="C98" s="8"/>
      <c r="E98" s="59"/>
    </row>
  </sheetData>
  <mergeCells count="3">
    <mergeCell ref="A1:M1"/>
    <mergeCell ref="A53:H53"/>
    <mergeCell ref="E54:H54"/>
  </mergeCells>
  <hyperlinks>
    <hyperlink ref="A51" r:id="rId1" xr:uid="{00000000-0004-0000-0100-000000000000}"/>
  </hyperlinks>
  <pageMargins left="0.75" right="0.75" top="1" bottom="0.75" header="0.5" footer="0.5"/>
  <pageSetup paperSize="5" scale="86" orientation="landscape" r:id="rId2"/>
  <headerFooter alignWithMargins="0">
    <oddFooter>&amp;L&amp;F
&amp;A</oddFooter>
  </headerFooter>
  <rowBreaks count="1" manualBreakCount="1">
    <brk id="49" max="16383" man="1"/>
  </rowBreaks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FF00"/>
    <pageSetUpPr fitToPage="1"/>
  </sheetPr>
  <dimension ref="A1:AC36"/>
  <sheetViews>
    <sheetView tabSelected="1" zoomScaleNormal="100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35" sqref="B35"/>
    </sheetView>
  </sheetViews>
  <sheetFormatPr defaultColWidth="15.7265625" defaultRowHeight="12.5" x14ac:dyDescent="0.25"/>
  <cols>
    <col min="1" max="1" width="12.7265625" bestFit="1" customWidth="1"/>
    <col min="2" max="2" width="8" customWidth="1"/>
    <col min="3" max="4" width="8.1796875" bestFit="1" customWidth="1"/>
    <col min="5" max="5" width="8.453125" customWidth="1"/>
    <col min="6" max="6" width="9.453125" customWidth="1"/>
    <col min="7" max="7" width="8.54296875" customWidth="1"/>
    <col min="8" max="11" width="8.1796875" bestFit="1" customWidth="1"/>
    <col min="12" max="12" width="9" customWidth="1"/>
    <col min="13" max="13" width="8.7265625" customWidth="1"/>
    <col min="14" max="14" width="13.1796875" customWidth="1"/>
  </cols>
  <sheetData>
    <row r="1" spans="1:29" x14ac:dyDescent="0.25">
      <c r="B1" s="768" t="s">
        <v>556</v>
      </c>
      <c r="C1" s="768"/>
      <c r="D1" s="768"/>
      <c r="E1" s="768"/>
      <c r="F1" s="768"/>
      <c r="G1" s="768"/>
      <c r="H1" s="768"/>
      <c r="I1" s="768"/>
      <c r="J1" s="768"/>
      <c r="K1" s="768"/>
      <c r="L1" s="768"/>
      <c r="M1" s="768"/>
      <c r="O1" s="191" t="s">
        <v>549</v>
      </c>
      <c r="P1" s="191"/>
      <c r="Q1" s="191"/>
      <c r="R1" s="191"/>
    </row>
    <row r="2" spans="1:29" x14ac:dyDescent="0.25">
      <c r="A2" s="767"/>
      <c r="B2" s="767"/>
      <c r="C2" s="767"/>
      <c r="D2" s="767"/>
      <c r="E2" s="767"/>
      <c r="F2" s="767"/>
      <c r="G2" s="767"/>
      <c r="H2" s="767"/>
      <c r="I2" s="767"/>
      <c r="J2" s="767"/>
      <c r="K2" s="767"/>
      <c r="L2" s="767"/>
      <c r="M2" s="767"/>
      <c r="O2" t="s">
        <v>576</v>
      </c>
      <c r="V2" t="s">
        <v>632</v>
      </c>
    </row>
    <row r="3" spans="1:29" x14ac:dyDescent="0.25">
      <c r="B3" s="26">
        <f>'Sales Forecast'!B6</f>
        <v>44682</v>
      </c>
      <c r="C3" s="26">
        <f>'Sales Forecast'!C6</f>
        <v>44713</v>
      </c>
      <c r="D3" s="26">
        <f>'Sales Forecast'!D6</f>
        <v>44743</v>
      </c>
      <c r="E3" s="26">
        <f>'Sales Forecast'!E6</f>
        <v>44774</v>
      </c>
      <c r="F3" s="26">
        <f>'Sales Forecast'!F6</f>
        <v>44805</v>
      </c>
      <c r="G3" s="26">
        <f>'Sales Forecast'!G6</f>
        <v>44835</v>
      </c>
      <c r="H3" s="26">
        <f>'Sales Forecast'!H6</f>
        <v>44530</v>
      </c>
      <c r="I3" s="26">
        <f>'Sales Forecast'!I6</f>
        <v>44531</v>
      </c>
      <c r="J3" s="26">
        <f>'Sales Forecast'!J6</f>
        <v>44562</v>
      </c>
      <c r="K3" s="26">
        <f>'Sales Forecast'!K6</f>
        <v>44593</v>
      </c>
      <c r="L3" s="26">
        <f>'Sales Forecast'!L6</f>
        <v>44621</v>
      </c>
      <c r="M3" s="26">
        <f>'Sales Forecast'!M6</f>
        <v>44652</v>
      </c>
      <c r="N3" s="1"/>
      <c r="O3" s="566">
        <v>44520</v>
      </c>
      <c r="P3" s="566">
        <v>44550</v>
      </c>
      <c r="Q3" s="566">
        <v>44581</v>
      </c>
      <c r="R3" s="566">
        <v>44612</v>
      </c>
      <c r="S3" s="566">
        <v>44640</v>
      </c>
      <c r="T3" s="566">
        <v>44671</v>
      </c>
      <c r="V3" s="566">
        <v>44701</v>
      </c>
      <c r="W3" s="566">
        <v>44732</v>
      </c>
      <c r="X3" s="566">
        <v>44762</v>
      </c>
      <c r="Y3" s="566">
        <v>44793</v>
      </c>
      <c r="Z3" s="566">
        <v>44824</v>
      </c>
      <c r="AA3" s="566">
        <v>44854</v>
      </c>
      <c r="AB3" s="566">
        <v>44885</v>
      </c>
      <c r="AC3" s="566">
        <v>44915</v>
      </c>
    </row>
    <row r="4" spans="1:29" ht="13" x14ac:dyDescent="0.3">
      <c r="A4" s="773" t="s">
        <v>103</v>
      </c>
      <c r="B4" s="773"/>
      <c r="C4" s="773"/>
      <c r="D4" s="773"/>
      <c r="E4" s="773"/>
      <c r="F4" s="773"/>
      <c r="G4" s="773"/>
      <c r="H4" s="773"/>
      <c r="I4" s="773"/>
      <c r="J4" s="773"/>
      <c r="K4" s="773"/>
      <c r="L4" s="773"/>
      <c r="M4" s="773"/>
      <c r="N4" s="1"/>
    </row>
    <row r="5" spans="1:29" x14ac:dyDescent="0.25">
      <c r="A5" s="4"/>
      <c r="N5" s="7"/>
      <c r="O5" s="7"/>
    </row>
    <row r="6" spans="1:29" x14ac:dyDescent="0.25">
      <c r="A6" s="477" t="s">
        <v>2</v>
      </c>
      <c r="B6" s="617">
        <f>'[2]2020 CUS Data'!$M$7</f>
        <v>0.16439999999999999</v>
      </c>
      <c r="C6" s="617">
        <f>'[2]2020 CUS Data'!$M$8</f>
        <v>0.15889999999999999</v>
      </c>
      <c r="D6" s="617">
        <f>'[2]2020 CUS Data'!$M$9</f>
        <v>0.12590000000000001</v>
      </c>
      <c r="E6" s="617">
        <f>'[2]2020 CUS Data'!$M$10</f>
        <v>0.1268</v>
      </c>
      <c r="F6" s="617">
        <f>'[2]2020 CUS Data'!$M$11</f>
        <v>0.13539999999999999</v>
      </c>
      <c r="G6" s="617">
        <f>'[2]2020 CUS Data'!$M$12</f>
        <v>0.1338</v>
      </c>
      <c r="H6" s="617">
        <f>'[2]2020 CUS Data'!$M$13</f>
        <v>0.1477</v>
      </c>
      <c r="I6" s="617">
        <f>'[2]2020 CUS Data'!$M$14</f>
        <v>0.1862</v>
      </c>
      <c r="J6" s="61">
        <f>'[2]2020 CUS Data'!$M$3</f>
        <v>0.18550000000000003</v>
      </c>
      <c r="K6" s="61">
        <f>'[2]2020 CUS Data'!$M$4</f>
        <v>0.20030000000000001</v>
      </c>
      <c r="L6" s="61">
        <f>'[2]2020 CUS Data'!$M$5</f>
        <v>0.17710000000000001</v>
      </c>
      <c r="M6" s="61">
        <f>'[2]2020 CUS Data'!$M$6</f>
        <v>0.1595</v>
      </c>
      <c r="N6" s="195" t="s">
        <v>555</v>
      </c>
      <c r="O6" s="60">
        <f>+H6</f>
        <v>0.1477</v>
      </c>
      <c r="P6" s="60">
        <f t="shared" ref="P6:T6" si="0">+I6</f>
        <v>0.1862</v>
      </c>
      <c r="Q6" s="60">
        <f t="shared" si="0"/>
        <v>0.18550000000000003</v>
      </c>
      <c r="R6" s="60">
        <f t="shared" si="0"/>
        <v>0.20030000000000001</v>
      </c>
      <c r="S6" s="60">
        <f t="shared" si="0"/>
        <v>0.17710000000000001</v>
      </c>
      <c r="T6" s="60">
        <f t="shared" si="0"/>
        <v>0.1595</v>
      </c>
      <c r="V6" s="60">
        <f>+B6</f>
        <v>0.16439999999999999</v>
      </c>
      <c r="W6" s="60">
        <f t="shared" ref="W6:AC6" si="1">+C6</f>
        <v>0.15889999999999999</v>
      </c>
      <c r="X6" s="60">
        <f t="shared" si="1"/>
        <v>0.12590000000000001</v>
      </c>
      <c r="Y6" s="60">
        <f t="shared" si="1"/>
        <v>0.1268</v>
      </c>
      <c r="Z6" s="60">
        <f t="shared" si="1"/>
        <v>0.13539999999999999</v>
      </c>
      <c r="AA6" s="60">
        <f t="shared" si="1"/>
        <v>0.1338</v>
      </c>
      <c r="AB6" s="60">
        <f t="shared" si="1"/>
        <v>0.1477</v>
      </c>
      <c r="AC6" s="60">
        <f t="shared" si="1"/>
        <v>0.1862</v>
      </c>
    </row>
    <row r="7" spans="1:29" x14ac:dyDescent="0.25">
      <c r="A7" s="477" t="s">
        <v>4</v>
      </c>
      <c r="B7" s="618">
        <f>VLOOKUP(B$3,'[1]Final Demand including BIR'!$D$8:$Q$91,3,TRUE)</f>
        <v>16</v>
      </c>
      <c r="C7" s="618">
        <f>VLOOKUP(C$3,'[1]Final Demand including BIR'!$D$8:$Q$91,3,TRUE)</f>
        <v>16</v>
      </c>
      <c r="D7" s="618">
        <f>VLOOKUP(D$3,'[1]Final Demand including BIR'!$D$8:$Q$91,3,TRUE)</f>
        <v>19</v>
      </c>
      <c r="E7" s="618">
        <f>VLOOKUP(E$3,'[1]Final Demand including BIR'!$D$8:$Q$91,3,TRUE)</f>
        <v>19</v>
      </c>
      <c r="F7" s="618">
        <f>VLOOKUP(F$3,'[1]Final Demand including BIR'!$D$8:$Q$91,3,TRUE)</f>
        <v>18</v>
      </c>
      <c r="G7" s="618">
        <f>VLOOKUP(G$3,'[1]Final Demand including BIR'!$D$8:$Q$91,3,TRUE)</f>
        <v>18</v>
      </c>
      <c r="H7" s="618">
        <f>VLOOKUP(H$3,'[1]Final Demand including BIR'!$D$8:$Q$91,3,TRUE)</f>
        <v>16</v>
      </c>
      <c r="I7" s="618">
        <f>VLOOKUP(I$3,'[1]Final Demand including BIR'!$D$8:$Q$91,3,TRUE)</f>
        <v>20</v>
      </c>
      <c r="J7" s="618">
        <f>VLOOKUP(J$3,'[1]Final Demand including BIR'!$D$8:$Q$91,3,TRUE)</f>
        <v>15</v>
      </c>
      <c r="K7" s="618">
        <f>VLOOKUP(K$3,'[1]Final Demand including BIR'!$D$8:$Q$91,3,TRUE)</f>
        <v>24</v>
      </c>
      <c r="L7" s="618">
        <f>VLOOKUP(L$3,'[1]Final Demand including BIR'!$D$8:$Q$91,3,TRUE)</f>
        <v>21</v>
      </c>
      <c r="M7" s="618">
        <f>VLOOKUP(M$3,'[1]Final Demand including BIR'!$D$8:$Q$91,3,TRUE)</f>
        <v>21</v>
      </c>
      <c r="N7" s="7"/>
      <c r="O7" s="62">
        <v>19</v>
      </c>
      <c r="P7" s="62">
        <v>15</v>
      </c>
      <c r="Q7" s="62">
        <v>14</v>
      </c>
      <c r="R7" s="62">
        <v>28</v>
      </c>
      <c r="S7" s="62">
        <v>22</v>
      </c>
      <c r="T7" s="62">
        <v>25</v>
      </c>
      <c r="V7" s="62">
        <v>19</v>
      </c>
      <c r="W7" s="62">
        <v>17</v>
      </c>
      <c r="X7" s="62">
        <v>19</v>
      </c>
      <c r="Y7" s="62">
        <v>23</v>
      </c>
      <c r="Z7" s="62">
        <v>17</v>
      </c>
      <c r="AA7" s="62">
        <v>17</v>
      </c>
      <c r="AB7" s="62">
        <v>19</v>
      </c>
      <c r="AC7" s="62">
        <v>15</v>
      </c>
    </row>
    <row r="8" spans="1:29" x14ac:dyDescent="0.25">
      <c r="A8" s="477" t="s">
        <v>7</v>
      </c>
      <c r="B8" s="618">
        <f>VLOOKUP(B$3,'[1]Final Demand including BIR'!$D$8:$Q$91,5,TRUE)+ VLOOKUP(B3,'[3]Demand Forecast'!$B$10:$Y$126,18)</f>
        <v>230</v>
      </c>
      <c r="C8" s="618">
        <f>VLOOKUP(C$3,'[1]Final Demand including BIR'!$D$8:$Q$91,5,TRUE)+ VLOOKUP(C3,'[3]Demand Forecast'!$B$10:$Y$126,18)</f>
        <v>285</v>
      </c>
      <c r="D8" s="618">
        <f>VLOOKUP(D$3,'[1]Final Demand including BIR'!$D$8:$Q$91,5,TRUE)+ VLOOKUP(D3,'[3]Demand Forecast'!$B$10:$Y$126,18)</f>
        <v>360</v>
      </c>
      <c r="E8" s="618">
        <f>VLOOKUP(E$3,'[1]Final Demand including BIR'!$D$8:$Q$91,5,TRUE)+ VLOOKUP(E3,'[3]Demand Forecast'!$B$10:$Y$126,18)</f>
        <v>377</v>
      </c>
      <c r="F8" s="618">
        <f>VLOOKUP(F$3,'[1]Final Demand including BIR'!$D$8:$Q$91,5,TRUE)+ VLOOKUP(F3,'[3]Demand Forecast'!$B$10:$Y$126,18)</f>
        <v>367</v>
      </c>
      <c r="G8" s="618">
        <f>VLOOKUP(G$3,'[1]Final Demand including BIR'!$D$8:$Q$91,5,TRUE)+ VLOOKUP(G3,'[3]Demand Forecast'!$B$10:$Y$126,18)</f>
        <v>299</v>
      </c>
      <c r="H8" s="63">
        <f>VLOOKUP(H$3,'[1]Final Demand including BIR'!$D$8:$Q$91,5,TRUE)+ VLOOKUP(H3,'[3]Demand Forecast'!$B$10:$Y$126,18)</f>
        <v>231</v>
      </c>
      <c r="I8" s="63">
        <f>VLOOKUP(I$3,'[1]Final Demand including BIR'!$D$8:$Q$91,5,TRUE)+ VLOOKUP(I3,'[3]Demand Forecast'!$B$10:$Y$126,18)</f>
        <v>211</v>
      </c>
      <c r="J8" s="63">
        <f>VLOOKUP(J$3,'[1]Final Demand including BIR'!$D$8:$Q$91,5,TRUE)+ VLOOKUP(J3,'[3]Demand Forecast'!$B$10:$Y$126,18)</f>
        <v>221</v>
      </c>
      <c r="K8" s="63">
        <f>VLOOKUP(K$3,'[1]Final Demand including BIR'!$D$8:$Q$91,5,TRUE)+ VLOOKUP(K3,'[3]Demand Forecast'!$B$10:$Y$126,18)</f>
        <v>228</v>
      </c>
      <c r="L8" s="63">
        <f>VLOOKUP(L$3,'[1]Final Demand including BIR'!$D$8:$Q$91,5,TRUE)+ VLOOKUP(L3,'[3]Demand Forecast'!$B$10:$Y$126,18)</f>
        <v>205</v>
      </c>
      <c r="M8" s="63">
        <f>VLOOKUP(M$3,'[1]Final Demand including BIR'!$D$8:$Q$91,5,TRUE)+ VLOOKUP(M3,'[3]Demand Forecast'!$B$10:$Y$126,18)</f>
        <v>196</v>
      </c>
      <c r="N8" s="475"/>
      <c r="O8" s="63">
        <f>VLOOKUP(O$3,'[1]Final Demand including BIR'!$D$8:$Q$91,5,TRUE)+ VLOOKUP(O3,'[3]Demand Forecast'!$B$10:$Y$126,18)</f>
        <v>231</v>
      </c>
      <c r="P8" s="63">
        <f>VLOOKUP(P$3,'[1]Final Demand including BIR'!$D$8:$Q$91,5,TRUE)+ VLOOKUP(P3,'[3]Demand Forecast'!$B$10:$Y$126,18)</f>
        <v>211</v>
      </c>
      <c r="Q8" s="63">
        <f>VLOOKUP(Q$3,'[1]Final Demand including BIR'!$D$8:$Q$91,5,TRUE)+ VLOOKUP(Q3,'[3]Demand Forecast'!$B$10:$Y$126,18)</f>
        <v>221</v>
      </c>
      <c r="R8" s="63">
        <f>VLOOKUP(R$3,'[1]Final Demand including BIR'!$D$8:$Q$91,5,TRUE)+ VLOOKUP(R3,'[3]Demand Forecast'!$B$10:$Y$126,18)</f>
        <v>228</v>
      </c>
      <c r="S8" s="63">
        <f>VLOOKUP(S$3,'[1]Final Demand including BIR'!$D$8:$Q$91,5,TRUE)+ VLOOKUP(S3,'[3]Demand Forecast'!$B$10:$Y$126,18)</f>
        <v>205</v>
      </c>
      <c r="T8" s="63">
        <f>VLOOKUP(T$3,'[1]Final Demand including BIR'!$D$8:$Q$91,5,TRUE)+ VLOOKUP(T3,'[3]Demand Forecast'!$B$10:$Y$126,18)</f>
        <v>196</v>
      </c>
      <c r="V8" s="63">
        <f>VLOOKUP(V$3,'[1]Final Demand including BIR'!$D$8:$Q$91,5,TRUE)+ VLOOKUP(V3,'[3]Demand Forecast'!$B$10:$Y$126,18)</f>
        <v>230</v>
      </c>
      <c r="W8" s="63">
        <f>VLOOKUP(W$3,'[1]Final Demand including BIR'!$D$8:$Q$91,5,TRUE)+ VLOOKUP(W3,'[3]Demand Forecast'!$B$10:$Y$126,18)</f>
        <v>285</v>
      </c>
      <c r="X8" s="63">
        <f>VLOOKUP(X$3,'[1]Final Demand including BIR'!$D$8:$Q$91,5,TRUE)+ VLOOKUP(X3,'[3]Demand Forecast'!$B$10:$Y$126,18)</f>
        <v>360</v>
      </c>
      <c r="Y8" s="63">
        <f>VLOOKUP(Y$3,'[1]Final Demand including BIR'!$D$8:$Q$91,5,TRUE)+ VLOOKUP(Y3,'[3]Demand Forecast'!$B$10:$Y$126,18)</f>
        <v>377</v>
      </c>
      <c r="Z8" s="63">
        <f>VLOOKUP(Z$3,'[1]Final Demand including BIR'!$D$8:$Q$91,5,TRUE)+ VLOOKUP(Z3,'[3]Demand Forecast'!$B$10:$Y$126,18)</f>
        <v>367</v>
      </c>
      <c r="AA8" s="63">
        <f>VLOOKUP(AA$3,'[1]Final Demand including BIR'!$D$8:$Q$91,5,TRUE)+ VLOOKUP(AA3,'[3]Demand Forecast'!$B$10:$Y$126,18)</f>
        <v>299</v>
      </c>
      <c r="AB8" s="63">
        <f>VLOOKUP(AB$3,'[1]Final Demand including BIR'!$D$8:$Q$91,5,TRUE)+ VLOOKUP(AB3,'[3]Demand Forecast'!$B$10:$Y$126,18)</f>
        <v>230</v>
      </c>
      <c r="AC8" s="63">
        <f>VLOOKUP(AC$3,'[1]Final Demand including BIR'!$D$8:$Q$91,5,TRUE)+ VLOOKUP(AC3,'[3]Demand Forecast'!$B$10:$Y$126,18)</f>
        <v>211</v>
      </c>
    </row>
    <row r="9" spans="1:29" x14ac:dyDescent="0.25">
      <c r="A9" s="477" t="s">
        <v>8</v>
      </c>
      <c r="B9" s="618">
        <f>VLOOKUP(B$3,'[1]TOD Demand Allocation'!$E$46:$K$129,2,TRUE)</f>
        <v>20</v>
      </c>
      <c r="C9" s="618">
        <f>VLOOKUP(C$3,'[1]TOD Demand Allocation'!$E$46:$K$129,2,TRUE)</f>
        <v>27</v>
      </c>
      <c r="D9" s="618">
        <f>VLOOKUP(D$3,'[1]TOD Demand Allocation'!$E$46:$K$129,2,TRUE)</f>
        <v>18</v>
      </c>
      <c r="E9" s="618">
        <f>VLOOKUP(E$3,'[1]TOD Demand Allocation'!$E$46:$K$129,2,TRUE)</f>
        <v>23</v>
      </c>
      <c r="F9" s="618">
        <f>VLOOKUP(F$3,'[1]TOD Demand Allocation'!$E$46:$K$129,2,TRUE)</f>
        <v>24</v>
      </c>
      <c r="G9" s="618">
        <f>VLOOKUP(G$3,'[1]TOD Demand Allocation'!$E$46:$K$129,2,TRUE)</f>
        <v>19</v>
      </c>
      <c r="H9" s="618">
        <f>VLOOKUP(H$3,'[1]TOD Demand Allocation'!$E$46:$K$129,2,TRUE)</f>
        <v>13</v>
      </c>
      <c r="I9" s="618">
        <f>VLOOKUP(I$3,'[1]TOD Demand Allocation'!$E$46:$K$129,2,TRUE)</f>
        <v>21</v>
      </c>
      <c r="J9" s="618">
        <f>VLOOKUP(J$3,'[1]TOD Demand Allocation'!$E$46:$K$129,2,TRUE)</f>
        <v>20</v>
      </c>
      <c r="K9" s="618">
        <f>VLOOKUP(K$3,'[1]TOD Demand Allocation'!$E$46:$K$129,2,TRUE)</f>
        <v>17</v>
      </c>
      <c r="L9" s="618">
        <f>VLOOKUP(L$3,'[1]TOD Demand Allocation'!$E$46:$K$129,2,TRUE)</f>
        <v>21</v>
      </c>
      <c r="M9" s="618">
        <f>VLOOKUP(M$3,'[1]TOD Demand Allocation'!$E$46:$K$129,2,TRUE)</f>
        <v>21</v>
      </c>
      <c r="N9" s="475"/>
      <c r="O9" s="62">
        <v>20</v>
      </c>
      <c r="P9" s="62">
        <v>22</v>
      </c>
      <c r="Q9" s="62">
        <v>24</v>
      </c>
      <c r="R9" s="62">
        <v>22</v>
      </c>
      <c r="S9" s="62">
        <v>24</v>
      </c>
      <c r="T9" s="62">
        <v>22</v>
      </c>
      <c r="V9" s="62">
        <v>23</v>
      </c>
      <c r="W9" s="62">
        <v>35</v>
      </c>
      <c r="X9" s="62">
        <v>26</v>
      </c>
      <c r="Y9" s="62">
        <v>31</v>
      </c>
      <c r="Z9" s="62">
        <v>31</v>
      </c>
      <c r="AA9" s="62">
        <v>24</v>
      </c>
      <c r="AB9" s="62">
        <v>19</v>
      </c>
      <c r="AC9" s="62">
        <v>21</v>
      </c>
    </row>
    <row r="10" spans="1:29" x14ac:dyDescent="0.25">
      <c r="A10" s="477" t="s">
        <v>9</v>
      </c>
      <c r="B10" s="618">
        <f>VLOOKUP(B$3,'[1]TOD Demand Allocation'!$E$46:$K$129,4,TRUE)</f>
        <v>35</v>
      </c>
      <c r="C10" s="618">
        <f>VLOOKUP(C$3,'[1]TOD Demand Allocation'!$E$46:$K$129,4,TRUE)</f>
        <v>53</v>
      </c>
      <c r="D10" s="618">
        <f>VLOOKUP(D$3,'[1]TOD Demand Allocation'!$E$46:$K$129,4,TRUE)</f>
        <v>48</v>
      </c>
      <c r="E10" s="618">
        <f>VLOOKUP(E$3,'[1]TOD Demand Allocation'!$E$46:$K$129,4,TRUE)</f>
        <v>57</v>
      </c>
      <c r="F10" s="618">
        <f>VLOOKUP(F$3,'[1]TOD Demand Allocation'!$E$46:$K$129,4,TRUE)</f>
        <v>53</v>
      </c>
      <c r="G10" s="618">
        <f>VLOOKUP(G$3,'[1]TOD Demand Allocation'!$E$46:$K$129,4,TRUE)</f>
        <v>44</v>
      </c>
      <c r="H10" s="618">
        <f>VLOOKUP(H$3,'[1]TOD Demand Allocation'!$E$46:$K$129,4,TRUE)</f>
        <v>29</v>
      </c>
      <c r="I10" s="618">
        <f>VLOOKUP(I$3,'[1]TOD Demand Allocation'!$E$46:$K$129,4,TRUE)</f>
        <v>37</v>
      </c>
      <c r="J10" s="618">
        <f>VLOOKUP(J$3,'[1]TOD Demand Allocation'!$E$46:$K$129,4,TRUE)</f>
        <v>37</v>
      </c>
      <c r="K10" s="618">
        <f>VLOOKUP(K$3,'[1]TOD Demand Allocation'!$E$46:$K$129,4,TRUE)</f>
        <v>35</v>
      </c>
      <c r="L10" s="618">
        <f>VLOOKUP(L$3,'[1]TOD Demand Allocation'!$E$46:$K$129,4,TRUE)</f>
        <v>38</v>
      </c>
      <c r="M10" s="618">
        <f>VLOOKUP(M$3,'[1]TOD Demand Allocation'!$E$46:$K$129,4,TRUE)</f>
        <v>35</v>
      </c>
      <c r="N10" s="475"/>
      <c r="O10" s="62">
        <v>22</v>
      </c>
      <c r="P10" s="62">
        <v>16</v>
      </c>
      <c r="Q10" s="62">
        <v>17</v>
      </c>
      <c r="R10" s="62">
        <v>17</v>
      </c>
      <c r="S10" s="62">
        <v>16</v>
      </c>
      <c r="T10" s="62">
        <v>16</v>
      </c>
      <c r="V10" s="62">
        <v>17</v>
      </c>
      <c r="W10" s="62">
        <v>23</v>
      </c>
      <c r="X10" s="62">
        <v>32</v>
      </c>
      <c r="Y10" s="62">
        <v>32</v>
      </c>
      <c r="Z10" s="62">
        <v>29</v>
      </c>
      <c r="AA10" s="62">
        <v>25</v>
      </c>
      <c r="AB10" s="62">
        <v>21</v>
      </c>
      <c r="AC10" s="62">
        <v>16</v>
      </c>
    </row>
    <row r="11" spans="1:29" x14ac:dyDescent="0.25">
      <c r="A11" s="477" t="s">
        <v>10</v>
      </c>
      <c r="B11" s="618">
        <f>VLOOKUP(B$3,'[1]Final Demand including BIR'!$D$8:$Q$91,8,TRUE)+VLOOKUP(B3,'[3]Demand Forecast'!$B$10:$Y$126,20)</f>
        <v>3666</v>
      </c>
      <c r="C11" s="618">
        <f>VLOOKUP(C$3,'[1]Final Demand including BIR'!$D$8:$Q$91,8,TRUE)+VLOOKUP(C3,'[3]Demand Forecast'!$B$10:$Y$126,20)</f>
        <v>3947</v>
      </c>
      <c r="D11" s="618">
        <f>VLOOKUP(D$3,'[1]Final Demand including BIR'!$D$8:$Q$91,8,TRUE)+VLOOKUP(D3,'[3]Demand Forecast'!$B$10:$Y$126,20)</f>
        <v>3920</v>
      </c>
      <c r="E11" s="618">
        <f>VLOOKUP(E$3,'[1]Final Demand including BIR'!$D$8:$Q$91,8,TRUE)+VLOOKUP(E3,'[3]Demand Forecast'!$B$10:$Y$126,20)</f>
        <v>3914</v>
      </c>
      <c r="F11" s="618">
        <f>VLOOKUP(F$3,'[1]Final Demand including BIR'!$D$8:$Q$91,8,TRUE)+VLOOKUP(F3,'[3]Demand Forecast'!$B$10:$Y$126,20)</f>
        <v>3810</v>
      </c>
      <c r="G11" s="618">
        <f>VLOOKUP(G$3,'[1]Final Demand including BIR'!$D$8:$Q$91,8,TRUE)+VLOOKUP(G3,'[3]Demand Forecast'!$B$10:$Y$126,20)</f>
        <v>3662</v>
      </c>
      <c r="H11" s="618">
        <f>VLOOKUP(H$3,'[1]Final Demand including BIR'!$D$8:$Q$91,8,TRUE)+VLOOKUP(H3,'[3]Demand Forecast'!$B$10:$Y$126,20)</f>
        <v>3443</v>
      </c>
      <c r="I11" s="618">
        <f>VLOOKUP(I$3,'[1]Final Demand including BIR'!$D$8:$Q$91,8,TRUE)+VLOOKUP(I3,'[3]Demand Forecast'!$B$10:$Y$126,20)</f>
        <v>3121</v>
      </c>
      <c r="J11" s="618">
        <f>VLOOKUP(J$3,'[1]Final Demand including BIR'!$D$8:$Q$91,8,TRUE)+VLOOKUP(J3,'[3]Demand Forecast'!$B$10:$Y$126,20)</f>
        <v>3217</v>
      </c>
      <c r="K11" s="618">
        <f>VLOOKUP(K$3,'[1]Final Demand including BIR'!$D$8:$Q$91,8,TRUE)+VLOOKUP(K3,'[3]Demand Forecast'!$B$10:$Y$126,20)</f>
        <v>3170</v>
      </c>
      <c r="L11" s="618">
        <f>VLOOKUP(L$3,'[1]Final Demand including BIR'!$D$8:$Q$91,8,TRUE)+VLOOKUP(L3,'[3]Demand Forecast'!$B$10:$Y$126,20)</f>
        <v>3184</v>
      </c>
      <c r="M11" s="618">
        <f>VLOOKUP(M$3,'[1]Final Demand including BIR'!$D$8:$Q$91,8,TRUE)+VLOOKUP(M3,'[3]Demand Forecast'!$B$10:$Y$126,20)</f>
        <v>3312</v>
      </c>
      <c r="N11" s="475"/>
      <c r="O11" s="63">
        <v>3431</v>
      </c>
      <c r="P11" s="63">
        <v>3226</v>
      </c>
      <c r="Q11" s="63">
        <v>3226</v>
      </c>
      <c r="R11" s="63">
        <v>3217</v>
      </c>
      <c r="S11" s="63">
        <v>3239</v>
      </c>
      <c r="T11" s="63">
        <v>3003</v>
      </c>
      <c r="V11" s="63">
        <v>3535</v>
      </c>
      <c r="W11" s="63">
        <v>3809</v>
      </c>
      <c r="X11" s="63">
        <v>3881</v>
      </c>
      <c r="Y11" s="63">
        <v>3836</v>
      </c>
      <c r="Z11" s="63">
        <v>3911</v>
      </c>
      <c r="AA11" s="63">
        <v>3837</v>
      </c>
      <c r="AB11" s="63">
        <v>3612</v>
      </c>
      <c r="AC11" s="63">
        <v>3370</v>
      </c>
    </row>
    <row r="12" spans="1:29" x14ac:dyDescent="0.25">
      <c r="A12" s="477" t="s">
        <v>11</v>
      </c>
      <c r="B12" s="618">
        <f>VLOOKUP(B$3,'[1]TOD Demand Allocation'!$E$46:$K$129,5,TRUE)</f>
        <v>217</v>
      </c>
      <c r="C12" s="618">
        <f>VLOOKUP(C$3,'[1]TOD Demand Allocation'!$E$46:$K$129,5,TRUE)</f>
        <v>228</v>
      </c>
      <c r="D12" s="618">
        <f>VLOOKUP(D$3,'[1]TOD Demand Allocation'!$E$46:$K$129,5,TRUE)</f>
        <v>249</v>
      </c>
      <c r="E12" s="618">
        <f>VLOOKUP(E$3,'[1]TOD Demand Allocation'!$E$46:$K$129,5,TRUE)</f>
        <v>252</v>
      </c>
      <c r="F12" s="618">
        <f>VLOOKUP(F$3,'[1]TOD Demand Allocation'!$E$46:$K$129,5,TRUE)</f>
        <v>237</v>
      </c>
      <c r="G12" s="618">
        <f>VLOOKUP(G$3,'[1]TOD Demand Allocation'!$E$46:$K$129,5,TRUE)</f>
        <v>195</v>
      </c>
      <c r="H12" s="618">
        <f>VLOOKUP(H$3,'[1]TOD Demand Allocation'!$E$46:$K$129,5,TRUE)</f>
        <v>186</v>
      </c>
      <c r="I12" s="618">
        <f>VLOOKUP(I$3,'[1]TOD Demand Allocation'!$E$46:$K$129,5,TRUE)</f>
        <v>217</v>
      </c>
      <c r="J12" s="618">
        <f>VLOOKUP(J$3,'[1]TOD Demand Allocation'!$E$46:$K$129,5,TRUE)</f>
        <v>193</v>
      </c>
      <c r="K12" s="618">
        <f>VLOOKUP(K$3,'[1]TOD Demand Allocation'!$E$46:$K$129,5,TRUE)</f>
        <v>198</v>
      </c>
      <c r="L12" s="618">
        <f>VLOOKUP(L$3,'[1]TOD Demand Allocation'!$E$46:$K$129,5,TRUE)</f>
        <v>210</v>
      </c>
      <c r="M12" s="618">
        <f>VLOOKUP(M$3,'[1]TOD Demand Allocation'!$E$46:$K$129,5,TRUE)</f>
        <v>226</v>
      </c>
      <c r="N12" s="475"/>
      <c r="O12" s="62">
        <v>225</v>
      </c>
      <c r="P12" s="62">
        <v>219</v>
      </c>
      <c r="Q12" s="62">
        <v>243</v>
      </c>
      <c r="R12" s="62">
        <v>224</v>
      </c>
      <c r="S12" s="62">
        <v>209</v>
      </c>
      <c r="T12" s="62">
        <v>208</v>
      </c>
      <c r="V12" s="62">
        <v>214</v>
      </c>
      <c r="W12" s="62">
        <v>238</v>
      </c>
      <c r="X12" s="62">
        <v>262</v>
      </c>
      <c r="Y12" s="62">
        <v>245</v>
      </c>
      <c r="Z12" s="62">
        <v>274</v>
      </c>
      <c r="AA12" s="62">
        <v>224</v>
      </c>
      <c r="AB12" s="62">
        <v>223</v>
      </c>
      <c r="AC12" s="62">
        <v>219</v>
      </c>
    </row>
    <row r="13" spans="1:29" x14ac:dyDescent="0.25">
      <c r="A13" s="477" t="s">
        <v>12</v>
      </c>
      <c r="B13" s="618">
        <f>VLOOKUP(B$3,'[1]TOD Demand Allocation'!$E$46:$K$129,7,TRUE)+VLOOKUP(B3,'[3]Demand Forecast'!$B$10:$Y$126,21)</f>
        <v>1187</v>
      </c>
      <c r="C13" s="618">
        <f>VLOOKUP(C$3,'[1]TOD Demand Allocation'!$E$46:$K$129,7,TRUE)+VLOOKUP(C3,'[3]Demand Forecast'!$B$10:$Y$126,21)</f>
        <v>1386</v>
      </c>
      <c r="D13" s="618">
        <f>VLOOKUP(D$3,'[1]TOD Demand Allocation'!$E$46:$K$129,7,TRUE)+VLOOKUP(D3,'[3]Demand Forecast'!$B$10:$Y$126,21)</f>
        <v>1585</v>
      </c>
      <c r="E13" s="618">
        <f>VLOOKUP(E$3,'[1]TOD Demand Allocation'!$E$46:$K$129,7,TRUE)+VLOOKUP(E3,'[3]Demand Forecast'!$B$10:$Y$126,21)</f>
        <v>1647</v>
      </c>
      <c r="F13" s="618">
        <f>VLOOKUP(F$3,'[1]TOD Demand Allocation'!$E$46:$K$129,7,TRUE)+VLOOKUP(F3,'[3]Demand Forecast'!$B$10:$Y$126,21)</f>
        <v>1595</v>
      </c>
      <c r="G13" s="618">
        <f>VLOOKUP(G$3,'[1]TOD Demand Allocation'!$E$46:$K$129,7,TRUE)+VLOOKUP(G3,'[3]Demand Forecast'!$B$10:$Y$126,21)</f>
        <v>1332</v>
      </c>
      <c r="H13" s="618">
        <f>VLOOKUP(H$3,'[1]TOD Demand Allocation'!$E$46:$K$129,7,TRUE)+VLOOKUP(H3,'[3]Demand Forecast'!$B$10:$Y$126,21)</f>
        <v>1277</v>
      </c>
      <c r="I13" s="618">
        <f>VLOOKUP(I$3,'[1]TOD Demand Allocation'!$E$46:$K$129,7,TRUE)+VLOOKUP(I3,'[3]Demand Forecast'!$B$10:$Y$126,21)</f>
        <v>1238</v>
      </c>
      <c r="J13" s="618">
        <f>VLOOKUP(J$3,'[1]TOD Demand Allocation'!$E$46:$K$129,7,TRUE)+VLOOKUP(J3,'[3]Demand Forecast'!$B$10:$Y$126,21)</f>
        <v>1232</v>
      </c>
      <c r="K13" s="618">
        <f>VLOOKUP(K$3,'[1]TOD Demand Allocation'!$E$46:$K$129,7,TRUE)+VLOOKUP(K3,'[3]Demand Forecast'!$B$10:$Y$126,21)</f>
        <v>1264</v>
      </c>
      <c r="L13" s="618">
        <f>VLOOKUP(L$3,'[1]TOD Demand Allocation'!$E$46:$K$129,7,TRUE)+VLOOKUP(L3,'[3]Demand Forecast'!$B$10:$Y$126,21)</f>
        <v>1199</v>
      </c>
      <c r="M13" s="618">
        <f>VLOOKUP(M$3,'[1]TOD Demand Allocation'!$E$46:$K$129,7,TRUE)+VLOOKUP(M3,'[3]Demand Forecast'!$B$10:$Y$126,21)</f>
        <v>1197</v>
      </c>
      <c r="N13" s="7"/>
      <c r="O13" s="63">
        <v>1192</v>
      </c>
      <c r="P13" s="63">
        <v>1130</v>
      </c>
      <c r="Q13" s="63">
        <v>1166</v>
      </c>
      <c r="R13" s="63">
        <v>1184</v>
      </c>
      <c r="S13" s="63">
        <v>1128</v>
      </c>
      <c r="T13" s="63">
        <v>1037</v>
      </c>
      <c r="V13" s="63">
        <v>1152</v>
      </c>
      <c r="W13" s="63">
        <v>1324</v>
      </c>
      <c r="X13" s="63">
        <v>1483</v>
      </c>
      <c r="Y13" s="63">
        <v>1546</v>
      </c>
      <c r="Z13" s="63">
        <v>1478</v>
      </c>
      <c r="AA13" s="63">
        <v>1297</v>
      </c>
      <c r="AB13" s="63">
        <v>1189</v>
      </c>
      <c r="AC13" s="63">
        <v>1132</v>
      </c>
    </row>
    <row r="14" spans="1:29" x14ac:dyDescent="0.25">
      <c r="A14" s="477" t="s">
        <v>13</v>
      </c>
      <c r="B14" s="619"/>
      <c r="C14" s="619"/>
      <c r="D14" s="619"/>
      <c r="E14" s="619"/>
      <c r="F14" s="619"/>
      <c r="G14" s="619"/>
      <c r="H14" s="63"/>
      <c r="I14" s="62"/>
      <c r="J14" s="62"/>
      <c r="K14" s="62"/>
      <c r="L14" s="62"/>
      <c r="M14" s="62"/>
      <c r="N14" s="7"/>
      <c r="O14" s="7"/>
    </row>
    <row r="15" spans="1:29" x14ac:dyDescent="0.25">
      <c r="A15" s="477" t="s">
        <v>14</v>
      </c>
      <c r="B15" s="618">
        <f>VLOOKUP(B$3,'[1]Final Demand including BIR'!$D$8:$Q$91,11,TRUE)</f>
        <v>24</v>
      </c>
      <c r="C15" s="618">
        <f>VLOOKUP(C$3,'[1]Final Demand including BIR'!$D$8:$Q$91,11,TRUE)</f>
        <v>21</v>
      </c>
      <c r="D15" s="618">
        <f>VLOOKUP(D$3,'[1]Final Demand including BIR'!$D$8:$Q$91,11,TRUE)</f>
        <v>22</v>
      </c>
      <c r="E15" s="618">
        <f>VLOOKUP(E$3,'[1]Final Demand including BIR'!$D$8:$Q$91,11,TRUE)</f>
        <v>23</v>
      </c>
      <c r="F15" s="618">
        <f>VLOOKUP(F$3,'[1]Final Demand including BIR'!$D$8:$Q$91,11,TRUE)</f>
        <v>19</v>
      </c>
      <c r="G15" s="618">
        <f>VLOOKUP(G$3,'[1]Final Demand including BIR'!$D$8:$Q$91,11,TRUE)</f>
        <v>18</v>
      </c>
      <c r="H15" s="618">
        <f>VLOOKUP(H$3,'[1]Final Demand including BIR'!$D$8:$Q$91,11,TRUE)</f>
        <v>23</v>
      </c>
      <c r="I15" s="618">
        <f>VLOOKUP(I$3,'[1]Final Demand including BIR'!$D$8:$Q$91,11,TRUE)</f>
        <v>41</v>
      </c>
      <c r="J15" s="618">
        <f>VLOOKUP(J$3,'[1]Final Demand including BIR'!$D$8:$Q$91,11,TRUE)</f>
        <v>46</v>
      </c>
      <c r="K15" s="618">
        <f>VLOOKUP(K$3,'[1]Final Demand including BIR'!$D$8:$Q$91,11,TRUE)</f>
        <v>62</v>
      </c>
      <c r="L15" s="618">
        <f>VLOOKUP(L$3,'[1]Final Demand including BIR'!$D$8:$Q$91,11,TRUE)</f>
        <v>46</v>
      </c>
      <c r="M15" s="618">
        <f>VLOOKUP(M$3,'[1]Final Demand including BIR'!$D$8:$Q$91,11,TRUE)</f>
        <v>28</v>
      </c>
      <c r="N15" s="7"/>
      <c r="O15" s="62">
        <v>20</v>
      </c>
      <c r="P15" s="62">
        <v>37</v>
      </c>
      <c r="Q15" s="62">
        <v>42</v>
      </c>
      <c r="R15" s="62">
        <v>54</v>
      </c>
      <c r="S15" s="62">
        <v>37</v>
      </c>
      <c r="T15" s="62">
        <v>26</v>
      </c>
      <c r="V15" s="62">
        <v>23</v>
      </c>
      <c r="W15" s="62">
        <v>20</v>
      </c>
      <c r="X15" s="62">
        <v>23</v>
      </c>
      <c r="Y15" s="62">
        <v>24</v>
      </c>
      <c r="Z15" s="62">
        <v>21</v>
      </c>
      <c r="AA15" s="62">
        <v>20</v>
      </c>
      <c r="AB15" s="62">
        <v>20</v>
      </c>
      <c r="AC15" s="62">
        <v>38</v>
      </c>
    </row>
    <row r="16" spans="1:29" x14ac:dyDescent="0.25">
      <c r="A16" s="477" t="s">
        <v>15</v>
      </c>
      <c r="B16" s="619">
        <v>0</v>
      </c>
      <c r="C16" s="619">
        <v>0</v>
      </c>
      <c r="D16" s="619">
        <v>0</v>
      </c>
      <c r="E16" s="619">
        <v>0</v>
      </c>
      <c r="F16" s="619">
        <v>0</v>
      </c>
      <c r="G16" s="619">
        <v>0</v>
      </c>
      <c r="H16" s="63">
        <v>0</v>
      </c>
      <c r="I16" s="62">
        <v>0</v>
      </c>
      <c r="J16" s="62">
        <v>0</v>
      </c>
      <c r="K16" s="62">
        <v>0</v>
      </c>
      <c r="L16" s="62">
        <v>0</v>
      </c>
      <c r="M16" s="62">
        <v>0</v>
      </c>
      <c r="N16" s="7"/>
      <c r="O16" s="62">
        <v>0</v>
      </c>
      <c r="P16" s="62">
        <v>0</v>
      </c>
      <c r="Q16" s="62">
        <v>0</v>
      </c>
      <c r="R16" s="62">
        <v>0</v>
      </c>
      <c r="S16" s="62">
        <v>0</v>
      </c>
      <c r="T16" s="62">
        <v>0</v>
      </c>
      <c r="V16" s="62">
        <v>0</v>
      </c>
      <c r="W16" s="62">
        <v>0</v>
      </c>
      <c r="X16" s="62">
        <v>0</v>
      </c>
      <c r="Y16" s="62">
        <v>0</v>
      </c>
      <c r="Z16" s="62">
        <v>0</v>
      </c>
      <c r="AA16" s="62">
        <v>0</v>
      </c>
      <c r="AB16" s="62">
        <v>0</v>
      </c>
      <c r="AC16" s="62">
        <v>0</v>
      </c>
    </row>
    <row r="17" spans="1:29" x14ac:dyDescent="0.25">
      <c r="A17" s="477" t="s">
        <v>16</v>
      </c>
      <c r="B17" s="618">
        <f>VLOOKUP(B$3,'[1]Final Demand including BIR'!$D$8:$Q$91,12,TRUE)</f>
        <v>23</v>
      </c>
      <c r="C17" s="618">
        <f>VLOOKUP(C$3,'[1]Final Demand including BIR'!$D$8:$Q$91,12,TRUE)</f>
        <v>27</v>
      </c>
      <c r="D17" s="618">
        <f>VLOOKUP(D$3,'[1]Final Demand including BIR'!$D$8:$Q$91,12,TRUE)</f>
        <v>23</v>
      </c>
      <c r="E17" s="618">
        <f>VLOOKUP(E$3,'[1]Final Demand including BIR'!$D$8:$Q$91,12,TRUE)</f>
        <v>24</v>
      </c>
      <c r="F17" s="618">
        <f>VLOOKUP(F$3,'[1]Final Demand including BIR'!$D$8:$Q$91,12,TRUE)</f>
        <v>23</v>
      </c>
      <c r="G17" s="618">
        <f>VLOOKUP(G$3,'[1]Final Demand including BIR'!$D$8:$Q$91,12,TRUE)</f>
        <v>18</v>
      </c>
      <c r="H17" s="618">
        <f>VLOOKUP(H$3,'[1]Final Demand including BIR'!$D$8:$Q$91,12,TRUE)</f>
        <v>26</v>
      </c>
      <c r="I17" s="618">
        <f>VLOOKUP(I$3,'[1]Final Demand including BIR'!$D$8:$Q$91,12,TRUE)</f>
        <v>27</v>
      </c>
      <c r="J17" s="618">
        <f>VLOOKUP(J$3,'[1]Final Demand including BIR'!$D$8:$Q$91,12,TRUE)</f>
        <v>32</v>
      </c>
      <c r="K17" s="618">
        <f>VLOOKUP(K$3,'[1]Final Demand including BIR'!$D$8:$Q$91,12,TRUE)</f>
        <v>30</v>
      </c>
      <c r="L17" s="618">
        <f>VLOOKUP(L$3,'[1]Final Demand including BIR'!$D$8:$Q$91,12,TRUE)</f>
        <v>26</v>
      </c>
      <c r="M17" s="618">
        <f>VLOOKUP(M$3,'[1]Final Demand including BIR'!$D$8:$Q$91,12,TRUE)</f>
        <v>26</v>
      </c>
      <c r="N17" s="7"/>
      <c r="O17" s="62">
        <v>28</v>
      </c>
      <c r="P17" s="62">
        <v>33</v>
      </c>
      <c r="Q17" s="62">
        <v>35</v>
      </c>
      <c r="R17" s="62">
        <v>34</v>
      </c>
      <c r="S17" s="62">
        <v>31</v>
      </c>
      <c r="T17" s="62">
        <v>31</v>
      </c>
      <c r="V17" s="62">
        <v>23</v>
      </c>
      <c r="W17" s="62">
        <v>19</v>
      </c>
      <c r="X17" s="62">
        <v>25</v>
      </c>
      <c r="Y17" s="62">
        <v>24</v>
      </c>
      <c r="Z17" s="62">
        <v>23</v>
      </c>
      <c r="AA17" s="62">
        <v>18</v>
      </c>
      <c r="AB17" s="62">
        <v>28</v>
      </c>
      <c r="AC17" s="62">
        <v>34</v>
      </c>
    </row>
    <row r="18" spans="1:29" x14ac:dyDescent="0.25">
      <c r="A18" s="477" t="s">
        <v>17</v>
      </c>
      <c r="B18" s="535">
        <f>'[2]2020 CUS Data'!$M$30</f>
        <v>14.066333333333331</v>
      </c>
      <c r="C18" s="535">
        <f>'[2]2020 CUS Data'!$M$30</f>
        <v>14.066333333333331</v>
      </c>
      <c r="D18" s="535">
        <f>'[2]2020 CUS Data'!$M$30</f>
        <v>14.066333333333331</v>
      </c>
      <c r="E18" s="535">
        <f>'[2]2020 CUS Data'!$M$30</f>
        <v>14.066333333333331</v>
      </c>
      <c r="F18" s="535">
        <f>'[2]2020 CUS Data'!$M$30</f>
        <v>14.066333333333331</v>
      </c>
      <c r="G18" s="535">
        <f>'[2]2020 CUS Data'!$M$30</f>
        <v>14.066333333333331</v>
      </c>
      <c r="H18" s="535">
        <f>'[2]2020 CUS Data'!$M$30</f>
        <v>14.066333333333331</v>
      </c>
      <c r="I18" s="535">
        <f>'[2]2020 CUS Data'!$M$30</f>
        <v>14.066333333333331</v>
      </c>
      <c r="J18" s="535">
        <f>'[2]2020 CUS Data'!$M$30</f>
        <v>14.066333333333331</v>
      </c>
      <c r="K18" s="535">
        <f>'[2]2020 CUS Data'!$M$30</f>
        <v>14.066333333333331</v>
      </c>
      <c r="L18" s="535">
        <f>'[2]2020 CUS Data'!$M$30</f>
        <v>14.066333333333331</v>
      </c>
      <c r="M18" s="535">
        <f>'[2]2020 CUS Data'!$M$30</f>
        <v>14.066333333333331</v>
      </c>
      <c r="N18" s="535"/>
      <c r="O18" s="535">
        <f>'[2]2020 CUS Data'!$M$30</f>
        <v>14.066333333333331</v>
      </c>
      <c r="P18" s="535">
        <f>'[2]2020 CUS Data'!$M$30</f>
        <v>14.066333333333331</v>
      </c>
      <c r="Q18" s="535">
        <f>'[2]2020 CUS Data'!$M$30</f>
        <v>14.066333333333331</v>
      </c>
      <c r="R18" s="535">
        <f>'[2]2020 CUS Data'!$M$30</f>
        <v>14.066333333333331</v>
      </c>
      <c r="S18" s="535">
        <f>'[2]2020 CUS Data'!$M$30</f>
        <v>14.066333333333331</v>
      </c>
      <c r="T18" s="535">
        <f>'[2]2020 CUS Data'!$M$30</f>
        <v>14.066333333333331</v>
      </c>
      <c r="V18" s="65">
        <f>+'[6]2019'!$M$30</f>
        <v>13.741666666666665</v>
      </c>
      <c r="W18" s="65">
        <f>+'[6]2019'!$M$30</f>
        <v>13.741666666666665</v>
      </c>
      <c r="X18" s="65">
        <f>+'[6]2019'!$M$30</f>
        <v>13.741666666666665</v>
      </c>
      <c r="Y18" s="65">
        <f>+'[6]2019'!$M$30</f>
        <v>13.741666666666665</v>
      </c>
      <c r="Z18" s="65">
        <f>+'[6]2019'!$M$30</f>
        <v>13.741666666666665</v>
      </c>
      <c r="AA18" s="65">
        <f>+'[6]2019'!$M$30</f>
        <v>13.741666666666665</v>
      </c>
      <c r="AB18" s="65">
        <f>+'[6]2019'!$M$30</f>
        <v>13.741666666666665</v>
      </c>
      <c r="AC18" s="65">
        <f>+'[6]2019'!$M$30</f>
        <v>13.741666666666665</v>
      </c>
    </row>
    <row r="19" spans="1:29" x14ac:dyDescent="0.25">
      <c r="A19" s="477" t="s">
        <v>29</v>
      </c>
      <c r="B19" s="620">
        <v>0</v>
      </c>
      <c r="C19" s="620">
        <v>0</v>
      </c>
      <c r="D19" s="620">
        <v>0</v>
      </c>
      <c r="E19" s="620">
        <v>0</v>
      </c>
      <c r="F19" s="620">
        <v>0</v>
      </c>
      <c r="G19" s="620">
        <v>0</v>
      </c>
      <c r="H19" s="16">
        <v>0</v>
      </c>
      <c r="I19" s="17">
        <v>0</v>
      </c>
      <c r="J19" s="17">
        <v>0</v>
      </c>
      <c r="K19" s="17">
        <v>0</v>
      </c>
      <c r="L19" s="17">
        <v>0</v>
      </c>
      <c r="M19" s="17">
        <v>0</v>
      </c>
      <c r="N19" s="7"/>
      <c r="O19" s="17">
        <v>0</v>
      </c>
      <c r="P19" s="17">
        <v>0</v>
      </c>
      <c r="Q19" s="17">
        <v>0</v>
      </c>
      <c r="R19" s="17">
        <v>0</v>
      </c>
      <c r="S19" s="17">
        <v>0</v>
      </c>
      <c r="T19" s="17">
        <v>0</v>
      </c>
      <c r="V19" s="17">
        <v>0</v>
      </c>
      <c r="W19" s="17">
        <v>0</v>
      </c>
      <c r="X19" s="17">
        <v>0</v>
      </c>
      <c r="Y19" s="17">
        <v>0</v>
      </c>
      <c r="Z19" s="17">
        <v>0</v>
      </c>
      <c r="AA19" s="17">
        <v>0</v>
      </c>
      <c r="AB19" s="17">
        <v>0</v>
      </c>
      <c r="AC19" s="17">
        <v>0</v>
      </c>
    </row>
    <row r="20" spans="1:29" x14ac:dyDescent="0.25">
      <c r="A20" s="4"/>
      <c r="B20" s="66"/>
      <c r="C20" s="66"/>
      <c r="D20" s="66"/>
      <c r="E20" s="66"/>
      <c r="F20" s="66"/>
      <c r="G20" s="66"/>
      <c r="H20" s="67"/>
      <c r="I20" s="8"/>
      <c r="J20" s="8"/>
      <c r="K20" s="8"/>
      <c r="L20" s="8"/>
      <c r="M20" s="8"/>
      <c r="N20" s="7"/>
      <c r="O20" s="7"/>
    </row>
    <row r="21" spans="1:29" x14ac:dyDescent="0.25">
      <c r="A21" s="10" t="s">
        <v>30</v>
      </c>
      <c r="B21" s="66">
        <f>SUM(B6:B18)</f>
        <v>5432.2307333333329</v>
      </c>
      <c r="C21" s="66">
        <f t="shared" ref="C21:M21" si="2">SUM(C6:C18)</f>
        <v>6004.2252333333336</v>
      </c>
      <c r="D21" s="66">
        <f>SUM(D6:D18)</f>
        <v>6258.1922333333332</v>
      </c>
      <c r="E21" s="66">
        <f t="shared" si="2"/>
        <v>6350.1931333333332</v>
      </c>
      <c r="F21" s="66">
        <f t="shared" si="2"/>
        <v>6160.2017333333333</v>
      </c>
      <c r="G21" s="66">
        <f t="shared" si="2"/>
        <v>5619.2001333333328</v>
      </c>
      <c r="H21" s="64">
        <f t="shared" si="2"/>
        <v>5258.2140333333327</v>
      </c>
      <c r="I21" s="65">
        <f t="shared" si="2"/>
        <v>4947.2525333333333</v>
      </c>
      <c r="J21" s="65">
        <f t="shared" si="2"/>
        <v>5027.2518333333328</v>
      </c>
      <c r="K21" s="65">
        <f t="shared" si="2"/>
        <v>5042.2666333333336</v>
      </c>
      <c r="L21" s="65">
        <f t="shared" si="2"/>
        <v>4964.2434333333331</v>
      </c>
      <c r="M21" s="65">
        <f t="shared" si="2"/>
        <v>5076.225833333333</v>
      </c>
      <c r="N21" s="7"/>
      <c r="O21" s="65"/>
      <c r="P21" s="65"/>
      <c r="Q21" s="65"/>
      <c r="R21" s="65"/>
      <c r="S21" s="65"/>
      <c r="T21" s="65"/>
      <c r="V21" s="65"/>
      <c r="W21" s="65"/>
      <c r="X21" s="65"/>
      <c r="Y21" s="65"/>
      <c r="Z21" s="65"/>
      <c r="AA21" s="65"/>
      <c r="AB21" s="65"/>
      <c r="AC21" s="65"/>
    </row>
    <row r="22" spans="1:29" x14ac:dyDescent="0.25">
      <c r="A22" s="68" t="s">
        <v>31</v>
      </c>
      <c r="B22" s="62">
        <f>VLOOKUP(B$3,'[1]Final Demand including BIR'!$D$8:$Q$91,14,TRUE)+VLOOKUP(B3,'[3]Demand Forecast'!$B$10:$Y$128,24)+VLOOKUP(B$3,'[1]TOD Demand Allocation'!$E$46:$K$129,5,TRUE)+'[2]2020 CUS Data'!$M$30</f>
        <v>5441.0663333333332</v>
      </c>
      <c r="C22" s="62">
        <f>VLOOKUP(C$3,'[1]Final Demand including BIR'!$D$8:$Q$91,14,TRUE)+VLOOKUP(C3,'[3]Demand Forecast'!$B$10:$Y$128,24)+VLOOKUP(C$3,'[1]TOD Demand Allocation'!$E$46:$K$129,5,TRUE)+'[2]2020 CUS Data'!$M$30</f>
        <v>6006.0663333333332</v>
      </c>
      <c r="D22" s="62">
        <f>VLOOKUP(D$3,'[1]Final Demand including BIR'!$D$8:$Q$91,14,TRUE)+VLOOKUP(D3,'[3]Demand Forecast'!$B$10:$Y$128,24)+VLOOKUP(D$3,'[1]TOD Demand Allocation'!$E$46:$K$129,5,TRUE)+'[2]2020 CUS Data'!$M$30</f>
        <v>6269.0663333333332</v>
      </c>
      <c r="E22" s="62">
        <f>VLOOKUP(E$3,'[1]Final Demand including BIR'!$D$8:$Q$91,14,TRUE)+VLOOKUP(E3,'[3]Demand Forecast'!$B$10:$Y$128,24)+VLOOKUP(E$3,'[1]TOD Demand Allocation'!$E$46:$K$129,5,TRUE)+'[2]2020 CUS Data'!$M$30</f>
        <v>6356.0663333333332</v>
      </c>
      <c r="F22" s="62">
        <f>VLOOKUP(F$3,'[1]Final Demand including BIR'!$D$8:$Q$91,14,TRUE)+VLOOKUP(F3,'[3]Demand Forecast'!$B$10:$Y$128,24)+VLOOKUP(F$3,'[1]TOD Demand Allocation'!$E$46:$K$129,5,TRUE)+'[2]2020 CUS Data'!$M$30</f>
        <v>6165.0663333333332</v>
      </c>
      <c r="G22" s="62">
        <f>VLOOKUP(G$3,'[1]Final Demand including BIR'!$D$8:$Q$91,14,TRUE)+VLOOKUP(G3,'[3]Demand Forecast'!$B$10:$Y$128,24)+VLOOKUP(G$3,'[1]TOD Demand Allocation'!$E$46:$K$129,5,TRUE)+'[2]2020 CUS Data'!$M$30</f>
        <v>5629.0663333333332</v>
      </c>
      <c r="H22" s="62">
        <f>VLOOKUP(H$3,'[1]Final Demand including BIR'!$D$8:$Q$91,14,TRUE)+VLOOKUP(H3,'[3]Demand Forecast'!$B$10:$Y$128,24)+VLOOKUP(H$3,'[1]TOD Demand Allocation'!$E$46:$K$129,5,TRUE)+'[2]2020 CUS Data'!$M$30</f>
        <v>5274.0663333333332</v>
      </c>
      <c r="I22" s="62">
        <f>VLOOKUP(I$3,'[1]Final Demand including BIR'!$D$8:$Q$91,14,TRUE)+VLOOKUP(I3,'[3]Demand Forecast'!$B$10:$Y$128,24)+VLOOKUP(I$3,'[1]TOD Demand Allocation'!$E$46:$K$129,5,TRUE)+'[2]2020 CUS Data'!$M$30</f>
        <v>4955.0663333333332</v>
      </c>
      <c r="J22" s="62">
        <f>VLOOKUP(J$3,'[1]Final Demand including BIR'!$D$8:$Q$91,14,TRUE)+VLOOKUP(J3,'[3]Demand Forecast'!$B$10:$Y$128,24)+VLOOKUP(J$3,'[1]TOD Demand Allocation'!$E$46:$K$129,5,TRUE)+'[2]2020 CUS Data'!$M$30</f>
        <v>5038.0663333333332</v>
      </c>
      <c r="K22" s="62">
        <f>VLOOKUP(K$3,'[1]Final Demand including BIR'!$D$8:$Q$91,14,TRUE)+VLOOKUP(K3,'[3]Demand Forecast'!$B$10:$Y$128,24)+VLOOKUP(K$3,'[1]TOD Demand Allocation'!$E$46:$K$129,5,TRUE)+'[2]2020 CUS Data'!$M$30</f>
        <v>5054.0663333333332</v>
      </c>
      <c r="L22" s="62">
        <f>VLOOKUP(L$3,'[1]Final Demand including BIR'!$D$8:$Q$91,14,TRUE)+VLOOKUP(L3,'[3]Demand Forecast'!$B$10:$Y$128,24)+VLOOKUP(L$3,'[1]TOD Demand Allocation'!$E$46:$K$129,5,TRUE)+'[2]2020 CUS Data'!$M$30</f>
        <v>4972.0663333333332</v>
      </c>
      <c r="M22" s="62">
        <f>VLOOKUP(M$3,'[1]Final Demand including BIR'!$D$8:$Q$91,14,TRUE)+VLOOKUP(M3,'[3]Demand Forecast'!$B$10:$Y$128,24)+VLOOKUP(M$3,'[1]TOD Demand Allocation'!$E$46:$K$129,5,TRUE)+'[2]2020 CUS Data'!$M$30</f>
        <v>5084.0663333333332</v>
      </c>
      <c r="N22" s="13"/>
      <c r="O22" s="62"/>
      <c r="P22" s="62"/>
      <c r="Q22" s="62"/>
      <c r="R22" s="62"/>
      <c r="S22" s="62"/>
      <c r="T22" s="62"/>
      <c r="V22" s="62"/>
      <c r="W22" s="62"/>
      <c r="X22" s="62"/>
      <c r="Y22" s="62"/>
      <c r="Z22" s="62"/>
      <c r="AA22" s="62"/>
      <c r="AB22" s="62"/>
      <c r="AC22" s="62"/>
    </row>
    <row r="23" spans="1:29" x14ac:dyDescent="0.25">
      <c r="A23" s="15" t="s">
        <v>104</v>
      </c>
      <c r="B23" s="66">
        <f>ROUND(B21-B22,2)</f>
        <v>-8.84</v>
      </c>
      <c r="C23" s="66">
        <f t="shared" ref="C23:M23" si="3">ROUND(C21-C22,2)</f>
        <v>-1.84</v>
      </c>
      <c r="D23" s="66">
        <f>ROUND(D21-D22,2)</f>
        <v>-10.87</v>
      </c>
      <c r="E23" s="66">
        <f t="shared" si="3"/>
        <v>-5.87</v>
      </c>
      <c r="F23" s="66">
        <f t="shared" si="3"/>
        <v>-4.8600000000000003</v>
      </c>
      <c r="G23" s="66">
        <f t="shared" si="3"/>
        <v>-9.8699999999999992</v>
      </c>
      <c r="H23" s="69">
        <f t="shared" si="3"/>
        <v>-15.85</v>
      </c>
      <c r="I23" s="66">
        <f t="shared" si="3"/>
        <v>-7.81</v>
      </c>
      <c r="J23" s="66">
        <f t="shared" si="3"/>
        <v>-10.81</v>
      </c>
      <c r="K23" s="66">
        <f t="shared" si="3"/>
        <v>-11.8</v>
      </c>
      <c r="L23" s="66">
        <f t="shared" si="3"/>
        <v>-7.82</v>
      </c>
      <c r="M23" s="66">
        <f t="shared" si="3"/>
        <v>-7.84</v>
      </c>
      <c r="N23" s="13"/>
      <c r="O23" s="66">
        <f t="shared" ref="O23:T23" si="4">ROUND(O21-O22,2)</f>
        <v>0</v>
      </c>
      <c r="P23" s="66">
        <f t="shared" si="4"/>
        <v>0</v>
      </c>
      <c r="Q23" s="66">
        <f t="shared" si="4"/>
        <v>0</v>
      </c>
      <c r="R23" s="66">
        <f t="shared" si="4"/>
        <v>0</v>
      </c>
      <c r="S23" s="66">
        <f t="shared" si="4"/>
        <v>0</v>
      </c>
      <c r="T23" s="66">
        <f t="shared" si="4"/>
        <v>0</v>
      </c>
      <c r="V23" s="66">
        <f t="shared" ref="V23:AC23" si="5">ROUND(V21-V22,2)</f>
        <v>0</v>
      </c>
      <c r="W23" s="66">
        <f t="shared" si="5"/>
        <v>0</v>
      </c>
      <c r="X23" s="66">
        <f t="shared" si="5"/>
        <v>0</v>
      </c>
      <c r="Y23" s="66">
        <f t="shared" si="5"/>
        <v>0</v>
      </c>
      <c r="Z23" s="66">
        <f t="shared" si="5"/>
        <v>0</v>
      </c>
      <c r="AA23" s="66">
        <f t="shared" si="5"/>
        <v>0</v>
      </c>
      <c r="AB23" s="66">
        <f t="shared" si="5"/>
        <v>0</v>
      </c>
      <c r="AC23" s="66">
        <f t="shared" si="5"/>
        <v>0</v>
      </c>
    </row>
    <row r="24" spans="1:29" x14ac:dyDescent="0.25">
      <c r="A24" s="15"/>
      <c r="B24" s="66"/>
      <c r="C24" s="66"/>
      <c r="D24" s="66"/>
      <c r="E24" s="66"/>
      <c r="F24" s="66"/>
      <c r="G24" s="66"/>
      <c r="H24" s="70"/>
      <c r="I24" s="71"/>
      <c r="J24" s="71"/>
      <c r="K24" s="71"/>
      <c r="L24" s="71"/>
      <c r="M24" s="71"/>
      <c r="N24" s="13"/>
      <c r="O24" s="71"/>
      <c r="P24" s="71"/>
      <c r="Q24" s="71"/>
      <c r="R24" s="71"/>
      <c r="S24" s="71"/>
      <c r="T24" s="71"/>
      <c r="V24" s="71"/>
      <c r="W24" s="71"/>
      <c r="X24" s="71"/>
      <c r="Y24" s="71"/>
      <c r="Z24" s="71"/>
      <c r="AA24" s="71"/>
      <c r="AB24" s="71"/>
      <c r="AC24" s="71"/>
    </row>
    <row r="25" spans="1:29" x14ac:dyDescent="0.25">
      <c r="A25" t="s">
        <v>33</v>
      </c>
      <c r="B25" s="66"/>
      <c r="C25" s="66"/>
      <c r="D25" s="66"/>
      <c r="E25" s="66"/>
      <c r="F25" s="66"/>
      <c r="G25" s="66"/>
      <c r="H25" s="70"/>
      <c r="I25" s="71"/>
      <c r="J25" s="71"/>
      <c r="K25" s="71"/>
      <c r="L25" s="71"/>
      <c r="M25" s="71"/>
      <c r="N25" s="13"/>
      <c r="O25" s="71"/>
      <c r="P25" s="71"/>
      <c r="Q25" s="71"/>
      <c r="R25" s="71"/>
      <c r="S25" s="71"/>
      <c r="T25" s="71"/>
      <c r="V25" s="71"/>
      <c r="W25" s="71"/>
      <c r="X25" s="71"/>
      <c r="Y25" s="71"/>
      <c r="Z25" s="71"/>
      <c r="AA25" s="71"/>
      <c r="AB25" s="71"/>
      <c r="AC25" s="71"/>
    </row>
    <row r="26" spans="1:29" x14ac:dyDescent="0.25">
      <c r="A26" s="195" t="s">
        <v>34</v>
      </c>
      <c r="B26" s="758">
        <f>B6-VLOOKUP(B$3,'[1]Final Demand including BIR'!$D$8:$Q$91,2,TRUE)</f>
        <v>0.16439999999999999</v>
      </c>
      <c r="C26" s="63">
        <f>C6-VLOOKUP(C$3,'[1]Final Demand including BIR'!$D$8:$Q$91,2,TRUE)</f>
        <v>0.15889999999999999</v>
      </c>
      <c r="D26" s="63">
        <f>D6-VLOOKUP(D$3,'[1]Final Demand including BIR'!$D$8:$Q$91,2,TRUE)</f>
        <v>0.12590000000000001</v>
      </c>
      <c r="E26" s="63">
        <f>E6-VLOOKUP(E$3,'[1]Final Demand including BIR'!$D$8:$Q$91,2,TRUE)</f>
        <v>0.1268</v>
      </c>
      <c r="F26" s="63">
        <f>F6-VLOOKUP(F$3,'[1]Final Demand including BIR'!$D$8:$Q$91,2,TRUE)</f>
        <v>0.13539999999999999</v>
      </c>
      <c r="G26" s="63">
        <f>G6-VLOOKUP(G$3,'[1]Final Demand including BIR'!$D$8:$Q$91,2,TRUE)</f>
        <v>0.1338</v>
      </c>
      <c r="H26" s="63">
        <f>H6-VLOOKUP(H$3,'[1]Final Demand including BIR'!$D$8:$Q$91,2,TRUE)</f>
        <v>0.1477</v>
      </c>
      <c r="I26" s="63">
        <f>I6-VLOOKUP(I$3,'[1]Final Demand including BIR'!$D$8:$Q$91,2,TRUE)</f>
        <v>0.1862</v>
      </c>
      <c r="J26" s="63">
        <f>J6-VLOOKUP(J$3,'[1]Final Demand including BIR'!$D$8:$Q$91,2,TRUE)</f>
        <v>-1.8145</v>
      </c>
      <c r="K26" s="63">
        <f>K6-VLOOKUP(K$3,'[1]Final Demand including BIR'!$D$8:$Q$91,2,TRUE)</f>
        <v>0.20030000000000001</v>
      </c>
      <c r="L26" s="63">
        <f>L6-VLOOKUP(L$3,'[1]Final Demand including BIR'!$D$8:$Q$91,2,TRUE)</f>
        <v>0.17710000000000001</v>
      </c>
      <c r="M26" s="63">
        <f>M6-VLOOKUP(M$3,'[1]Final Demand including BIR'!$D$8:$Q$91,2,TRUE)</f>
        <v>0.1595</v>
      </c>
      <c r="N26" s="13"/>
      <c r="O26" s="62">
        <v>0.1477</v>
      </c>
      <c r="P26" s="62">
        <v>0.1862</v>
      </c>
      <c r="Q26" s="62">
        <v>-1.8145</v>
      </c>
      <c r="R26" s="62">
        <v>0.20030000000000001</v>
      </c>
      <c r="S26" s="62">
        <v>0.17710000000000001</v>
      </c>
      <c r="T26" s="62">
        <v>0.1595</v>
      </c>
      <c r="V26" s="62">
        <v>0.16439999999999999</v>
      </c>
      <c r="W26" s="62">
        <v>0.15889999999999999</v>
      </c>
      <c r="X26" s="62">
        <v>0.12590000000000001</v>
      </c>
      <c r="Y26" s="62">
        <v>0.1268</v>
      </c>
      <c r="Z26" s="62">
        <v>0.13539999999999999</v>
      </c>
      <c r="AA26" s="62">
        <v>0.1338</v>
      </c>
      <c r="AB26" s="62">
        <v>0.1477</v>
      </c>
      <c r="AC26" s="62">
        <v>0.1862</v>
      </c>
    </row>
    <row r="27" spans="1:29" x14ac:dyDescent="0.25">
      <c r="A27" t="s">
        <v>36</v>
      </c>
      <c r="B27" s="72">
        <f>B18-'[3]Demand Forecast'!$Z$14</f>
        <v>-9.0036666666666694</v>
      </c>
      <c r="C27" s="72">
        <f>C18-'[3]Demand Forecast'!$Z$15</f>
        <v>-2.0036666666666694</v>
      </c>
      <c r="D27" s="72">
        <f>D18-'[3]Demand Forecast'!$Z$16</f>
        <v>-10.993666666666668</v>
      </c>
      <c r="E27" s="72">
        <f>E18-'[3]Demand Forecast'!$Z$17</f>
        <v>-5.9936666666666678</v>
      </c>
      <c r="F27" s="72">
        <f>F18-'[3]Demand Forecast'!$Z$18</f>
        <v>-4.9936666666666678</v>
      </c>
      <c r="G27" s="72">
        <f>G18-'[3]Demand Forecast'!$Z$19</f>
        <v>-10.003666666666669</v>
      </c>
      <c r="H27" s="72">
        <f>H18-'[3]Demand Forecast'!$Z$20</f>
        <v>-15.993666666666671</v>
      </c>
      <c r="I27" s="72">
        <f>I18-'[3]Demand Forecast'!$Z$21</f>
        <v>-7.9936666666666678</v>
      </c>
      <c r="J27" s="72">
        <f>J18-'[3]Demand Forecast'!$Z$25</f>
        <v>-8.9936666666666714</v>
      </c>
      <c r="K27" s="72">
        <f>K18-'[3]Demand Forecast'!$Z$26</f>
        <v>-12.003666666666669</v>
      </c>
      <c r="L27" s="72">
        <f>L18-'[3]Demand Forecast'!$Z$27</f>
        <v>-7.9936666666666714</v>
      </c>
      <c r="M27" s="72">
        <f>M18-'[3]Demand Forecast'!$Z$28</f>
        <v>-8.0036666666666694</v>
      </c>
      <c r="N27" s="475"/>
      <c r="O27" s="73">
        <v>-8.9336666666666691</v>
      </c>
      <c r="P27" s="73">
        <v>-8.9336666666666691</v>
      </c>
      <c r="Q27" s="73">
        <v>-8.9336666666666691</v>
      </c>
      <c r="R27" s="73">
        <v>-8.9336666666666691</v>
      </c>
      <c r="S27" s="73">
        <v>-8.9336666666666691</v>
      </c>
      <c r="T27" s="73">
        <v>-8.9336666666666691</v>
      </c>
      <c r="V27" s="73">
        <v>-9.2583333333333346</v>
      </c>
      <c r="W27" s="73">
        <v>-9.2583333333333346</v>
      </c>
      <c r="X27" s="73">
        <v>-9.2583333333333346</v>
      </c>
      <c r="Y27" s="73">
        <v>-9.2583333333333346</v>
      </c>
      <c r="Z27" s="73">
        <v>-9.2583333333333346</v>
      </c>
      <c r="AA27" s="73">
        <v>-9.2583333333333346</v>
      </c>
      <c r="AB27" s="73">
        <v>-9.2583333333333346</v>
      </c>
      <c r="AC27" s="73">
        <v>-9.2583333333333346</v>
      </c>
    </row>
    <row r="28" spans="1:29" x14ac:dyDescent="0.25">
      <c r="A28" t="s">
        <v>37</v>
      </c>
      <c r="B28" s="759"/>
      <c r="C28" s="759"/>
      <c r="D28" s="759"/>
      <c r="E28" s="759"/>
      <c r="F28" s="759"/>
      <c r="G28" s="759"/>
      <c r="H28" s="759"/>
      <c r="I28" s="759"/>
      <c r="J28" s="759"/>
      <c r="K28" s="759"/>
      <c r="L28" s="759"/>
      <c r="M28" s="759"/>
      <c r="N28" s="13"/>
      <c r="O28" s="66">
        <v>0</v>
      </c>
      <c r="P28" s="66">
        <v>0</v>
      </c>
      <c r="Q28" s="66">
        <v>0</v>
      </c>
      <c r="R28" s="66">
        <v>0</v>
      </c>
      <c r="S28" s="66">
        <v>0</v>
      </c>
      <c r="T28" s="66">
        <v>0</v>
      </c>
      <c r="V28" s="66">
        <v>0</v>
      </c>
      <c r="W28" s="66">
        <v>0</v>
      </c>
      <c r="X28" s="66">
        <v>0</v>
      </c>
      <c r="Y28" s="66">
        <v>0</v>
      </c>
      <c r="Z28" s="66">
        <v>0</v>
      </c>
      <c r="AA28" s="66">
        <v>0</v>
      </c>
      <c r="AB28" s="66">
        <v>0</v>
      </c>
      <c r="AC28" s="66">
        <v>0</v>
      </c>
    </row>
    <row r="29" spans="1:29" x14ac:dyDescent="0.25">
      <c r="B29" s="24">
        <f>ROUND(SUM(B26:B28),2)</f>
        <v>-8.84</v>
      </c>
      <c r="C29" s="24">
        <f t="shared" ref="C29:M29" si="6">ROUND(SUM(C26:C28),2)</f>
        <v>-1.84</v>
      </c>
      <c r="D29" s="24">
        <f t="shared" si="6"/>
        <v>-10.87</v>
      </c>
      <c r="E29" s="24">
        <f t="shared" si="6"/>
        <v>-5.87</v>
      </c>
      <c r="F29" s="24">
        <f t="shared" si="6"/>
        <v>-4.8600000000000003</v>
      </c>
      <c r="G29" s="24">
        <f t="shared" si="6"/>
        <v>-9.8699999999999992</v>
      </c>
      <c r="H29" s="74">
        <f t="shared" si="6"/>
        <v>-15.85</v>
      </c>
      <c r="I29" s="24">
        <f t="shared" si="6"/>
        <v>-7.81</v>
      </c>
      <c r="J29" s="24">
        <f t="shared" si="6"/>
        <v>-10.81</v>
      </c>
      <c r="K29" s="24">
        <f t="shared" si="6"/>
        <v>-11.8</v>
      </c>
      <c r="L29" s="24">
        <f t="shared" si="6"/>
        <v>-7.82</v>
      </c>
      <c r="M29" s="24">
        <f t="shared" si="6"/>
        <v>-7.84</v>
      </c>
      <c r="N29" s="13"/>
      <c r="O29" s="24">
        <f>ROUND(SUM(O26:O28),2)</f>
        <v>-8.7899999999999991</v>
      </c>
      <c r="P29" s="24">
        <f t="shared" ref="P29:T29" si="7">ROUND(SUM(P26:P28),2)</f>
        <v>-8.75</v>
      </c>
      <c r="Q29" s="24">
        <f t="shared" si="7"/>
        <v>-10.75</v>
      </c>
      <c r="R29" s="24">
        <f t="shared" si="7"/>
        <v>-8.73</v>
      </c>
      <c r="S29" s="24">
        <f t="shared" si="7"/>
        <v>-8.76</v>
      </c>
      <c r="T29" s="24">
        <f t="shared" si="7"/>
        <v>-8.77</v>
      </c>
      <c r="V29" s="24">
        <f t="shared" ref="V29:AC29" si="8">ROUND(SUM(V26:V28),2)</f>
        <v>-9.09</v>
      </c>
      <c r="W29" s="24">
        <f t="shared" si="8"/>
        <v>-9.1</v>
      </c>
      <c r="X29" s="24">
        <f t="shared" si="8"/>
        <v>-9.1300000000000008</v>
      </c>
      <c r="Y29" s="24">
        <f t="shared" si="8"/>
        <v>-9.1300000000000008</v>
      </c>
      <c r="Z29" s="24">
        <f t="shared" si="8"/>
        <v>-9.1199999999999992</v>
      </c>
      <c r="AA29" s="24">
        <f t="shared" si="8"/>
        <v>-9.1199999999999992</v>
      </c>
      <c r="AB29" s="24">
        <f t="shared" si="8"/>
        <v>-9.11</v>
      </c>
      <c r="AC29" s="24">
        <f t="shared" si="8"/>
        <v>-9.07</v>
      </c>
    </row>
    <row r="30" spans="1:29" x14ac:dyDescent="0.25">
      <c r="B30" s="24" t="b">
        <f>B29=B23</f>
        <v>1</v>
      </c>
      <c r="C30" s="24" t="b">
        <f t="shared" ref="C30:M30" si="9">C29=C23</f>
        <v>1</v>
      </c>
      <c r="D30" s="24" t="b">
        <f t="shared" si="9"/>
        <v>1</v>
      </c>
      <c r="E30" s="24" t="b">
        <f t="shared" si="9"/>
        <v>1</v>
      </c>
      <c r="F30" s="24" t="b">
        <f t="shared" si="9"/>
        <v>1</v>
      </c>
      <c r="G30" s="24" t="b">
        <f t="shared" si="9"/>
        <v>1</v>
      </c>
      <c r="H30" s="74" t="b">
        <f t="shared" si="9"/>
        <v>1</v>
      </c>
      <c r="I30" s="24" t="b">
        <f t="shared" si="9"/>
        <v>1</v>
      </c>
      <c r="J30" s="24" t="b">
        <f t="shared" si="9"/>
        <v>1</v>
      </c>
      <c r="K30" s="24" t="b">
        <f t="shared" si="9"/>
        <v>1</v>
      </c>
      <c r="L30" s="24" t="b">
        <f t="shared" si="9"/>
        <v>1</v>
      </c>
      <c r="M30" s="24" t="b">
        <f t="shared" si="9"/>
        <v>1</v>
      </c>
      <c r="N30" s="13"/>
      <c r="O30" s="24"/>
      <c r="P30" s="24"/>
      <c r="Q30" s="24"/>
      <c r="R30" s="24"/>
      <c r="S30" s="24"/>
      <c r="T30" s="24"/>
      <c r="V30" s="24"/>
      <c r="W30" s="24"/>
      <c r="X30" s="24"/>
      <c r="Y30" s="24"/>
      <c r="Z30" s="24"/>
      <c r="AA30" s="24"/>
      <c r="AB30" s="24"/>
      <c r="AC30" s="24"/>
    </row>
    <row r="31" spans="1:29" x14ac:dyDescent="0.25"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</row>
    <row r="32" spans="1:29" x14ac:dyDescent="0.25">
      <c r="B32" s="29" t="s">
        <v>105</v>
      </c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</row>
    <row r="33" spans="2:15" x14ac:dyDescent="0.25"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</row>
    <row r="34" spans="2:15" x14ac:dyDescent="0.25"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13"/>
      <c r="O34" s="13"/>
    </row>
    <row r="35" spans="2:15" x14ac:dyDescent="0.25">
      <c r="B35" s="24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</row>
    <row r="36" spans="2:15" x14ac:dyDescent="0.25"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</row>
  </sheetData>
  <mergeCells count="3">
    <mergeCell ref="B1:M1"/>
    <mergeCell ref="A2:M2"/>
    <mergeCell ref="A4:M4"/>
  </mergeCells>
  <hyperlinks>
    <hyperlink ref="B32" r:id="rId1" xr:uid="{00000000-0004-0000-0200-000000000000}"/>
    <hyperlink ref="B1:M1" r:id="rId2" display="Demand Forecast Based On 2020 Operating Budget Forecast" xr:uid="{00000000-0004-0000-0200-000001000000}"/>
  </hyperlinks>
  <pageMargins left="0.75" right="0.75" top="1" bottom="1" header="0.5" footer="0.5"/>
  <pageSetup paperSize="5" orientation="landscape" r:id="rId3"/>
  <headerFooter alignWithMargins="0">
    <oddFooter>&amp;L&amp;F
&amp;A</oddFooter>
  </headerFooter>
  <colBreaks count="1" manualBreakCount="1">
    <brk id="13" max="1048575" man="1"/>
  </colBreaks>
  <ignoredErrors>
    <ignoredError sqref="K6" formula="1"/>
  </ignoredErrors>
  <legacy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tabColor indexed="8"/>
  </sheetPr>
  <dimension ref="A1:AC35"/>
  <sheetViews>
    <sheetView zoomScaleNormal="100" workbookViewId="0">
      <selection sqref="A1:M1"/>
    </sheetView>
  </sheetViews>
  <sheetFormatPr defaultColWidth="15.7265625" defaultRowHeight="12.5" x14ac:dyDescent="0.25"/>
  <cols>
    <col min="1" max="1" width="15.7265625" customWidth="1"/>
    <col min="2" max="2" width="12.81640625" customWidth="1"/>
    <col min="3" max="3" width="11.453125" customWidth="1"/>
    <col min="4" max="4" width="13.7265625" customWidth="1"/>
    <col min="5" max="5" width="11.453125" customWidth="1"/>
    <col min="6" max="7" width="13.54296875" customWidth="1"/>
    <col min="8" max="8" width="12.81640625" bestFit="1" customWidth="1"/>
    <col min="9" max="13" width="11.453125" bestFit="1" customWidth="1"/>
  </cols>
  <sheetData>
    <row r="1" spans="1:29" ht="13" x14ac:dyDescent="0.3">
      <c r="A1" s="769" t="s">
        <v>106</v>
      </c>
      <c r="B1" s="769"/>
      <c r="C1" s="769"/>
      <c r="D1" s="769"/>
      <c r="E1" s="769"/>
      <c r="F1" s="769"/>
      <c r="G1" s="769"/>
      <c r="H1" s="769"/>
      <c r="I1" s="769"/>
      <c r="J1" s="769"/>
      <c r="K1" s="769"/>
      <c r="L1" s="769"/>
      <c r="M1" s="769"/>
      <c r="O1" s="191" t="s">
        <v>338</v>
      </c>
      <c r="P1" s="191"/>
      <c r="Q1" s="191"/>
      <c r="R1" s="191"/>
    </row>
    <row r="2" spans="1:29" x14ac:dyDescent="0.25">
      <c r="O2" t="s">
        <v>576</v>
      </c>
      <c r="V2" t="s">
        <v>632</v>
      </c>
    </row>
    <row r="3" spans="1:29" x14ac:dyDescent="0.25">
      <c r="B3" s="26">
        <f>'Sales Forecast'!B6</f>
        <v>44682</v>
      </c>
      <c r="C3" s="26">
        <f>'Sales Forecast'!C6</f>
        <v>44713</v>
      </c>
      <c r="D3" s="26">
        <f>'Sales Forecast'!D6</f>
        <v>44743</v>
      </c>
      <c r="E3" s="26">
        <f>'Sales Forecast'!E6</f>
        <v>44774</v>
      </c>
      <c r="F3" s="26">
        <f>'Sales Forecast'!F6</f>
        <v>44805</v>
      </c>
      <c r="G3" s="26">
        <f>'Sales Forecast'!G6</f>
        <v>44835</v>
      </c>
      <c r="H3" s="638">
        <f>'Sales Forecast'!H6</f>
        <v>44530</v>
      </c>
      <c r="I3" s="638">
        <f>'Sales Forecast'!I6</f>
        <v>44531</v>
      </c>
      <c r="J3" s="638">
        <f>'Sales Forecast'!J6</f>
        <v>44562</v>
      </c>
      <c r="K3" s="638">
        <f>'Sales Forecast'!K6</f>
        <v>44593</v>
      </c>
      <c r="L3" s="638">
        <f>'Sales Forecast'!L6</f>
        <v>44621</v>
      </c>
      <c r="M3" s="638">
        <f>'Sales Forecast'!M6</f>
        <v>44652</v>
      </c>
      <c r="O3" s="566">
        <v>44520</v>
      </c>
      <c r="P3" s="566">
        <v>44550</v>
      </c>
      <c r="Q3" s="566">
        <v>44581</v>
      </c>
      <c r="R3" s="566">
        <v>44612</v>
      </c>
      <c r="S3" s="566">
        <v>44640</v>
      </c>
      <c r="T3" s="566">
        <v>44671</v>
      </c>
      <c r="V3" s="566">
        <v>44701</v>
      </c>
      <c r="W3" s="566">
        <v>44732</v>
      </c>
      <c r="X3" s="566">
        <v>44762</v>
      </c>
      <c r="Y3" s="566">
        <v>44793</v>
      </c>
      <c r="Z3" s="566">
        <v>44824</v>
      </c>
      <c r="AA3" s="566">
        <v>44854</v>
      </c>
      <c r="AB3" s="566">
        <v>44885</v>
      </c>
      <c r="AC3" s="566">
        <v>44915</v>
      </c>
    </row>
    <row r="4" spans="1:29" x14ac:dyDescent="0.25">
      <c r="B4" s="26"/>
      <c r="C4" s="26"/>
      <c r="D4" s="26"/>
      <c r="E4" s="26"/>
      <c r="F4" s="26"/>
      <c r="G4" s="26"/>
      <c r="H4" s="26"/>
      <c r="I4" s="26"/>
      <c r="J4" s="26"/>
      <c r="K4" s="26"/>
      <c r="L4" s="26"/>
      <c r="M4" s="26"/>
    </row>
    <row r="5" spans="1:29" x14ac:dyDescent="0.25">
      <c r="A5" s="10"/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</row>
    <row r="6" spans="1:29" x14ac:dyDescent="0.25">
      <c r="A6" s="477" t="s">
        <v>2</v>
      </c>
      <c r="B6" s="475">
        <f>ROUND('Demand Forecast'!B6*1000,0)</f>
        <v>164</v>
      </c>
      <c r="C6" s="475">
        <f>ROUND('Demand Forecast'!C6*1000,0)</f>
        <v>159</v>
      </c>
      <c r="D6" s="475">
        <f>ROUND('Demand Forecast'!D6*1000,0)</f>
        <v>126</v>
      </c>
      <c r="E6" s="475">
        <f>ROUND('Demand Forecast'!E6*1000,0)</f>
        <v>127</v>
      </c>
      <c r="F6" s="475">
        <f>ROUND('Demand Forecast'!F6*1000,0)</f>
        <v>135</v>
      </c>
      <c r="G6" s="475">
        <f>ROUND('Demand Forecast'!G6*1000,0)</f>
        <v>134</v>
      </c>
      <c r="H6" s="475">
        <f>ROUND('Demand Forecast'!H6*1000,0)</f>
        <v>148</v>
      </c>
      <c r="I6" s="475">
        <f>ROUND('Demand Forecast'!I6*1000,0)</f>
        <v>186</v>
      </c>
      <c r="J6" s="475">
        <f>ROUND('Demand Forecast'!J6*1000,0)</f>
        <v>186</v>
      </c>
      <c r="K6" s="475">
        <f>ROUND('Demand Forecast'!K6*1000,0)</f>
        <v>200</v>
      </c>
      <c r="L6" s="475">
        <f>ROUND('Demand Forecast'!L6*1000,0)</f>
        <v>177</v>
      </c>
      <c r="M6" s="475">
        <f>ROUND('Demand Forecast'!M6*1000,0)</f>
        <v>160</v>
      </c>
      <c r="O6" s="475">
        <f>ROUND('Demand Forecast'!O6*1000,0)</f>
        <v>148</v>
      </c>
      <c r="P6" s="475">
        <f>ROUND('Demand Forecast'!P6*1000,0)</f>
        <v>186</v>
      </c>
      <c r="Q6" s="475">
        <f>ROUND('Demand Forecast'!Q6*1000,0)</f>
        <v>186</v>
      </c>
      <c r="R6" s="475">
        <f>ROUND('Demand Forecast'!R6*1000,0)</f>
        <v>200</v>
      </c>
      <c r="S6" s="475">
        <f>ROUND('Demand Forecast'!S6*1000,0)</f>
        <v>177</v>
      </c>
      <c r="T6" s="475">
        <f>ROUND('Demand Forecast'!T6*1000,0)</f>
        <v>160</v>
      </c>
      <c r="V6" s="475">
        <f>ROUND('Demand Forecast'!V6*1000,0)</f>
        <v>164</v>
      </c>
      <c r="W6" s="475">
        <f>ROUND('Demand Forecast'!W6*1000,0)</f>
        <v>159</v>
      </c>
      <c r="X6" s="475">
        <f>ROUND('Demand Forecast'!X6*1000,0)</f>
        <v>126</v>
      </c>
      <c r="Y6" s="475">
        <f>ROUND('Demand Forecast'!Y6*1000,0)</f>
        <v>127</v>
      </c>
      <c r="Z6" s="475">
        <f>ROUND('Demand Forecast'!Z6*1000,0)</f>
        <v>135</v>
      </c>
      <c r="AA6" s="475">
        <f>ROUND('Demand Forecast'!AA6*1000,0)</f>
        <v>134</v>
      </c>
      <c r="AB6" s="475">
        <f>ROUND('Demand Forecast'!AB6*1000,0)</f>
        <v>148</v>
      </c>
      <c r="AC6" s="475">
        <f>ROUND('Demand Forecast'!AC6*1000,0)</f>
        <v>186</v>
      </c>
    </row>
    <row r="7" spans="1:29" x14ac:dyDescent="0.25">
      <c r="A7" s="477" t="s">
        <v>4</v>
      </c>
      <c r="B7" s="475">
        <f>ROUND('Demand Forecast'!B7*1000,0)</f>
        <v>16000</v>
      </c>
      <c r="C7" s="475">
        <f>ROUND('Demand Forecast'!C7*1000,0)</f>
        <v>16000</v>
      </c>
      <c r="D7" s="475">
        <f>ROUND('Demand Forecast'!D7*1000,0)</f>
        <v>19000</v>
      </c>
      <c r="E7" s="475">
        <f>ROUND('Demand Forecast'!E7*1000,0)</f>
        <v>19000</v>
      </c>
      <c r="F7" s="475">
        <f>ROUND('Demand Forecast'!F7*1000,0)</f>
        <v>18000</v>
      </c>
      <c r="G7" s="475">
        <f>ROUND('Demand Forecast'!G7*1000,0)</f>
        <v>18000</v>
      </c>
      <c r="H7" s="475">
        <f>ROUND('Demand Forecast'!H7*1000,0)</f>
        <v>16000</v>
      </c>
      <c r="I7" s="475">
        <f>ROUND('Demand Forecast'!I7*1000,0)</f>
        <v>20000</v>
      </c>
      <c r="J7" s="475">
        <f>ROUND('Demand Forecast'!J7*1000,0)</f>
        <v>15000</v>
      </c>
      <c r="K7" s="475">
        <f>ROUND('Demand Forecast'!K7*1000,0)</f>
        <v>24000</v>
      </c>
      <c r="L7" s="475">
        <f>ROUND('Demand Forecast'!L7*1000,0)</f>
        <v>21000</v>
      </c>
      <c r="M7" s="475">
        <f>ROUND('Demand Forecast'!M7*1000,0)</f>
        <v>21000</v>
      </c>
      <c r="O7" s="475">
        <f>ROUND('Demand Forecast'!O7*1000,0)</f>
        <v>19000</v>
      </c>
      <c r="P7" s="475">
        <f>ROUND('Demand Forecast'!P7*1000,0)</f>
        <v>15000</v>
      </c>
      <c r="Q7" s="475">
        <f>ROUND('Demand Forecast'!Q7*1000,0)</f>
        <v>14000</v>
      </c>
      <c r="R7" s="475">
        <f>ROUND('Demand Forecast'!R7*1000,0)</f>
        <v>28000</v>
      </c>
      <c r="S7" s="475">
        <f>ROUND('Demand Forecast'!S7*1000,0)</f>
        <v>22000</v>
      </c>
      <c r="T7" s="475">
        <f>ROUND('Demand Forecast'!T7*1000,0)</f>
        <v>25000</v>
      </c>
      <c r="V7" s="475">
        <f>ROUND('Demand Forecast'!V7*1000,0)</f>
        <v>19000</v>
      </c>
      <c r="W7" s="475">
        <f>ROUND('Demand Forecast'!W7*1000,0)</f>
        <v>17000</v>
      </c>
      <c r="X7" s="475">
        <f>ROUND('Demand Forecast'!X7*1000,0)</f>
        <v>19000</v>
      </c>
      <c r="Y7" s="475">
        <f>ROUND('Demand Forecast'!Y7*1000,0)</f>
        <v>23000</v>
      </c>
      <c r="Z7" s="475">
        <f>ROUND('Demand Forecast'!Z7*1000,0)</f>
        <v>17000</v>
      </c>
      <c r="AA7" s="475">
        <f>ROUND('Demand Forecast'!AA7*1000,0)</f>
        <v>17000</v>
      </c>
      <c r="AB7" s="475">
        <f>ROUND('Demand Forecast'!AB7*1000,0)</f>
        <v>19000</v>
      </c>
      <c r="AC7" s="475">
        <f>ROUND('Demand Forecast'!AC7*1000,0)</f>
        <v>15000</v>
      </c>
    </row>
    <row r="8" spans="1:29" x14ac:dyDescent="0.25">
      <c r="A8" s="477" t="s">
        <v>52</v>
      </c>
      <c r="B8" s="475">
        <f>ROUND('Demand Forecast'!B8*1000,0)</f>
        <v>230000</v>
      </c>
      <c r="C8" s="475">
        <f>ROUND('Demand Forecast'!C8*1000,0)</f>
        <v>285000</v>
      </c>
      <c r="D8" s="475">
        <f>ROUND('Demand Forecast'!D8*1000,0)</f>
        <v>360000</v>
      </c>
      <c r="E8" s="475">
        <f>ROUND('Demand Forecast'!E8*1000,0)</f>
        <v>377000</v>
      </c>
      <c r="F8" s="475">
        <f>ROUND('Demand Forecast'!F8*1000,0)</f>
        <v>367000</v>
      </c>
      <c r="G8" s="475">
        <f>ROUND('Demand Forecast'!G8*1000,0)</f>
        <v>299000</v>
      </c>
      <c r="H8" s="475">
        <f>ROUND('Demand Forecast'!H8*1000,0)</f>
        <v>231000</v>
      </c>
      <c r="I8" s="475">
        <f>ROUND('Demand Forecast'!I8*1000,0)</f>
        <v>211000</v>
      </c>
      <c r="J8" s="475">
        <f>ROUND('Demand Forecast'!J8*1000,0)</f>
        <v>221000</v>
      </c>
      <c r="K8" s="475">
        <f>ROUND('Demand Forecast'!K8*1000,0)</f>
        <v>228000</v>
      </c>
      <c r="L8" s="475">
        <f>ROUND('Demand Forecast'!L8*1000,0)</f>
        <v>205000</v>
      </c>
      <c r="M8" s="475">
        <f>ROUND('Demand Forecast'!M8*1000,0)</f>
        <v>196000</v>
      </c>
      <c r="O8" s="475">
        <f>ROUND('Demand Forecast'!O8*1000,0)</f>
        <v>231000</v>
      </c>
      <c r="P8" s="475">
        <f>ROUND('Demand Forecast'!P8*1000,0)</f>
        <v>211000</v>
      </c>
      <c r="Q8" s="475">
        <f>ROUND('Demand Forecast'!Q8*1000,0)</f>
        <v>221000</v>
      </c>
      <c r="R8" s="475">
        <f>ROUND('Demand Forecast'!R8*1000,0)</f>
        <v>228000</v>
      </c>
      <c r="S8" s="475">
        <f>ROUND('Demand Forecast'!S8*1000,0)</f>
        <v>205000</v>
      </c>
      <c r="T8" s="475">
        <f>ROUND('Demand Forecast'!T8*1000,0)</f>
        <v>196000</v>
      </c>
      <c r="V8" s="475">
        <f>ROUND('Demand Forecast'!V8*1000,0)</f>
        <v>230000</v>
      </c>
      <c r="W8" s="475">
        <f>ROUND('Demand Forecast'!W8*1000,0)</f>
        <v>285000</v>
      </c>
      <c r="X8" s="475">
        <f>ROUND('Demand Forecast'!X8*1000,0)</f>
        <v>360000</v>
      </c>
      <c r="Y8" s="475">
        <f>ROUND('Demand Forecast'!Y8*1000,0)</f>
        <v>377000</v>
      </c>
      <c r="Z8" s="475">
        <f>ROUND('Demand Forecast'!Z8*1000,0)</f>
        <v>367000</v>
      </c>
      <c r="AA8" s="475">
        <f>ROUND('Demand Forecast'!AA8*1000,0)</f>
        <v>299000</v>
      </c>
      <c r="AB8" s="475">
        <f>ROUND('Demand Forecast'!AB8*1000,0)</f>
        <v>230000</v>
      </c>
      <c r="AC8" s="475">
        <f>ROUND('Demand Forecast'!AC8*1000,0)</f>
        <v>211000</v>
      </c>
    </row>
    <row r="9" spans="1:29" x14ac:dyDescent="0.25">
      <c r="A9" s="477" t="s">
        <v>107</v>
      </c>
      <c r="B9" s="475">
        <f>B10+B11</f>
        <v>55000</v>
      </c>
      <c r="C9" s="475">
        <f t="shared" ref="C9:M9" si="0">C10+C11</f>
        <v>80000</v>
      </c>
      <c r="D9" s="475">
        <f t="shared" si="0"/>
        <v>66000</v>
      </c>
      <c r="E9" s="475">
        <f t="shared" si="0"/>
        <v>80000</v>
      </c>
      <c r="F9" s="475">
        <f t="shared" si="0"/>
        <v>77000</v>
      </c>
      <c r="G9" s="475">
        <f t="shared" si="0"/>
        <v>63000</v>
      </c>
      <c r="H9" s="475">
        <f t="shared" si="0"/>
        <v>42000</v>
      </c>
      <c r="I9" s="475">
        <f t="shared" si="0"/>
        <v>58000</v>
      </c>
      <c r="J9" s="475">
        <f t="shared" si="0"/>
        <v>57000</v>
      </c>
      <c r="K9" s="475">
        <f t="shared" si="0"/>
        <v>52000</v>
      </c>
      <c r="L9" s="475">
        <f t="shared" si="0"/>
        <v>59000</v>
      </c>
      <c r="M9" s="475">
        <f t="shared" si="0"/>
        <v>56000</v>
      </c>
      <c r="O9" s="475">
        <f t="shared" ref="O9:T9" si="1">O10+O11</f>
        <v>42000</v>
      </c>
      <c r="P9" s="475">
        <f t="shared" si="1"/>
        <v>38000</v>
      </c>
      <c r="Q9" s="475">
        <f t="shared" si="1"/>
        <v>41000</v>
      </c>
      <c r="R9" s="475">
        <f t="shared" si="1"/>
        <v>39000</v>
      </c>
      <c r="S9" s="475">
        <f t="shared" si="1"/>
        <v>40000</v>
      </c>
      <c r="T9" s="475">
        <f t="shared" si="1"/>
        <v>38000</v>
      </c>
      <c r="V9" s="475">
        <f t="shared" ref="V9:AA9" si="2">V10+V11</f>
        <v>40000</v>
      </c>
      <c r="W9" s="475">
        <f t="shared" si="2"/>
        <v>58000</v>
      </c>
      <c r="X9" s="475">
        <f t="shared" si="2"/>
        <v>58000</v>
      </c>
      <c r="Y9" s="475">
        <f t="shared" si="2"/>
        <v>63000</v>
      </c>
      <c r="Z9" s="475">
        <f t="shared" si="2"/>
        <v>60000</v>
      </c>
      <c r="AA9" s="475">
        <f t="shared" si="2"/>
        <v>49000</v>
      </c>
      <c r="AB9" s="475">
        <f t="shared" ref="AB9:AC9" si="3">AB10+AB11</f>
        <v>40000</v>
      </c>
      <c r="AC9" s="475">
        <f t="shared" si="3"/>
        <v>37000</v>
      </c>
    </row>
    <row r="10" spans="1:29" x14ac:dyDescent="0.25">
      <c r="A10" s="477" t="s">
        <v>108</v>
      </c>
      <c r="B10" s="475">
        <f>'Demand Forecast'!B9*1000</f>
        <v>20000</v>
      </c>
      <c r="C10" s="475">
        <f>'Demand Forecast'!C9*1000</f>
        <v>27000</v>
      </c>
      <c r="D10" s="475">
        <f>'Demand Forecast'!D9*1000</f>
        <v>18000</v>
      </c>
      <c r="E10" s="475">
        <f>'Demand Forecast'!E9*1000</f>
        <v>23000</v>
      </c>
      <c r="F10" s="475">
        <f>'Demand Forecast'!F9*1000</f>
        <v>24000</v>
      </c>
      <c r="G10" s="475">
        <f>'Demand Forecast'!G9*1000</f>
        <v>19000</v>
      </c>
      <c r="H10" s="476">
        <f>'Demand Forecast'!H9*1000</f>
        <v>13000</v>
      </c>
      <c r="I10" s="476">
        <f>'Demand Forecast'!I9*1000</f>
        <v>21000</v>
      </c>
      <c r="J10" s="476">
        <f>'Demand Forecast'!J9*1000</f>
        <v>20000</v>
      </c>
      <c r="K10" s="476">
        <f>'Demand Forecast'!K9*1000</f>
        <v>17000</v>
      </c>
      <c r="L10" s="476">
        <f>'Demand Forecast'!L9*1000</f>
        <v>21000</v>
      </c>
      <c r="M10" s="476">
        <f>'Demand Forecast'!M9*1000</f>
        <v>21000</v>
      </c>
      <c r="O10" s="476">
        <f>'Demand Forecast'!O9*1000</f>
        <v>20000</v>
      </c>
      <c r="P10" s="476">
        <f>'Demand Forecast'!P9*1000</f>
        <v>22000</v>
      </c>
      <c r="Q10" s="476">
        <f>'Demand Forecast'!Q9*1000</f>
        <v>24000</v>
      </c>
      <c r="R10" s="476">
        <f>'Demand Forecast'!R9*1000</f>
        <v>22000</v>
      </c>
      <c r="S10" s="476">
        <f>'Demand Forecast'!S9*1000</f>
        <v>24000</v>
      </c>
      <c r="T10" s="476">
        <f>'Demand Forecast'!T9*1000</f>
        <v>22000</v>
      </c>
      <c r="V10" s="476">
        <f>'Demand Forecast'!V9*1000</f>
        <v>23000</v>
      </c>
      <c r="W10" s="476">
        <f>'Demand Forecast'!W9*1000</f>
        <v>35000</v>
      </c>
      <c r="X10" s="476">
        <f>'Demand Forecast'!X9*1000</f>
        <v>26000</v>
      </c>
      <c r="Y10" s="476">
        <f>'Demand Forecast'!Y9*1000</f>
        <v>31000</v>
      </c>
      <c r="Z10" s="476">
        <f>'Demand Forecast'!Z9*1000</f>
        <v>31000</v>
      </c>
      <c r="AA10" s="476">
        <f>'Demand Forecast'!AA9*1000</f>
        <v>24000</v>
      </c>
      <c r="AB10" s="476">
        <f>'Demand Forecast'!AB9*1000</f>
        <v>19000</v>
      </c>
      <c r="AC10" s="476">
        <f>'Demand Forecast'!AC9*1000</f>
        <v>21000</v>
      </c>
    </row>
    <row r="11" spans="1:29" x14ac:dyDescent="0.25">
      <c r="A11" s="477" t="s">
        <v>53</v>
      </c>
      <c r="B11" s="475">
        <f>'Demand Forecast'!B10*1000</f>
        <v>35000</v>
      </c>
      <c r="C11" s="475">
        <f>'Demand Forecast'!C10*1000</f>
        <v>53000</v>
      </c>
      <c r="D11" s="475">
        <f>'Demand Forecast'!D10*1000</f>
        <v>48000</v>
      </c>
      <c r="E11" s="475">
        <f>'Demand Forecast'!E10*1000</f>
        <v>57000</v>
      </c>
      <c r="F11" s="475">
        <f>'Demand Forecast'!F10*1000</f>
        <v>53000</v>
      </c>
      <c r="G11" s="475">
        <f>'Demand Forecast'!G10*1000</f>
        <v>44000</v>
      </c>
      <c r="H11" s="475">
        <f>'Demand Forecast'!H10*1000</f>
        <v>29000</v>
      </c>
      <c r="I11" s="475">
        <f>'Demand Forecast'!I10*1000</f>
        <v>37000</v>
      </c>
      <c r="J11" s="475">
        <f>'Demand Forecast'!J10*1000</f>
        <v>37000</v>
      </c>
      <c r="K11" s="475">
        <f>'Demand Forecast'!K10*1000</f>
        <v>35000</v>
      </c>
      <c r="L11" s="475">
        <f>'Demand Forecast'!L10*1000</f>
        <v>38000</v>
      </c>
      <c r="M11" s="475">
        <f>'Demand Forecast'!M10*1000</f>
        <v>35000</v>
      </c>
      <c r="O11" s="475">
        <f>'Demand Forecast'!O10*1000</f>
        <v>22000</v>
      </c>
      <c r="P11" s="475">
        <f>'Demand Forecast'!P10*1000</f>
        <v>16000</v>
      </c>
      <c r="Q11" s="475">
        <f>'Demand Forecast'!Q10*1000</f>
        <v>17000</v>
      </c>
      <c r="R11" s="475">
        <f>'Demand Forecast'!R10*1000</f>
        <v>17000</v>
      </c>
      <c r="S11" s="475">
        <f>'Demand Forecast'!S10*1000</f>
        <v>16000</v>
      </c>
      <c r="T11" s="475">
        <f>'Demand Forecast'!T10*1000</f>
        <v>16000</v>
      </c>
      <c r="V11" s="475">
        <f>'Demand Forecast'!V10*1000</f>
        <v>17000</v>
      </c>
      <c r="W11" s="475">
        <f>'Demand Forecast'!W10*1000</f>
        <v>23000</v>
      </c>
      <c r="X11" s="475">
        <f>'Demand Forecast'!X10*1000</f>
        <v>32000</v>
      </c>
      <c r="Y11" s="475">
        <f>'Demand Forecast'!Y10*1000</f>
        <v>32000</v>
      </c>
      <c r="Z11" s="475">
        <f>'Demand Forecast'!Z10*1000</f>
        <v>29000</v>
      </c>
      <c r="AA11" s="475">
        <f>'Demand Forecast'!AA10*1000</f>
        <v>25000</v>
      </c>
      <c r="AB11" s="475">
        <f>'Demand Forecast'!AB10*1000</f>
        <v>21000</v>
      </c>
      <c r="AC11" s="475">
        <f>'Demand Forecast'!AC10*1000</f>
        <v>16000</v>
      </c>
    </row>
    <row r="12" spans="1:29" x14ac:dyDescent="0.25">
      <c r="A12" s="477" t="s">
        <v>55</v>
      </c>
      <c r="B12" s="475">
        <f>'Demand Forecast'!B11*1000</f>
        <v>3666000</v>
      </c>
      <c r="C12" s="475">
        <f>'Demand Forecast'!C11*1000</f>
        <v>3947000</v>
      </c>
      <c r="D12" s="475">
        <f>'Demand Forecast'!D11*1000</f>
        <v>3920000</v>
      </c>
      <c r="E12" s="475">
        <f>'Demand Forecast'!E11*1000</f>
        <v>3914000</v>
      </c>
      <c r="F12" s="475">
        <f>'Demand Forecast'!F11*1000</f>
        <v>3810000</v>
      </c>
      <c r="G12" s="475">
        <f>'Demand Forecast'!G11*1000</f>
        <v>3662000</v>
      </c>
      <c r="H12" s="475">
        <f>'Demand Forecast'!H11*1000</f>
        <v>3443000</v>
      </c>
      <c r="I12" s="475">
        <f>'Demand Forecast'!I11*1000</f>
        <v>3121000</v>
      </c>
      <c r="J12" s="475">
        <f>'Demand Forecast'!J11*1000</f>
        <v>3217000</v>
      </c>
      <c r="K12" s="475">
        <f>'Demand Forecast'!K11*1000</f>
        <v>3170000</v>
      </c>
      <c r="L12" s="475">
        <f>'Demand Forecast'!L11*1000</f>
        <v>3184000</v>
      </c>
      <c r="M12" s="475">
        <f>'Demand Forecast'!M11*1000</f>
        <v>3312000</v>
      </c>
      <c r="O12" s="475">
        <f>'Demand Forecast'!O11*1000</f>
        <v>3431000</v>
      </c>
      <c r="P12" s="475">
        <f>'Demand Forecast'!P11*1000</f>
        <v>3226000</v>
      </c>
      <c r="Q12" s="475">
        <f>'Demand Forecast'!Q11*1000</f>
        <v>3226000</v>
      </c>
      <c r="R12" s="475">
        <f>'Demand Forecast'!R11*1000</f>
        <v>3217000</v>
      </c>
      <c r="S12" s="475">
        <f>'Demand Forecast'!S11*1000</f>
        <v>3239000</v>
      </c>
      <c r="T12" s="475">
        <f>'Demand Forecast'!T11*1000</f>
        <v>3003000</v>
      </c>
      <c r="V12" s="475">
        <f>'Demand Forecast'!V11*1000</f>
        <v>3535000</v>
      </c>
      <c r="W12" s="475">
        <f>'Demand Forecast'!W11*1000</f>
        <v>3809000</v>
      </c>
      <c r="X12" s="475">
        <f>'Demand Forecast'!X11*1000</f>
        <v>3881000</v>
      </c>
      <c r="Y12" s="475">
        <f>'Demand Forecast'!Y11*1000</f>
        <v>3836000</v>
      </c>
      <c r="Z12" s="475">
        <f>'Demand Forecast'!Z11*1000</f>
        <v>3911000</v>
      </c>
      <c r="AA12" s="475">
        <f>'Demand Forecast'!AA11*1000</f>
        <v>3837000</v>
      </c>
      <c r="AB12" s="475">
        <f>'Demand Forecast'!AB11*1000</f>
        <v>3612000</v>
      </c>
      <c r="AC12" s="475">
        <f>'Demand Forecast'!AC11*1000</f>
        <v>3370000</v>
      </c>
    </row>
    <row r="13" spans="1:29" x14ac:dyDescent="0.25">
      <c r="A13" s="477" t="s">
        <v>56</v>
      </c>
      <c r="B13" s="475">
        <f t="shared" ref="B13:M13" si="4">ROUND(B12*$D$34,0)</f>
        <v>0</v>
      </c>
      <c r="C13" s="475">
        <f t="shared" si="4"/>
        <v>0</v>
      </c>
      <c r="D13" s="475">
        <f t="shared" si="4"/>
        <v>0</v>
      </c>
      <c r="E13" s="475">
        <f t="shared" si="4"/>
        <v>0</v>
      </c>
      <c r="F13" s="475">
        <f t="shared" si="4"/>
        <v>0</v>
      </c>
      <c r="G13" s="475">
        <f t="shared" si="4"/>
        <v>0</v>
      </c>
      <c r="H13" s="475">
        <f t="shared" si="4"/>
        <v>0</v>
      </c>
      <c r="I13" s="475">
        <f t="shared" si="4"/>
        <v>0</v>
      </c>
      <c r="J13" s="475">
        <f t="shared" si="4"/>
        <v>0</v>
      </c>
      <c r="K13" s="475">
        <f t="shared" si="4"/>
        <v>0</v>
      </c>
      <c r="L13" s="475">
        <f t="shared" si="4"/>
        <v>0</v>
      </c>
      <c r="M13" s="475">
        <f t="shared" si="4"/>
        <v>0</v>
      </c>
      <c r="O13" s="475">
        <f t="shared" ref="O13:T13" si="5">ROUND(O12*$D$34,0)</f>
        <v>0</v>
      </c>
      <c r="P13" s="475">
        <f t="shared" si="5"/>
        <v>0</v>
      </c>
      <c r="Q13" s="475">
        <f t="shared" si="5"/>
        <v>0</v>
      </c>
      <c r="R13" s="475">
        <f t="shared" si="5"/>
        <v>0</v>
      </c>
      <c r="S13" s="475">
        <f t="shared" si="5"/>
        <v>0</v>
      </c>
      <c r="T13" s="475">
        <f t="shared" si="5"/>
        <v>0</v>
      </c>
      <c r="V13" s="475">
        <f t="shared" ref="V13:AA13" si="6">ROUND(V12*$D$34,0)</f>
        <v>0</v>
      </c>
      <c r="W13" s="475">
        <f t="shared" si="6"/>
        <v>0</v>
      </c>
      <c r="X13" s="475">
        <f t="shared" si="6"/>
        <v>0</v>
      </c>
      <c r="Y13" s="475">
        <f t="shared" si="6"/>
        <v>0</v>
      </c>
      <c r="Z13" s="475">
        <f t="shared" si="6"/>
        <v>0</v>
      </c>
      <c r="AA13" s="475">
        <f t="shared" si="6"/>
        <v>0</v>
      </c>
      <c r="AB13" s="475">
        <f t="shared" ref="AB13:AC13" si="7">ROUND(AB12*$D$34,0)</f>
        <v>0</v>
      </c>
      <c r="AC13" s="475">
        <f t="shared" si="7"/>
        <v>0</v>
      </c>
    </row>
    <row r="14" spans="1:29" x14ac:dyDescent="0.25">
      <c r="A14" s="477" t="s">
        <v>10</v>
      </c>
      <c r="B14" s="475">
        <f>B12-B13</f>
        <v>3666000</v>
      </c>
      <c r="C14" s="475">
        <f t="shared" ref="C14:M14" si="8">C12-C13</f>
        <v>3947000</v>
      </c>
      <c r="D14" s="475">
        <f t="shared" si="8"/>
        <v>3920000</v>
      </c>
      <c r="E14" s="475">
        <f t="shared" si="8"/>
        <v>3914000</v>
      </c>
      <c r="F14" s="475">
        <f t="shared" si="8"/>
        <v>3810000</v>
      </c>
      <c r="G14" s="475">
        <f t="shared" si="8"/>
        <v>3662000</v>
      </c>
      <c r="H14" s="475">
        <f t="shared" si="8"/>
        <v>3443000</v>
      </c>
      <c r="I14" s="475">
        <f t="shared" si="8"/>
        <v>3121000</v>
      </c>
      <c r="J14" s="475">
        <f t="shared" si="8"/>
        <v>3217000</v>
      </c>
      <c r="K14" s="475">
        <f t="shared" si="8"/>
        <v>3170000</v>
      </c>
      <c r="L14" s="475">
        <f t="shared" si="8"/>
        <v>3184000</v>
      </c>
      <c r="M14" s="475">
        <f t="shared" si="8"/>
        <v>3312000</v>
      </c>
      <c r="O14" s="475">
        <f t="shared" ref="O14:T14" si="9">O12-O13</f>
        <v>3431000</v>
      </c>
      <c r="P14" s="475">
        <f t="shared" si="9"/>
        <v>3226000</v>
      </c>
      <c r="Q14" s="475">
        <f t="shared" si="9"/>
        <v>3226000</v>
      </c>
      <c r="R14" s="475">
        <f t="shared" si="9"/>
        <v>3217000</v>
      </c>
      <c r="S14" s="475">
        <f t="shared" si="9"/>
        <v>3239000</v>
      </c>
      <c r="T14" s="475">
        <f t="shared" si="9"/>
        <v>3003000</v>
      </c>
      <c r="V14" s="475">
        <f t="shared" ref="V14:AA14" si="10">V12-V13</f>
        <v>3535000</v>
      </c>
      <c r="W14" s="475">
        <f t="shared" si="10"/>
        <v>3809000</v>
      </c>
      <c r="X14" s="475">
        <f t="shared" si="10"/>
        <v>3881000</v>
      </c>
      <c r="Y14" s="475">
        <f t="shared" si="10"/>
        <v>3836000</v>
      </c>
      <c r="Z14" s="475">
        <f t="shared" si="10"/>
        <v>3911000</v>
      </c>
      <c r="AA14" s="475">
        <f t="shared" si="10"/>
        <v>3837000</v>
      </c>
      <c r="AB14" s="475">
        <f t="shared" ref="AB14:AC14" si="11">AB12-AB13</f>
        <v>3612000</v>
      </c>
      <c r="AC14" s="475">
        <f t="shared" si="11"/>
        <v>3370000</v>
      </c>
    </row>
    <row r="15" spans="1:29" x14ac:dyDescent="0.25">
      <c r="A15" s="477" t="s">
        <v>109</v>
      </c>
      <c r="B15" s="475">
        <f>B16+B17</f>
        <v>1404000</v>
      </c>
      <c r="C15" s="475">
        <f t="shared" ref="C15:M15" si="12">C16+C17</f>
        <v>1614000</v>
      </c>
      <c r="D15" s="475">
        <f t="shared" si="12"/>
        <v>1834000</v>
      </c>
      <c r="E15" s="475">
        <f t="shared" si="12"/>
        <v>1899000</v>
      </c>
      <c r="F15" s="475">
        <f t="shared" si="12"/>
        <v>1832000</v>
      </c>
      <c r="G15" s="475">
        <f t="shared" si="12"/>
        <v>1527000</v>
      </c>
      <c r="H15" s="475">
        <f t="shared" si="12"/>
        <v>1463000</v>
      </c>
      <c r="I15" s="475">
        <f t="shared" si="12"/>
        <v>1455000</v>
      </c>
      <c r="J15" s="475">
        <f t="shared" si="12"/>
        <v>1425000</v>
      </c>
      <c r="K15" s="475">
        <f t="shared" si="12"/>
        <v>1462000</v>
      </c>
      <c r="L15" s="475">
        <f t="shared" si="12"/>
        <v>1409000</v>
      </c>
      <c r="M15" s="475">
        <f t="shared" si="12"/>
        <v>1423000</v>
      </c>
      <c r="O15" s="475">
        <f t="shared" ref="O15:T15" si="13">O16+O17</f>
        <v>1417000</v>
      </c>
      <c r="P15" s="475">
        <f t="shared" si="13"/>
        <v>1349000</v>
      </c>
      <c r="Q15" s="475">
        <f t="shared" si="13"/>
        <v>1409000</v>
      </c>
      <c r="R15" s="475">
        <f t="shared" si="13"/>
        <v>1408000</v>
      </c>
      <c r="S15" s="475">
        <f t="shared" si="13"/>
        <v>1337000</v>
      </c>
      <c r="T15" s="475">
        <f t="shared" si="13"/>
        <v>1245000</v>
      </c>
      <c r="V15" s="475">
        <f t="shared" ref="V15:AA15" si="14">V16+V17</f>
        <v>1366000</v>
      </c>
      <c r="W15" s="475">
        <f t="shared" si="14"/>
        <v>1562000</v>
      </c>
      <c r="X15" s="475">
        <f t="shared" si="14"/>
        <v>1745000</v>
      </c>
      <c r="Y15" s="475">
        <f t="shared" si="14"/>
        <v>1791000</v>
      </c>
      <c r="Z15" s="475">
        <f t="shared" si="14"/>
        <v>1752000</v>
      </c>
      <c r="AA15" s="475">
        <f t="shared" si="14"/>
        <v>1521000</v>
      </c>
      <c r="AB15" s="475">
        <f t="shared" ref="AB15:AC15" si="15">AB16+AB17</f>
        <v>1412000</v>
      </c>
      <c r="AC15" s="475">
        <f t="shared" si="15"/>
        <v>1351000</v>
      </c>
    </row>
    <row r="16" spans="1:29" x14ac:dyDescent="0.25">
      <c r="A16" s="477" t="s">
        <v>11</v>
      </c>
      <c r="B16" s="475">
        <f>'Demand Forecast'!B12*1000</f>
        <v>217000</v>
      </c>
      <c r="C16" s="475">
        <f>'Demand Forecast'!C12*1000</f>
        <v>228000</v>
      </c>
      <c r="D16" s="475">
        <f>'Demand Forecast'!D12*1000</f>
        <v>249000</v>
      </c>
      <c r="E16" s="475">
        <f>'Demand Forecast'!E12*1000</f>
        <v>252000</v>
      </c>
      <c r="F16" s="475">
        <f>'Demand Forecast'!F12*1000</f>
        <v>237000</v>
      </c>
      <c r="G16" s="475">
        <f>'Demand Forecast'!G12*1000</f>
        <v>195000</v>
      </c>
      <c r="H16" s="475">
        <f>'Demand Forecast'!H12*1000</f>
        <v>186000</v>
      </c>
      <c r="I16" s="475">
        <f>'Demand Forecast'!I12*1000</f>
        <v>217000</v>
      </c>
      <c r="J16" s="475">
        <f>'Demand Forecast'!J12*1000</f>
        <v>193000</v>
      </c>
      <c r="K16" s="475">
        <f>'Demand Forecast'!K12*1000</f>
        <v>198000</v>
      </c>
      <c r="L16" s="475">
        <f>'Demand Forecast'!L12*1000</f>
        <v>210000</v>
      </c>
      <c r="M16" s="475">
        <f>'Demand Forecast'!M12*1000</f>
        <v>226000</v>
      </c>
      <c r="O16" s="475">
        <f>'Demand Forecast'!O12*1000</f>
        <v>225000</v>
      </c>
      <c r="P16" s="475">
        <f>'Demand Forecast'!P12*1000</f>
        <v>219000</v>
      </c>
      <c r="Q16" s="475">
        <f>'Demand Forecast'!Q12*1000</f>
        <v>243000</v>
      </c>
      <c r="R16" s="475">
        <f>'Demand Forecast'!R12*1000</f>
        <v>224000</v>
      </c>
      <c r="S16" s="475">
        <f>'Demand Forecast'!S12*1000</f>
        <v>209000</v>
      </c>
      <c r="T16" s="475">
        <f>'Demand Forecast'!T12*1000</f>
        <v>208000</v>
      </c>
      <c r="V16" s="475">
        <f>'Demand Forecast'!V12*1000</f>
        <v>214000</v>
      </c>
      <c r="W16" s="475">
        <f>'Demand Forecast'!W12*1000</f>
        <v>238000</v>
      </c>
      <c r="X16" s="475">
        <f>'Demand Forecast'!X12*1000</f>
        <v>262000</v>
      </c>
      <c r="Y16" s="475">
        <f>'Demand Forecast'!Y12*1000</f>
        <v>245000</v>
      </c>
      <c r="Z16" s="475">
        <f>'Demand Forecast'!Z12*1000</f>
        <v>274000</v>
      </c>
      <c r="AA16" s="475">
        <f>'Demand Forecast'!AA12*1000</f>
        <v>224000</v>
      </c>
      <c r="AB16" s="475">
        <f>'Demand Forecast'!AB12*1000</f>
        <v>223000</v>
      </c>
      <c r="AC16" s="475">
        <f>'Demand Forecast'!AC12*1000</f>
        <v>219000</v>
      </c>
    </row>
    <row r="17" spans="1:29" x14ac:dyDescent="0.25">
      <c r="A17" s="477" t="s">
        <v>12</v>
      </c>
      <c r="B17" s="475">
        <f>'Demand Forecast'!B13*1000</f>
        <v>1187000</v>
      </c>
      <c r="C17" s="475">
        <f>'Demand Forecast'!C13*1000</f>
        <v>1386000</v>
      </c>
      <c r="D17" s="475">
        <f>'Demand Forecast'!D13*1000</f>
        <v>1585000</v>
      </c>
      <c r="E17" s="475">
        <f>'Demand Forecast'!E13*1000</f>
        <v>1647000</v>
      </c>
      <c r="F17" s="475">
        <f>'Demand Forecast'!F13*1000</f>
        <v>1595000</v>
      </c>
      <c r="G17" s="475">
        <f>'Demand Forecast'!G13*1000</f>
        <v>1332000</v>
      </c>
      <c r="H17" s="475">
        <f>'Demand Forecast'!H13*1000</f>
        <v>1277000</v>
      </c>
      <c r="I17" s="475">
        <f>'Demand Forecast'!I13*1000</f>
        <v>1238000</v>
      </c>
      <c r="J17" s="475">
        <f>'Demand Forecast'!J13*1000</f>
        <v>1232000</v>
      </c>
      <c r="K17" s="475">
        <f>'Demand Forecast'!K13*1000</f>
        <v>1264000</v>
      </c>
      <c r="L17" s="475">
        <f>'Demand Forecast'!L13*1000</f>
        <v>1199000</v>
      </c>
      <c r="M17" s="475">
        <f>'Demand Forecast'!M13*1000</f>
        <v>1197000</v>
      </c>
      <c r="O17" s="475">
        <f>'Demand Forecast'!O13*1000</f>
        <v>1192000</v>
      </c>
      <c r="P17" s="475">
        <f>'Demand Forecast'!P13*1000</f>
        <v>1130000</v>
      </c>
      <c r="Q17" s="475">
        <f>'Demand Forecast'!Q13*1000</f>
        <v>1166000</v>
      </c>
      <c r="R17" s="475">
        <f>'Demand Forecast'!R13*1000</f>
        <v>1184000</v>
      </c>
      <c r="S17" s="475">
        <f>'Demand Forecast'!S13*1000</f>
        <v>1128000</v>
      </c>
      <c r="T17" s="475">
        <f>'Demand Forecast'!T13*1000</f>
        <v>1037000</v>
      </c>
      <c r="V17" s="475">
        <f>'Demand Forecast'!V13*1000</f>
        <v>1152000</v>
      </c>
      <c r="W17" s="475">
        <f>'Demand Forecast'!W13*1000</f>
        <v>1324000</v>
      </c>
      <c r="X17" s="475">
        <f>'Demand Forecast'!X13*1000</f>
        <v>1483000</v>
      </c>
      <c r="Y17" s="475">
        <f>'Demand Forecast'!Y13*1000</f>
        <v>1546000</v>
      </c>
      <c r="Z17" s="475">
        <f>'Demand Forecast'!Z13*1000</f>
        <v>1478000</v>
      </c>
      <c r="AA17" s="475">
        <f>'Demand Forecast'!AA13*1000</f>
        <v>1297000</v>
      </c>
      <c r="AB17" s="475">
        <f>'Demand Forecast'!AB13*1000</f>
        <v>1189000</v>
      </c>
      <c r="AC17" s="475">
        <f>'Demand Forecast'!AC13*1000</f>
        <v>1132000</v>
      </c>
    </row>
    <row r="18" spans="1:29" x14ac:dyDescent="0.25">
      <c r="A18" s="477" t="s">
        <v>110</v>
      </c>
      <c r="B18" s="475">
        <f>'Demand Forecast'!B15*1000</f>
        <v>24000</v>
      </c>
      <c r="C18" s="475">
        <f>'Demand Forecast'!C15*1000</f>
        <v>21000</v>
      </c>
      <c r="D18" s="475">
        <f>'Demand Forecast'!D15*1000</f>
        <v>22000</v>
      </c>
      <c r="E18" s="475">
        <f>'Demand Forecast'!E15*1000</f>
        <v>23000</v>
      </c>
      <c r="F18" s="475">
        <f>'Demand Forecast'!F15*1000</f>
        <v>19000</v>
      </c>
      <c r="G18" s="475">
        <f>'Demand Forecast'!G15*1000</f>
        <v>18000</v>
      </c>
      <c r="H18" s="475">
        <f>'Demand Forecast'!H15*1000</f>
        <v>23000</v>
      </c>
      <c r="I18" s="475">
        <f>'Demand Forecast'!I15*1000</f>
        <v>41000</v>
      </c>
      <c r="J18" s="475">
        <f>'Demand Forecast'!J15*1000</f>
        <v>46000</v>
      </c>
      <c r="K18" s="475">
        <f>'Demand Forecast'!K15*1000</f>
        <v>62000</v>
      </c>
      <c r="L18" s="475">
        <f>'Demand Forecast'!L15*1000</f>
        <v>46000</v>
      </c>
      <c r="M18" s="475">
        <f>'Demand Forecast'!M15*1000</f>
        <v>28000</v>
      </c>
      <c r="O18" s="475">
        <f>'Demand Forecast'!O15*1000</f>
        <v>20000</v>
      </c>
      <c r="P18" s="475">
        <f>'Demand Forecast'!P15*1000</f>
        <v>37000</v>
      </c>
      <c r="Q18" s="475">
        <f>'Demand Forecast'!Q15*1000</f>
        <v>42000</v>
      </c>
      <c r="R18" s="475">
        <f>'Demand Forecast'!R15*1000</f>
        <v>54000</v>
      </c>
      <c r="S18" s="475">
        <f>'Demand Forecast'!S15*1000</f>
        <v>37000</v>
      </c>
      <c r="T18" s="475">
        <f>'Demand Forecast'!T15*1000</f>
        <v>26000</v>
      </c>
      <c r="V18" s="475">
        <f>'Demand Forecast'!V15*1000</f>
        <v>23000</v>
      </c>
      <c r="W18" s="475">
        <f>'Demand Forecast'!W15*1000</f>
        <v>20000</v>
      </c>
      <c r="X18" s="475">
        <f>'Demand Forecast'!X15*1000</f>
        <v>23000</v>
      </c>
      <c r="Y18" s="475">
        <f>'Demand Forecast'!Y15*1000</f>
        <v>24000</v>
      </c>
      <c r="Z18" s="475">
        <f>'Demand Forecast'!Z15*1000</f>
        <v>21000</v>
      </c>
      <c r="AA18" s="475">
        <f>'Demand Forecast'!AA15*1000</f>
        <v>20000</v>
      </c>
      <c r="AB18" s="475">
        <f>'Demand Forecast'!AB15*1000</f>
        <v>20000</v>
      </c>
      <c r="AC18" s="475">
        <f>'Demand Forecast'!AC15*1000</f>
        <v>38000</v>
      </c>
    </row>
    <row r="19" spans="1:29" x14ac:dyDescent="0.25">
      <c r="A19" s="477" t="s">
        <v>13</v>
      </c>
      <c r="B19" s="475">
        <v>0</v>
      </c>
      <c r="C19" s="475">
        <v>0</v>
      </c>
      <c r="D19" s="475">
        <v>0</v>
      </c>
      <c r="E19" s="475">
        <v>0</v>
      </c>
      <c r="F19" s="475">
        <v>0</v>
      </c>
      <c r="G19" s="475">
        <v>0</v>
      </c>
      <c r="H19" s="475">
        <v>0</v>
      </c>
      <c r="I19" s="475">
        <v>0</v>
      </c>
      <c r="J19" s="475">
        <v>0</v>
      </c>
      <c r="K19" s="475">
        <v>0</v>
      </c>
      <c r="L19" s="475">
        <v>0</v>
      </c>
      <c r="M19" s="475">
        <v>0</v>
      </c>
      <c r="O19" s="475">
        <v>0</v>
      </c>
      <c r="P19" s="475">
        <v>0</v>
      </c>
      <c r="Q19" s="475">
        <v>0</v>
      </c>
      <c r="R19" s="475">
        <v>0</v>
      </c>
      <c r="S19" s="475">
        <v>0</v>
      </c>
      <c r="T19" s="475">
        <v>0</v>
      </c>
      <c r="V19" s="475">
        <v>0</v>
      </c>
      <c r="W19" s="475">
        <v>0</v>
      </c>
      <c r="X19" s="475">
        <v>0</v>
      </c>
      <c r="Y19" s="475">
        <v>0</v>
      </c>
      <c r="Z19" s="475">
        <v>0</v>
      </c>
      <c r="AA19" s="475">
        <v>0</v>
      </c>
      <c r="AB19" s="475">
        <v>0</v>
      </c>
      <c r="AC19" s="475">
        <v>0</v>
      </c>
    </row>
    <row r="20" spans="1:29" x14ac:dyDescent="0.25">
      <c r="A20" s="477" t="s">
        <v>14</v>
      </c>
      <c r="B20" s="475">
        <f>B18</f>
        <v>24000</v>
      </c>
      <c r="C20" s="475">
        <f t="shared" ref="C20:M20" si="16">C18</f>
        <v>21000</v>
      </c>
      <c r="D20" s="475">
        <f t="shared" si="16"/>
        <v>22000</v>
      </c>
      <c r="E20" s="475">
        <f t="shared" si="16"/>
        <v>23000</v>
      </c>
      <c r="F20" s="475">
        <f t="shared" si="16"/>
        <v>19000</v>
      </c>
      <c r="G20" s="475">
        <f t="shared" si="16"/>
        <v>18000</v>
      </c>
      <c r="H20" s="475">
        <f t="shared" si="16"/>
        <v>23000</v>
      </c>
      <c r="I20" s="475">
        <f t="shared" si="16"/>
        <v>41000</v>
      </c>
      <c r="J20" s="475">
        <f t="shared" si="16"/>
        <v>46000</v>
      </c>
      <c r="K20" s="475">
        <f t="shared" si="16"/>
        <v>62000</v>
      </c>
      <c r="L20" s="475">
        <f t="shared" si="16"/>
        <v>46000</v>
      </c>
      <c r="M20" s="475">
        <f t="shared" si="16"/>
        <v>28000</v>
      </c>
      <c r="O20" s="475">
        <f t="shared" ref="O20:T20" si="17">O18</f>
        <v>20000</v>
      </c>
      <c r="P20" s="475">
        <f t="shared" si="17"/>
        <v>37000</v>
      </c>
      <c r="Q20" s="475">
        <f t="shared" si="17"/>
        <v>42000</v>
      </c>
      <c r="R20" s="475">
        <f t="shared" si="17"/>
        <v>54000</v>
      </c>
      <c r="S20" s="475">
        <f t="shared" si="17"/>
        <v>37000</v>
      </c>
      <c r="T20" s="475">
        <f t="shared" si="17"/>
        <v>26000</v>
      </c>
      <c r="V20" s="475">
        <f t="shared" ref="V20:AA20" si="18">V18</f>
        <v>23000</v>
      </c>
      <c r="W20" s="475">
        <f t="shared" si="18"/>
        <v>20000</v>
      </c>
      <c r="X20" s="475">
        <f t="shared" si="18"/>
        <v>23000</v>
      </c>
      <c r="Y20" s="475">
        <f t="shared" si="18"/>
        <v>24000</v>
      </c>
      <c r="Z20" s="475">
        <f t="shared" si="18"/>
        <v>21000</v>
      </c>
      <c r="AA20" s="475">
        <f t="shared" si="18"/>
        <v>20000</v>
      </c>
      <c r="AB20" s="475">
        <f t="shared" ref="AB20:AC20" si="19">AB18</f>
        <v>20000</v>
      </c>
      <c r="AC20" s="475">
        <f t="shared" si="19"/>
        <v>38000</v>
      </c>
    </row>
    <row r="21" spans="1:29" x14ac:dyDescent="0.25">
      <c r="A21" s="477" t="s">
        <v>15</v>
      </c>
      <c r="B21" s="475">
        <v>0</v>
      </c>
      <c r="C21" s="475">
        <v>0</v>
      </c>
      <c r="D21" s="475">
        <v>0</v>
      </c>
      <c r="E21" s="475">
        <v>0</v>
      </c>
      <c r="F21" s="475">
        <v>0</v>
      </c>
      <c r="G21" s="475">
        <v>0</v>
      </c>
      <c r="H21" s="475">
        <v>0</v>
      </c>
      <c r="I21" s="475">
        <v>0</v>
      </c>
      <c r="J21" s="475">
        <v>0</v>
      </c>
      <c r="K21" s="475">
        <v>0</v>
      </c>
      <c r="L21" s="475">
        <v>0</v>
      </c>
      <c r="M21" s="475">
        <v>0</v>
      </c>
      <c r="O21" s="475">
        <v>0</v>
      </c>
      <c r="P21" s="475">
        <v>0</v>
      </c>
      <c r="Q21" s="475">
        <v>0</v>
      </c>
      <c r="R21" s="475">
        <v>0</v>
      </c>
      <c r="S21" s="475">
        <v>0</v>
      </c>
      <c r="T21" s="475">
        <v>0</v>
      </c>
      <c r="V21" s="475">
        <v>0</v>
      </c>
      <c r="W21" s="475">
        <v>0</v>
      </c>
      <c r="X21" s="475">
        <v>0</v>
      </c>
      <c r="Y21" s="475">
        <v>0</v>
      </c>
      <c r="Z21" s="475">
        <v>0</v>
      </c>
      <c r="AA21" s="475">
        <v>0</v>
      </c>
      <c r="AB21" s="475">
        <v>0</v>
      </c>
      <c r="AC21" s="475">
        <v>0</v>
      </c>
    </row>
    <row r="22" spans="1:29" x14ac:dyDescent="0.25">
      <c r="A22" s="477" t="s">
        <v>16</v>
      </c>
      <c r="B22" s="475">
        <f>'Demand Forecast'!B17*1000</f>
        <v>23000</v>
      </c>
      <c r="C22" s="475">
        <f>'Demand Forecast'!C17*1000</f>
        <v>27000</v>
      </c>
      <c r="D22" s="475">
        <f>'Demand Forecast'!D17*1000</f>
        <v>23000</v>
      </c>
      <c r="E22" s="475">
        <f>'Demand Forecast'!E17*1000</f>
        <v>24000</v>
      </c>
      <c r="F22" s="475">
        <f>'Demand Forecast'!F17*1000</f>
        <v>23000</v>
      </c>
      <c r="G22" s="475">
        <f>'Demand Forecast'!G17*1000</f>
        <v>18000</v>
      </c>
      <c r="H22" s="475">
        <f>'Demand Forecast'!H17*1000</f>
        <v>26000</v>
      </c>
      <c r="I22" s="475">
        <f>'Demand Forecast'!I17*1000</f>
        <v>27000</v>
      </c>
      <c r="J22" s="475">
        <f>'Demand Forecast'!J17*1000</f>
        <v>32000</v>
      </c>
      <c r="K22" s="475">
        <f>'Demand Forecast'!K17*1000</f>
        <v>30000</v>
      </c>
      <c r="L22" s="475">
        <f>'Demand Forecast'!L17*1000</f>
        <v>26000</v>
      </c>
      <c r="M22" s="475">
        <f>'Demand Forecast'!M17*1000</f>
        <v>26000</v>
      </c>
      <c r="O22" s="475">
        <f>'Demand Forecast'!O17*1000</f>
        <v>28000</v>
      </c>
      <c r="P22" s="475">
        <f>'Demand Forecast'!P17*1000</f>
        <v>33000</v>
      </c>
      <c r="Q22" s="475">
        <f>'Demand Forecast'!Q17*1000</f>
        <v>35000</v>
      </c>
      <c r="R22" s="475">
        <f>'Demand Forecast'!R17*1000</f>
        <v>34000</v>
      </c>
      <c r="S22" s="475">
        <f>'Demand Forecast'!S17*1000</f>
        <v>31000</v>
      </c>
      <c r="T22" s="475">
        <f>'Demand Forecast'!T17*1000</f>
        <v>31000</v>
      </c>
      <c r="V22" s="475">
        <f>'Demand Forecast'!V17*1000</f>
        <v>23000</v>
      </c>
      <c r="W22" s="475">
        <f>'Demand Forecast'!W17*1000</f>
        <v>19000</v>
      </c>
      <c r="X22" s="475">
        <f>'Demand Forecast'!X17*1000</f>
        <v>25000</v>
      </c>
      <c r="Y22" s="475">
        <f>'Demand Forecast'!Y17*1000</f>
        <v>24000</v>
      </c>
      <c r="Z22" s="475">
        <f>'Demand Forecast'!Z17*1000</f>
        <v>23000</v>
      </c>
      <c r="AA22" s="475">
        <f>'Demand Forecast'!AA17*1000</f>
        <v>18000</v>
      </c>
      <c r="AB22" s="475">
        <f>'Demand Forecast'!AB17*1000</f>
        <v>28000</v>
      </c>
      <c r="AC22" s="475">
        <f>'Demand Forecast'!AC17*1000</f>
        <v>34000</v>
      </c>
    </row>
    <row r="23" spans="1:29" x14ac:dyDescent="0.25">
      <c r="A23" s="10" t="s">
        <v>17</v>
      </c>
      <c r="B23" s="475">
        <f>'Demand Forecast'!B18*1000</f>
        <v>14066.33333333333</v>
      </c>
      <c r="C23" s="475">
        <f>'Demand Forecast'!C18*1000</f>
        <v>14066.33333333333</v>
      </c>
      <c r="D23" s="475">
        <f>'Demand Forecast'!D18*1000</f>
        <v>14066.33333333333</v>
      </c>
      <c r="E23" s="475">
        <f>'Demand Forecast'!E18*1000</f>
        <v>14066.33333333333</v>
      </c>
      <c r="F23" s="475">
        <f>'Demand Forecast'!F18*1000</f>
        <v>14066.33333333333</v>
      </c>
      <c r="G23" s="475">
        <f>'Demand Forecast'!G18*1000</f>
        <v>14066.33333333333</v>
      </c>
      <c r="H23" s="475">
        <f>'Demand Forecast'!H18*1000</f>
        <v>14066.33333333333</v>
      </c>
      <c r="I23" s="475">
        <f>'Demand Forecast'!I18*1000</f>
        <v>14066.33333333333</v>
      </c>
      <c r="J23" s="7">
        <f>'Demand Forecast'!J18*1000</f>
        <v>14066.33333333333</v>
      </c>
      <c r="K23" s="7">
        <f>'Demand Forecast'!K18*1000</f>
        <v>14066.33333333333</v>
      </c>
      <c r="L23" s="7">
        <f>'Demand Forecast'!L18*1000</f>
        <v>14066.33333333333</v>
      </c>
      <c r="M23" s="7">
        <f>'Demand Forecast'!M18*1000</f>
        <v>14066.33333333333</v>
      </c>
      <c r="O23" s="7">
        <f>'Demand Forecast'!O18*1000</f>
        <v>14066.33333333333</v>
      </c>
      <c r="P23" s="7">
        <f>'Demand Forecast'!P18*1000</f>
        <v>14066.33333333333</v>
      </c>
      <c r="Q23" s="7">
        <f>'Demand Forecast'!Q18*1000</f>
        <v>14066.33333333333</v>
      </c>
      <c r="R23" s="7">
        <f>'Demand Forecast'!R18*1000</f>
        <v>14066.33333333333</v>
      </c>
      <c r="S23" s="7">
        <f>'Demand Forecast'!S18*1000</f>
        <v>14066.33333333333</v>
      </c>
      <c r="T23" s="7">
        <f>'Demand Forecast'!T18*1000</f>
        <v>14066.33333333333</v>
      </c>
      <c r="V23" s="7">
        <f>'Demand Forecast'!V18*1000</f>
        <v>13741.666666666666</v>
      </c>
      <c r="W23" s="7">
        <f>'Demand Forecast'!W18*1000</f>
        <v>13741.666666666666</v>
      </c>
      <c r="X23" s="7">
        <f>'Demand Forecast'!X18*1000</f>
        <v>13741.666666666666</v>
      </c>
      <c r="Y23" s="7">
        <f>'Demand Forecast'!Y18*1000</f>
        <v>13741.666666666666</v>
      </c>
      <c r="Z23" s="7">
        <f>'Demand Forecast'!Z18*1000</f>
        <v>13741.666666666666</v>
      </c>
      <c r="AA23" s="7">
        <f>'Demand Forecast'!AA18*1000</f>
        <v>13741.666666666666</v>
      </c>
      <c r="AB23" s="7">
        <f>'Demand Forecast'!AB18*1000</f>
        <v>13741.666666666666</v>
      </c>
      <c r="AC23" s="7">
        <f>'Demand Forecast'!AC18*1000</f>
        <v>13741.666666666666</v>
      </c>
    </row>
    <row r="24" spans="1:29" x14ac:dyDescent="0.25">
      <c r="A24" s="10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</row>
    <row r="25" spans="1:29" x14ac:dyDescent="0.25">
      <c r="A25" s="10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</row>
    <row r="26" spans="1:29" x14ac:dyDescent="0.25">
      <c r="A26" s="4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</row>
    <row r="27" spans="1:29" x14ac:dyDescent="0.25">
      <c r="A27" s="29" t="s">
        <v>111</v>
      </c>
      <c r="B27" s="28"/>
      <c r="C27" s="28"/>
      <c r="D27" s="75"/>
      <c r="E27" s="75"/>
      <c r="F27" s="75"/>
      <c r="G27" s="28"/>
      <c r="H27" s="28"/>
      <c r="I27" s="28"/>
      <c r="J27" s="28"/>
      <c r="K27" s="28"/>
      <c r="L27" s="28"/>
      <c r="M27" s="28"/>
    </row>
    <row r="28" spans="1:29" ht="13" thickBot="1" x14ac:dyDescent="0.3">
      <c r="A28" s="29"/>
      <c r="B28" s="28"/>
      <c r="C28" s="28"/>
      <c r="D28" s="75"/>
      <c r="E28" s="75"/>
      <c r="F28" s="75"/>
      <c r="G28" s="28"/>
      <c r="H28" s="28"/>
      <c r="I28" s="28"/>
      <c r="J28" s="28"/>
      <c r="K28" s="28"/>
      <c r="L28" s="28"/>
      <c r="M28" s="28"/>
    </row>
    <row r="29" spans="1:29" ht="13" thickBot="1" x14ac:dyDescent="0.3">
      <c r="A29" s="774" t="s">
        <v>60</v>
      </c>
      <c r="B29" s="775"/>
      <c r="C29" s="775"/>
      <c r="D29" s="776"/>
      <c r="E29" s="75"/>
      <c r="F29" s="75"/>
      <c r="G29" s="28"/>
      <c r="H29" s="28"/>
      <c r="I29" s="28"/>
      <c r="J29" s="28"/>
      <c r="K29" s="28"/>
      <c r="L29" s="28"/>
      <c r="M29" s="28"/>
    </row>
    <row r="30" spans="1:29" x14ac:dyDescent="0.25">
      <c r="A30" s="76"/>
      <c r="B30" s="76"/>
      <c r="C30" s="76"/>
      <c r="D30" s="76"/>
      <c r="E30" s="75"/>
      <c r="F30" s="75"/>
      <c r="G30" s="28"/>
      <c r="H30" s="28"/>
      <c r="I30" s="28"/>
      <c r="J30" s="28"/>
      <c r="K30" s="28"/>
      <c r="L30" s="28"/>
      <c r="M30" s="28"/>
    </row>
    <row r="31" spans="1:29" x14ac:dyDescent="0.25">
      <c r="A31" s="68" t="s">
        <v>56</v>
      </c>
      <c r="B31" s="7" t="s">
        <v>112</v>
      </c>
      <c r="D31" s="77">
        <f>[4]Summary!$E$36</f>
        <v>0</v>
      </c>
      <c r="E31" s="78"/>
      <c r="G31" s="13"/>
      <c r="H31" s="13"/>
      <c r="I31" s="13"/>
      <c r="J31" s="13"/>
      <c r="K31" s="25"/>
      <c r="L31" s="13"/>
      <c r="M31" s="13"/>
    </row>
    <row r="32" spans="1:29" x14ac:dyDescent="0.25">
      <c r="A32" s="4"/>
      <c r="B32" s="7" t="s">
        <v>113</v>
      </c>
      <c r="D32" s="77">
        <f>[4]Summary!$E$34+[4]Summary!$E$35</f>
        <v>47064794.100000001</v>
      </c>
      <c r="E32" s="78"/>
      <c r="G32" s="13"/>
      <c r="H32" s="13"/>
      <c r="I32" s="13"/>
      <c r="J32" s="13"/>
      <c r="K32" s="13"/>
      <c r="L32" s="13"/>
      <c r="M32" s="13"/>
    </row>
    <row r="33" spans="2:13" x14ac:dyDescent="0.25">
      <c r="B33" s="7" t="s">
        <v>114</v>
      </c>
      <c r="D33" s="71">
        <f>SUM(D31:D32)</f>
        <v>47064794.100000001</v>
      </c>
      <c r="E33" s="71"/>
      <c r="G33" s="13"/>
      <c r="H33" s="13"/>
      <c r="I33" s="13"/>
      <c r="J33" s="13"/>
      <c r="K33" s="13"/>
      <c r="L33" s="13"/>
      <c r="M33" s="13"/>
    </row>
    <row r="34" spans="2:13" x14ac:dyDescent="0.25">
      <c r="B34" s="7" t="s">
        <v>115</v>
      </c>
      <c r="D34" s="40">
        <f>ROUND(D31/D33,6)</f>
        <v>0</v>
      </c>
      <c r="E34" s="40"/>
      <c r="G34" s="79"/>
      <c r="H34" s="13"/>
      <c r="I34" s="13"/>
      <c r="J34" s="13"/>
      <c r="K34" s="13"/>
      <c r="L34" s="13"/>
      <c r="M34" s="13"/>
    </row>
    <row r="35" spans="2:13" x14ac:dyDescent="0.25">
      <c r="B35" s="7"/>
      <c r="C35" s="7"/>
      <c r="D35" s="40"/>
      <c r="E35" s="13"/>
      <c r="F35" s="79"/>
      <c r="G35" s="79"/>
      <c r="H35" s="13"/>
      <c r="I35" s="13"/>
      <c r="J35" s="13"/>
      <c r="K35" s="13"/>
      <c r="L35" s="13"/>
      <c r="M35" s="13"/>
    </row>
  </sheetData>
  <mergeCells count="2">
    <mergeCell ref="A1:M1"/>
    <mergeCell ref="A29:D29"/>
  </mergeCells>
  <hyperlinks>
    <hyperlink ref="A27" r:id="rId1" xr:uid="{00000000-0004-0000-0300-000000000000}"/>
  </hyperlinks>
  <pageMargins left="0.75" right="0.75" top="1" bottom="1" header="0.5" footer="0.5"/>
  <pageSetup paperSize="5" scale="80" orientation="landscape" r:id="rId2"/>
  <headerFooter alignWithMargins="0">
    <oddFooter>&amp;L&amp;F
&amp;A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indexed="8"/>
  </sheetPr>
  <dimension ref="A1:Y35"/>
  <sheetViews>
    <sheetView zoomScaleNormal="100" workbookViewId="0">
      <pane xSplit="2" ySplit="3" topLeftCell="C4" activePane="bottomRight" state="frozen"/>
      <selection activeCell="B6" sqref="B6"/>
      <selection pane="topRight" activeCell="B6" sqref="B6"/>
      <selection pane="bottomLeft" activeCell="B6" sqref="B6"/>
      <selection pane="bottomRight" activeCell="C4" sqref="C4"/>
    </sheetView>
  </sheetViews>
  <sheetFormatPr defaultRowHeight="12.5" x14ac:dyDescent="0.25"/>
  <cols>
    <col min="2" max="2" width="12" bestFit="1" customWidth="1"/>
    <col min="3" max="3" width="13.54296875" bestFit="1" customWidth="1"/>
    <col min="4" max="4" width="11.1796875" bestFit="1" customWidth="1"/>
    <col min="5" max="5" width="11.26953125" bestFit="1" customWidth="1"/>
    <col min="6" max="7" width="11.54296875" bestFit="1" customWidth="1"/>
    <col min="8" max="11" width="10.453125" customWidth="1"/>
    <col min="12" max="12" width="10" customWidth="1"/>
    <col min="13" max="14" width="11.81640625" bestFit="1" customWidth="1"/>
  </cols>
  <sheetData>
    <row r="1" spans="1:25" ht="13" x14ac:dyDescent="0.3">
      <c r="A1" s="769" t="s">
        <v>116</v>
      </c>
      <c r="B1" s="769"/>
      <c r="C1" s="769"/>
      <c r="D1" s="769"/>
      <c r="E1" s="769"/>
      <c r="F1" s="769"/>
      <c r="G1" s="769"/>
      <c r="H1" s="769"/>
      <c r="I1" s="769"/>
      <c r="J1" s="769"/>
      <c r="K1" s="769"/>
      <c r="L1" s="769"/>
      <c r="M1" s="769"/>
      <c r="N1" s="769"/>
      <c r="O1" s="769"/>
      <c r="P1" s="769"/>
      <c r="Q1" s="769"/>
      <c r="S1" s="191" t="s">
        <v>337</v>
      </c>
      <c r="T1" s="191"/>
      <c r="U1" s="191"/>
      <c r="V1" s="191"/>
      <c r="W1" s="191"/>
    </row>
    <row r="2" spans="1:25" x14ac:dyDescent="0.25">
      <c r="S2" s="622" t="s">
        <v>551</v>
      </c>
      <c r="T2" s="623"/>
      <c r="U2" s="623"/>
      <c r="V2" s="623"/>
      <c r="W2" s="621"/>
      <c r="X2" s="621"/>
      <c r="Y2" s="621"/>
    </row>
    <row r="3" spans="1:25" ht="13" x14ac:dyDescent="0.3">
      <c r="A3" s="2" t="s">
        <v>117</v>
      </c>
      <c r="B3" s="2" t="s">
        <v>118</v>
      </c>
      <c r="C3" s="80">
        <f>'Sales Forecast'!J6</f>
        <v>44562</v>
      </c>
      <c r="D3" s="80">
        <f>'Sales Forecast'!K6</f>
        <v>44593</v>
      </c>
      <c r="E3" s="80">
        <f>'Sales Forecast'!L6</f>
        <v>44621</v>
      </c>
      <c r="F3" s="80">
        <f>'Sales Forecast'!M6</f>
        <v>44652</v>
      </c>
      <c r="G3" s="80">
        <f>'Sales Forecast'!B6</f>
        <v>44682</v>
      </c>
      <c r="H3" s="80">
        <f>'Sales Forecast'!C6</f>
        <v>44713</v>
      </c>
      <c r="I3" s="80">
        <f>'Sales Forecast'!D6</f>
        <v>44743</v>
      </c>
      <c r="J3" s="80">
        <f>'Sales Forecast'!E6</f>
        <v>44774</v>
      </c>
      <c r="K3" s="80">
        <f>'Sales Forecast'!F6</f>
        <v>44805</v>
      </c>
      <c r="L3" s="80">
        <f>'Sales Forecast'!G6</f>
        <v>44835</v>
      </c>
      <c r="M3" s="80">
        <f>'Sales Forecast'!H6</f>
        <v>44530</v>
      </c>
      <c r="N3" s="80">
        <f>'Sales Forecast'!I6</f>
        <v>44531</v>
      </c>
      <c r="O3" s="2"/>
      <c r="P3" s="2"/>
      <c r="Q3" s="2"/>
    </row>
    <row r="5" spans="1:25" x14ac:dyDescent="0.25">
      <c r="A5" t="s">
        <v>4</v>
      </c>
      <c r="B5" t="s">
        <v>119</v>
      </c>
      <c r="C5" s="81">
        <f>ROUND('Adj Demand Forecast '!J$7*'TOD % of Reg kW'!F6,0)</f>
        <v>0</v>
      </c>
      <c r="D5" s="81">
        <f>ROUND('Adj Demand Forecast '!K$7*'TOD % of Reg kW'!F6,0)</f>
        <v>0</v>
      </c>
      <c r="E5" s="81">
        <f>ROUND('Adj Demand Forecast '!L$7*'TOD % of Reg kW'!F6,0)</f>
        <v>0</v>
      </c>
      <c r="F5" s="81">
        <f>ROUND('Adj Demand Forecast '!M$7*'TOD % of Reg kW'!F6,0)</f>
        <v>0</v>
      </c>
      <c r="G5" s="81">
        <f>ROUND('Adj Demand Forecast '!B$7*'TOD % of Reg kW'!F6,0)</f>
        <v>0</v>
      </c>
      <c r="H5" s="81">
        <f>ROUND('Adj Demand Forecast '!C$7*'TOD % of Reg kW'!D6,0)</f>
        <v>15117</v>
      </c>
      <c r="I5" s="81">
        <f>ROUND('Adj Demand Forecast '!D$7*'TOD % of Reg kW'!D6,0)</f>
        <v>17951</v>
      </c>
      <c r="J5" s="81">
        <f>ROUND('Adj Demand Forecast '!E$7*'TOD % of Reg kW'!D6,0)</f>
        <v>17951</v>
      </c>
      <c r="K5" s="81">
        <f>ROUND('Adj Demand Forecast '!F$7*'TOD % of Reg kW'!D6,0)</f>
        <v>17006</v>
      </c>
      <c r="L5" s="81">
        <f>ROUND('Adj Demand Forecast '!G$7*'TOD % of Reg kW'!F6,0)</f>
        <v>0</v>
      </c>
      <c r="M5" s="81">
        <f>ROUND('Adj Demand Forecast '!H$7*'TOD % of Reg kW'!F6,0)</f>
        <v>0</v>
      </c>
      <c r="N5" s="81">
        <f>ROUND('Adj Demand Forecast '!I$7*'TOD % of Reg kW'!F6,0)</f>
        <v>0</v>
      </c>
      <c r="O5" s="82"/>
      <c r="P5" s="82"/>
      <c r="Q5" s="82"/>
    </row>
    <row r="6" spans="1:25" x14ac:dyDescent="0.25">
      <c r="B6" t="s">
        <v>120</v>
      </c>
      <c r="C6" s="81">
        <f>ROUND('Adj Demand Forecast '!J$7*'TOD % of Reg kW'!F7,0)</f>
        <v>14669</v>
      </c>
      <c r="D6" s="81">
        <f>ROUND('Adj Demand Forecast '!K$7*'TOD % of Reg kW'!F7,0)</f>
        <v>23470</v>
      </c>
      <c r="E6" s="81">
        <f>ROUND('Adj Demand Forecast '!L$7*'TOD % of Reg kW'!F7,0)</f>
        <v>20536</v>
      </c>
      <c r="F6" s="478">
        <f>ROUND('Adj Demand Forecast '!M$7*'TOD % of Reg kW'!F7,0)</f>
        <v>20536</v>
      </c>
      <c r="G6" s="478">
        <f>ROUND('Adj Demand Forecast '!B$7*'TOD % of Reg kW'!F7,0)</f>
        <v>15646</v>
      </c>
      <c r="H6" s="478">
        <f>ROUND('Adj Demand Forecast '!C$7*'TOD % of Reg kW'!D7,0)</f>
        <v>15350</v>
      </c>
      <c r="I6" s="478">
        <f>ROUND('Adj Demand Forecast '!D$7*'TOD % of Reg kW'!D7,0)</f>
        <v>18229</v>
      </c>
      <c r="J6" s="478">
        <f>ROUND('Adj Demand Forecast '!E$7*'TOD % of Reg kW'!D7,0)</f>
        <v>18229</v>
      </c>
      <c r="K6" s="478">
        <f>ROUND('Adj Demand Forecast '!F$7*'TOD % of Reg kW'!D7,0)</f>
        <v>17269</v>
      </c>
      <c r="L6" s="478">
        <f>ROUND('Adj Demand Forecast '!G$7*'TOD % of Reg kW'!F7,0)</f>
        <v>17602</v>
      </c>
      <c r="M6" s="478">
        <f>ROUND('Adj Demand Forecast '!H$7*'TOD % of Reg kW'!F7,0)</f>
        <v>15646</v>
      </c>
      <c r="N6" s="478">
        <f>ROUND('Adj Demand Forecast '!I$7*'TOD % of Reg kW'!F7,0)</f>
        <v>19558</v>
      </c>
      <c r="O6" s="82"/>
      <c r="P6" s="82"/>
      <c r="Q6" s="82"/>
    </row>
    <row r="7" spans="1:25" x14ac:dyDescent="0.25">
      <c r="B7" t="s">
        <v>121</v>
      </c>
      <c r="C7" s="81">
        <f>ROUND('Adj Demand Forecast '!J$7*'TOD % of Reg kW'!F8,0)</f>
        <v>1625</v>
      </c>
      <c r="D7" s="81">
        <f>ROUND('Adj Demand Forecast '!K$7*'TOD % of Reg kW'!F8,0)</f>
        <v>2599</v>
      </c>
      <c r="E7" s="81">
        <f>ROUND('Adj Demand Forecast '!L$7*'TOD % of Reg kW'!F8,0)</f>
        <v>2274</v>
      </c>
      <c r="F7" s="478">
        <f>ROUND('Adj Demand Forecast '!M$7*'TOD % of Reg kW'!F8,0)</f>
        <v>2274</v>
      </c>
      <c r="G7" s="478">
        <f>ROUND('Adj Demand Forecast '!B$7*'TOD % of Reg kW'!F8,0)</f>
        <v>1733</v>
      </c>
      <c r="H7" s="478">
        <f>ROUND('Adj Demand Forecast '!C$7*'TOD % of Reg kW'!D8,0)</f>
        <v>2018</v>
      </c>
      <c r="I7" s="478">
        <f>ROUND('Adj Demand Forecast '!D$7*'TOD % of Reg kW'!D8,0)</f>
        <v>2396</v>
      </c>
      <c r="J7" s="478">
        <f>ROUND('Adj Demand Forecast '!E$7*'TOD % of Reg kW'!D8,0)</f>
        <v>2396</v>
      </c>
      <c r="K7" s="478">
        <f>ROUND('Adj Demand Forecast '!F$7*'TOD % of Reg kW'!D8,0)</f>
        <v>2270</v>
      </c>
      <c r="L7" s="478">
        <f>ROUND('Adj Demand Forecast '!G$7*'TOD % of Reg kW'!F8,0)</f>
        <v>1949</v>
      </c>
      <c r="M7" s="478">
        <f>ROUND('Adj Demand Forecast '!H$7*'TOD % of Reg kW'!F8,0)</f>
        <v>1733</v>
      </c>
      <c r="N7" s="478">
        <f>ROUND('Adj Demand Forecast '!I$7*'TOD % of Reg kW'!F8,0)</f>
        <v>2166</v>
      </c>
      <c r="O7" s="82"/>
      <c r="P7" s="82"/>
      <c r="Q7" s="82"/>
    </row>
    <row r="8" spans="1:25" x14ac:dyDescent="0.25">
      <c r="F8" s="195"/>
      <c r="G8" s="195"/>
      <c r="H8" s="195"/>
      <c r="I8" s="195"/>
      <c r="J8" s="195"/>
      <c r="K8" s="195"/>
      <c r="L8" s="195"/>
      <c r="M8" s="195"/>
      <c r="N8" s="195"/>
    </row>
    <row r="9" spans="1:25" x14ac:dyDescent="0.25">
      <c r="A9" t="s">
        <v>9</v>
      </c>
      <c r="B9" t="s">
        <v>119</v>
      </c>
      <c r="C9" s="81">
        <f>ROUND('Adj Demand Forecast '!J$11*'TOD % of Reg kW'!F11,0)</f>
        <v>0</v>
      </c>
      <c r="D9" s="81">
        <f>ROUND('Adj Demand Forecast '!K$11*'TOD % of Reg kW'!F11,0)</f>
        <v>0</v>
      </c>
      <c r="E9" s="81">
        <f>ROUND('Adj Demand Forecast '!L$11*'TOD % of Reg kW'!F11,0)</f>
        <v>0</v>
      </c>
      <c r="F9" s="478">
        <f>ROUND('Adj Demand Forecast '!M$11*'TOD % of Reg kW'!F11,0)</f>
        <v>0</v>
      </c>
      <c r="G9" s="478">
        <f>ROUND('Adj Demand Forecast '!B$11*'TOD % of Reg kW'!F11,0)</f>
        <v>0</v>
      </c>
      <c r="H9" s="478">
        <f>ROUND('Adj Demand Forecast '!C$11*'TOD % of Reg kW'!D11,0)</f>
        <v>49327</v>
      </c>
      <c r="I9" s="478">
        <f>ROUND('Adj Demand Forecast '!D$11*'TOD % of Reg kW'!D11,0)</f>
        <v>44674</v>
      </c>
      <c r="J9" s="478">
        <f>ROUND('Adj Demand Forecast '!E$11*'TOD % of Reg kW'!D11,0)</f>
        <v>53050</v>
      </c>
      <c r="K9" s="478">
        <f>ROUND('Adj Demand Forecast '!F$11*'TOD % of Reg kW'!D11,0)</f>
        <v>49327</v>
      </c>
      <c r="L9" s="478">
        <f>ROUND('Adj Demand Forecast '!G$11*'TOD % of Reg kW'!F11,0)</f>
        <v>0</v>
      </c>
      <c r="M9" s="478">
        <f>ROUND('Adj Demand Forecast '!H$11*'TOD % of Reg kW'!F11,0)</f>
        <v>0</v>
      </c>
      <c r="N9" s="478">
        <f>ROUND('Adj Demand Forecast '!I$11*'TOD % of Reg kW'!F11,0)</f>
        <v>0</v>
      </c>
      <c r="O9" s="82"/>
      <c r="P9" s="82"/>
      <c r="Q9" s="82"/>
    </row>
    <row r="10" spans="1:25" x14ac:dyDescent="0.25">
      <c r="B10" t="s">
        <v>120</v>
      </c>
      <c r="C10" s="81">
        <f>ROUND('Adj Demand Forecast '!J$11*'TOD % of Reg kW'!F12,0)</f>
        <v>36808</v>
      </c>
      <c r="D10" s="81">
        <f>ROUND('Adj Demand Forecast '!K$11*'TOD % of Reg kW'!F12,0)</f>
        <v>34818</v>
      </c>
      <c r="E10" s="81">
        <f>ROUND('Adj Demand Forecast '!L$11*'TOD % of Reg kW'!F12,0)</f>
        <v>37802</v>
      </c>
      <c r="F10" s="478">
        <f>ROUND('Adj Demand Forecast '!M$11*'TOD % of Reg kW'!F12,0)</f>
        <v>34818</v>
      </c>
      <c r="G10" s="478">
        <f>ROUND('Adj Demand Forecast '!B$11*'TOD % of Reg kW'!F12,0)</f>
        <v>34818</v>
      </c>
      <c r="H10" s="478">
        <f>ROUND('Adj Demand Forecast '!C$11*'TOD % of Reg kW'!D12,0)</f>
        <v>51770</v>
      </c>
      <c r="I10" s="478">
        <f>ROUND('Adj Demand Forecast '!D$11*'TOD % of Reg kW'!D12,0)</f>
        <v>46886</v>
      </c>
      <c r="J10" s="478">
        <f>ROUND('Adj Demand Forecast '!E$11*'TOD % of Reg kW'!D12,0)</f>
        <v>55678</v>
      </c>
      <c r="K10" s="478">
        <f>ROUND('Adj Demand Forecast '!F$11*'TOD % of Reg kW'!D12,0)</f>
        <v>51770</v>
      </c>
      <c r="L10" s="478">
        <f>ROUND('Adj Demand Forecast '!G$11*'TOD % of Reg kW'!F12,0)</f>
        <v>43771</v>
      </c>
      <c r="M10" s="478">
        <f>ROUND('Adj Demand Forecast '!H$11*'TOD % of Reg kW'!F12,0)</f>
        <v>28849</v>
      </c>
      <c r="N10" s="478">
        <f>ROUND('Adj Demand Forecast '!I$11*'TOD % of Reg kW'!F12,0)</f>
        <v>36808</v>
      </c>
      <c r="O10" s="82"/>
      <c r="P10" s="82"/>
      <c r="Q10" s="82"/>
    </row>
    <row r="11" spans="1:25" x14ac:dyDescent="0.25">
      <c r="B11" t="s">
        <v>121</v>
      </c>
      <c r="C11" s="81">
        <f>ROUND('Adj Demand Forecast '!J$11*'TOD % of Reg kW'!F13,0)</f>
        <v>37000</v>
      </c>
      <c r="D11" s="81">
        <f>ROUND('Adj Demand Forecast '!K$11*'TOD % of Reg kW'!F13,0)</f>
        <v>35000</v>
      </c>
      <c r="E11" s="81">
        <f>ROUND('Adj Demand Forecast '!L$11*'TOD % of Reg kW'!F13,0)</f>
        <v>38000</v>
      </c>
      <c r="F11" s="478">
        <f>ROUND('Adj Demand Forecast '!M$11*'TOD % of Reg kW'!F13,0)</f>
        <v>35000</v>
      </c>
      <c r="G11" s="478">
        <f>ROUND('Adj Demand Forecast '!B$11*'TOD % of Reg kW'!F13,0)</f>
        <v>35000</v>
      </c>
      <c r="H11" s="478">
        <f>ROUND('Adj Demand Forecast '!C$11*'TOD % of Reg kW'!D13,0)</f>
        <v>53000</v>
      </c>
      <c r="I11" s="478">
        <f>ROUND('Adj Demand Forecast '!D$11*'TOD % of Reg kW'!D13,0)</f>
        <v>48000</v>
      </c>
      <c r="J11" s="478">
        <f>ROUND('Adj Demand Forecast '!E$11*'TOD % of Reg kW'!D13,0)</f>
        <v>57000</v>
      </c>
      <c r="K11" s="478">
        <f>ROUND('Adj Demand Forecast '!F$11*'TOD % of Reg kW'!D13,0)</f>
        <v>53000</v>
      </c>
      <c r="L11" s="478">
        <f>ROUND('Adj Demand Forecast '!G$11*'TOD % of Reg kW'!F13,0)</f>
        <v>44000</v>
      </c>
      <c r="M11" s="478">
        <f>ROUND('Adj Demand Forecast '!H$11*'TOD % of Reg kW'!F13,0)</f>
        <v>29000</v>
      </c>
      <c r="N11" s="478">
        <f>ROUND('Adj Demand Forecast '!I$11*'TOD % of Reg kW'!F13,0)</f>
        <v>37000</v>
      </c>
      <c r="O11" s="82"/>
      <c r="P11" s="82"/>
      <c r="Q11" s="82"/>
    </row>
    <row r="12" spans="1:25" x14ac:dyDescent="0.25">
      <c r="F12" s="195"/>
      <c r="G12" s="195"/>
      <c r="H12" s="195"/>
      <c r="I12" s="195"/>
      <c r="J12" s="195"/>
      <c r="K12" s="195"/>
      <c r="L12" s="195"/>
      <c r="M12" s="195"/>
      <c r="N12" s="195"/>
    </row>
    <row r="13" spans="1:25" x14ac:dyDescent="0.25">
      <c r="A13" t="s">
        <v>12</v>
      </c>
      <c r="B13" t="s">
        <v>119</v>
      </c>
      <c r="C13" s="81">
        <f>ROUND('Adj Demand Forecast '!J$17*'TOD % of Reg kW'!F16,0)</f>
        <v>0</v>
      </c>
      <c r="D13" s="81">
        <f>ROUND('Adj Demand Forecast '!K$17*'TOD % of Reg kW'!F16,0)</f>
        <v>0</v>
      </c>
      <c r="E13" s="81">
        <f>ROUND('Adj Demand Forecast '!L$17*'TOD % of Reg kW'!F16,0)</f>
        <v>0</v>
      </c>
      <c r="F13" s="478">
        <f>ROUND('Adj Demand Forecast '!M$17*'TOD % of Reg kW'!F16,0)</f>
        <v>0</v>
      </c>
      <c r="G13" s="478">
        <f>ROUND('Adj Demand Forecast '!B$17*'TOD % of Reg kW'!F16,0)</f>
        <v>0</v>
      </c>
      <c r="H13" s="478">
        <f>ROUND('Adj Demand Forecast '!C$17*'TOD % of Reg kW'!D16,0)</f>
        <v>1371447</v>
      </c>
      <c r="I13" s="478">
        <f>ROUND('Adj Demand Forecast '!D$17*'TOD % of Reg kW'!D16,0)</f>
        <v>1568358</v>
      </c>
      <c r="J13" s="478">
        <f>ROUND('Adj Demand Forecast '!E$17*'TOD % of Reg kW'!D16,0)</f>
        <v>1629707</v>
      </c>
      <c r="K13" s="478">
        <f>ROUND('Adj Demand Forecast '!F$17*'TOD % of Reg kW'!D16,0)</f>
        <v>1578253</v>
      </c>
      <c r="L13" s="478">
        <f>ROUND('Adj Demand Forecast '!G$17*'TOD % of Reg kW'!F16,0)</f>
        <v>0</v>
      </c>
      <c r="M13" s="478">
        <f>ROUND('Adj Demand Forecast '!H$17*'TOD % of Reg kW'!F16,0)</f>
        <v>0</v>
      </c>
      <c r="N13" s="478">
        <f>ROUND('Adj Demand Forecast '!I$17*'TOD % of Reg kW'!F16,0)</f>
        <v>0</v>
      </c>
      <c r="O13" s="82"/>
      <c r="P13" s="82"/>
      <c r="Q13" s="82"/>
    </row>
    <row r="14" spans="1:25" x14ac:dyDescent="0.25">
      <c r="B14" t="s">
        <v>120</v>
      </c>
      <c r="C14" s="81">
        <f>ROUND('Adj Demand Forecast '!J$17*'TOD % of Reg kW'!F17,0)</f>
        <v>1229536</v>
      </c>
      <c r="D14" s="81">
        <f>ROUND('Adj Demand Forecast '!K$17*'TOD % of Reg kW'!F17,0)</f>
        <v>1261472</v>
      </c>
      <c r="E14" s="81">
        <f>ROUND('Adj Demand Forecast '!L$17*'TOD % of Reg kW'!F17,0)</f>
        <v>1196602</v>
      </c>
      <c r="F14" s="478">
        <f>ROUND('Adj Demand Forecast '!M$17*'TOD % of Reg kW'!F17,0)</f>
        <v>1194606</v>
      </c>
      <c r="G14" s="478">
        <f>ROUND('Adj Demand Forecast '!B$17*'TOD % of Reg kW'!F17,0)</f>
        <v>1184626</v>
      </c>
      <c r="H14" s="478">
        <f>ROUND('Adj Demand Forecast '!C$17*'TOD % of Reg kW'!D17,0)</f>
        <v>1375605</v>
      </c>
      <c r="I14" s="478">
        <f>ROUND('Adj Demand Forecast '!D$17*'TOD % of Reg kW'!D17,0)</f>
        <v>1573113</v>
      </c>
      <c r="J14" s="478">
        <f>ROUND('Adj Demand Forecast '!E$17*'TOD % of Reg kW'!D17,0)</f>
        <v>1634648</v>
      </c>
      <c r="K14" s="478">
        <f>ROUND('Adj Demand Forecast '!F$17*'TOD % of Reg kW'!D17,0)</f>
        <v>1583038</v>
      </c>
      <c r="L14" s="478">
        <f>ROUND('Adj Demand Forecast '!G$17*'TOD % of Reg kW'!F17,0)</f>
        <v>1329336</v>
      </c>
      <c r="M14" s="478">
        <f>ROUND('Adj Demand Forecast '!H$17*'TOD % of Reg kW'!F17,0)</f>
        <v>1274446</v>
      </c>
      <c r="N14" s="478">
        <f>ROUND('Adj Demand Forecast '!I$17*'TOD % of Reg kW'!F17,0)</f>
        <v>1235524</v>
      </c>
      <c r="O14" s="82"/>
      <c r="P14" s="82"/>
      <c r="Q14" s="82"/>
    </row>
    <row r="15" spans="1:25" x14ac:dyDescent="0.25">
      <c r="B15" t="s">
        <v>121</v>
      </c>
      <c r="C15" s="81">
        <f>ROUND('Adj Demand Forecast '!J$17*'TOD % of Reg kW'!F18,0)</f>
        <v>982274</v>
      </c>
      <c r="D15" s="81">
        <f>ROUND('Adj Demand Forecast '!K$17*'TOD % of Reg kW'!F18,0)</f>
        <v>1007787</v>
      </c>
      <c r="E15" s="81">
        <f>ROUND('Adj Demand Forecast '!L$17*'TOD % of Reg kW'!F18,0)</f>
        <v>955963</v>
      </c>
      <c r="F15" s="478">
        <f>ROUND('Adj Demand Forecast '!M$17*'TOD % of Reg kW'!F18,0)</f>
        <v>954368</v>
      </c>
      <c r="G15" s="478">
        <f>ROUND('Adj Demand Forecast '!B$17*'TOD % of Reg kW'!F18,0)</f>
        <v>946395</v>
      </c>
      <c r="H15" s="478">
        <f>ROUND('Adj Demand Forecast '!C$17*'TOD % of Reg kW'!D18,0)</f>
        <v>1106444</v>
      </c>
      <c r="I15" s="478">
        <f>ROUND('Adj Demand Forecast '!D$17*'TOD % of Reg kW'!D18,0)</f>
        <v>1265306</v>
      </c>
      <c r="J15" s="478">
        <f>ROUND('Adj Demand Forecast '!E$17*'TOD % of Reg kW'!D18,0)</f>
        <v>1314800</v>
      </c>
      <c r="K15" s="478">
        <f>ROUND('Adj Demand Forecast '!F$17*'TOD % of Reg kW'!D18,0)</f>
        <v>1273289</v>
      </c>
      <c r="L15" s="478">
        <f>ROUND('Adj Demand Forecast '!G$17*'TOD % of Reg kW'!F18,0)</f>
        <v>1062004</v>
      </c>
      <c r="M15" s="478">
        <f>ROUND('Adj Demand Forecast '!H$17*'TOD % of Reg kW'!F18,0)</f>
        <v>1018152</v>
      </c>
      <c r="N15" s="478">
        <f>ROUND('Adj Demand Forecast '!I$17*'TOD % of Reg kW'!F18,0)</f>
        <v>987057</v>
      </c>
      <c r="O15" s="82"/>
      <c r="P15" s="82"/>
      <c r="Q15" s="82"/>
    </row>
    <row r="16" spans="1:25" x14ac:dyDescent="0.25">
      <c r="F16" s="195"/>
      <c r="G16" s="195"/>
      <c r="H16" s="195"/>
      <c r="I16" s="195"/>
      <c r="J16" s="195"/>
      <c r="K16" s="195"/>
      <c r="L16" s="195"/>
      <c r="M16" s="195"/>
      <c r="N16" s="195"/>
    </row>
    <row r="17" spans="1:17" x14ac:dyDescent="0.25">
      <c r="A17" t="s">
        <v>16</v>
      </c>
      <c r="B17" t="s">
        <v>119</v>
      </c>
      <c r="C17" s="81">
        <f>ROUND('Adj Demand Forecast '!J$22*'TOD % of Reg kW'!F21,0)</f>
        <v>0</v>
      </c>
      <c r="D17" s="81">
        <f>ROUND('Adj Demand Forecast '!K$22*'TOD % of Reg kW'!F21,0)</f>
        <v>0</v>
      </c>
      <c r="E17" s="81">
        <f>ROUND('Adj Demand Forecast '!L$22*'TOD % of Reg kW'!F21,0)</f>
        <v>0</v>
      </c>
      <c r="F17" s="478">
        <f>ROUND('Adj Demand Forecast '!M$22*'TOD % of Reg kW'!F21,0)</f>
        <v>0</v>
      </c>
      <c r="G17" s="478">
        <f>ROUND('Adj Demand Forecast '!B$22*'TOD % of Reg kW'!F21,0)</f>
        <v>0</v>
      </c>
      <c r="H17" s="478">
        <f>ROUND('Adj Demand Forecast '!C$22*'TOD % of Reg kW'!D21,0)</f>
        <v>24262</v>
      </c>
      <c r="I17" s="478">
        <f>ROUND('Adj Demand Forecast '!D$22*'TOD % of Reg kW'!D21,0)</f>
        <v>20668</v>
      </c>
      <c r="J17" s="478">
        <f>ROUND('Adj Demand Forecast '!E$22*'TOD % of Reg kW'!D21,0)</f>
        <v>21566</v>
      </c>
      <c r="K17" s="478">
        <f>ROUND('Adj Demand Forecast '!F$22*'TOD % of Reg kW'!D21,0)</f>
        <v>20668</v>
      </c>
      <c r="L17" s="478">
        <f>ROUND('Adj Demand Forecast '!G$22*'TOD % of Reg kW'!F21,0)</f>
        <v>0</v>
      </c>
      <c r="M17" s="478">
        <f>ROUND('Adj Demand Forecast '!H$22*'TOD % of Reg kW'!F21,0)</f>
        <v>0</v>
      </c>
      <c r="N17" s="478">
        <f>ROUND('Adj Demand Forecast '!I$22*'TOD % of Reg kW'!F21,0)</f>
        <v>0</v>
      </c>
      <c r="O17" s="82"/>
      <c r="P17" s="82"/>
      <c r="Q17" s="82"/>
    </row>
    <row r="18" spans="1:17" x14ac:dyDescent="0.25">
      <c r="B18" t="s">
        <v>120</v>
      </c>
      <c r="C18" s="81">
        <f>ROUND('Adj Demand Forecast '!J$22*'TOD % of Reg kW'!F22,0)</f>
        <v>31696</v>
      </c>
      <c r="D18" s="81">
        <f>ROUND('Adj Demand Forecast '!K$22*'TOD % of Reg kW'!F22,0)</f>
        <v>29715</v>
      </c>
      <c r="E18" s="81">
        <f>ROUND('Adj Demand Forecast '!L$22*'TOD % of Reg kW'!F22,0)</f>
        <v>25753</v>
      </c>
      <c r="F18" s="478">
        <f>ROUND('Adj Demand Forecast '!M$22*'TOD % of Reg kW'!F22,0)</f>
        <v>25753</v>
      </c>
      <c r="G18" s="478">
        <f>ROUND('Adj Demand Forecast '!B$22*'TOD % of Reg kW'!F22,0)</f>
        <v>22782</v>
      </c>
      <c r="H18" s="478">
        <f>ROUND('Adj Demand Forecast '!C$22*'TOD % of Reg kW'!D22,0)</f>
        <v>27000</v>
      </c>
      <c r="I18" s="478">
        <f>ROUND('Adj Demand Forecast '!D$22*'TOD % of Reg kW'!D22,0)</f>
        <v>23000</v>
      </c>
      <c r="J18" s="478">
        <f>ROUND('Adj Demand Forecast '!E$22*'TOD % of Reg kW'!D22,0)</f>
        <v>24000</v>
      </c>
      <c r="K18" s="478">
        <f>ROUND('Adj Demand Forecast '!F$22*'TOD % of Reg kW'!D22,0)</f>
        <v>23000</v>
      </c>
      <c r="L18" s="478">
        <f>ROUND('Adj Demand Forecast '!G$22*'TOD % of Reg kW'!F22,0)</f>
        <v>17829</v>
      </c>
      <c r="M18" s="478">
        <f>ROUND('Adj Demand Forecast '!H$22*'TOD % of Reg kW'!F22,0)</f>
        <v>25753</v>
      </c>
      <c r="N18" s="478">
        <f>ROUND('Adj Demand Forecast '!I$22*'TOD % of Reg kW'!F22,0)</f>
        <v>26744</v>
      </c>
      <c r="O18" s="82"/>
      <c r="P18" s="82"/>
      <c r="Q18" s="82"/>
    </row>
    <row r="19" spans="1:17" x14ac:dyDescent="0.25">
      <c r="B19" t="s">
        <v>121</v>
      </c>
      <c r="C19" s="81">
        <f>ROUND('Adj Demand Forecast '!J$22*'TOD % of Reg kW'!F23,0)</f>
        <v>32000</v>
      </c>
      <c r="D19" s="81">
        <f>ROUND('Adj Demand Forecast '!K$22*'TOD % of Reg kW'!F23,0)</f>
        <v>30000</v>
      </c>
      <c r="E19" s="81">
        <f>ROUND('Adj Demand Forecast '!L$22*'TOD % of Reg kW'!F23,0)</f>
        <v>26000</v>
      </c>
      <c r="F19" s="478">
        <f>ROUND('Adj Demand Forecast '!M$22*'TOD % of Reg kW'!F23,0)</f>
        <v>26000</v>
      </c>
      <c r="G19" s="478">
        <f>ROUND('Adj Demand Forecast '!B$22*'TOD % of Reg kW'!F23,0)</f>
        <v>23000</v>
      </c>
      <c r="H19" s="478">
        <f>ROUND('Adj Demand Forecast '!C$22*'TOD % of Reg kW'!D23,0)</f>
        <v>27000</v>
      </c>
      <c r="I19" s="478">
        <f>ROUND('Adj Demand Forecast '!D$22*'TOD % of Reg kW'!D23,0)</f>
        <v>23000</v>
      </c>
      <c r="J19" s="478">
        <f>ROUND('Adj Demand Forecast '!E$22*'TOD % of Reg kW'!D23,0)</f>
        <v>24000</v>
      </c>
      <c r="K19" s="478">
        <f>ROUND('Adj Demand Forecast '!F$22*'TOD % of Reg kW'!D23,0)</f>
        <v>23000</v>
      </c>
      <c r="L19" s="478">
        <f>ROUND('Adj Demand Forecast '!G$22*'TOD % of Reg kW'!F23,0)</f>
        <v>18000</v>
      </c>
      <c r="M19" s="478">
        <f>ROUND('Adj Demand Forecast '!H$22*'TOD % of Reg kW'!F23,0)</f>
        <v>26000</v>
      </c>
      <c r="N19" s="478">
        <f>ROUND('Adj Demand Forecast '!I$22*'TOD % of Reg kW'!F23,0)</f>
        <v>27000</v>
      </c>
      <c r="O19" s="82"/>
      <c r="P19" s="82"/>
      <c r="Q19" s="82"/>
    </row>
    <row r="20" spans="1:17" x14ac:dyDescent="0.25">
      <c r="F20" s="195"/>
      <c r="G20" s="195"/>
      <c r="H20" s="195"/>
      <c r="I20" s="195"/>
      <c r="J20" s="195"/>
      <c r="K20" s="195"/>
      <c r="L20" s="195"/>
      <c r="M20" s="195"/>
      <c r="N20" s="195"/>
    </row>
    <row r="21" spans="1:17" x14ac:dyDescent="0.25">
      <c r="A21" t="s">
        <v>17</v>
      </c>
      <c r="B21" t="s">
        <v>119</v>
      </c>
      <c r="C21" s="81">
        <f>ROUND('Adj Demand Forecast '!J$23*'TOD % of Reg kW'!F26,0)</f>
        <v>0</v>
      </c>
      <c r="D21" s="81">
        <f>ROUND('Adj Demand Forecast '!K$23*'TOD % of Reg kW'!F266,0)</f>
        <v>0</v>
      </c>
      <c r="E21" s="81">
        <f>ROUND('Adj Demand Forecast '!L$23*'TOD % of Reg kW'!F26,0)</f>
        <v>0</v>
      </c>
      <c r="F21" s="478">
        <f>ROUND('Adj Demand Forecast '!M$23*'TOD % of Reg kW'!F26,0)</f>
        <v>0</v>
      </c>
      <c r="G21" s="478">
        <f>ROUND('Adj Demand Forecast '!B$23*'TOD % of Reg kW'!F26,0)</f>
        <v>0</v>
      </c>
      <c r="H21" s="478">
        <f>ROUND('Adj Demand Forecast '!C$23*'TOD % of Reg kW'!D26,0)</f>
        <v>12010</v>
      </c>
      <c r="I21" s="478">
        <f>ROUND('Adj Demand Forecast '!D$23*'TOD % of Reg kW'!D26,0)</f>
        <v>12010</v>
      </c>
      <c r="J21" s="478">
        <f>ROUND('Adj Demand Forecast '!E$23*'TOD % of Reg kW'!D26,0)</f>
        <v>12010</v>
      </c>
      <c r="K21" s="478">
        <f>ROUND('Adj Demand Forecast '!F$23*'TOD % of Reg kW'!D26,0)</f>
        <v>12010</v>
      </c>
      <c r="L21" s="478">
        <f>ROUND('Adj Demand Forecast '!G$23*'TOD % of Reg kW'!F26,0)</f>
        <v>0</v>
      </c>
      <c r="M21" s="478">
        <f>ROUND('Adj Demand Forecast '!H$23*'TOD % of Reg kW'!F26,0)</f>
        <v>0</v>
      </c>
      <c r="N21" s="478">
        <f>ROUND('Adj Demand Forecast '!I$23*'TOD % of Reg kW'!F26,0)</f>
        <v>0</v>
      </c>
      <c r="O21" s="82"/>
      <c r="P21" s="82"/>
      <c r="Q21" s="82"/>
    </row>
    <row r="22" spans="1:17" x14ac:dyDescent="0.25">
      <c r="B22" t="s">
        <v>120</v>
      </c>
      <c r="C22" s="81">
        <f>ROUND('Adj Demand Forecast '!J$23*'TOD % of Reg kW'!F27,0)</f>
        <v>14059</v>
      </c>
      <c r="D22" s="81">
        <f>ROUND('Adj Demand Forecast '!K$23*'TOD % of Reg kW'!F27,0)</f>
        <v>14059</v>
      </c>
      <c r="E22" s="81">
        <f>ROUND('Adj Demand Forecast '!L$23*'TOD % of Reg kW'!F27,0)</f>
        <v>14059</v>
      </c>
      <c r="F22" s="478">
        <f>ROUND('Adj Demand Forecast '!M$23*'TOD % of Reg kW'!F27,0)</f>
        <v>14059</v>
      </c>
      <c r="G22" s="478">
        <f>ROUND('Adj Demand Forecast '!B$23*'TOD % of Reg kW'!F27,0)</f>
        <v>14059</v>
      </c>
      <c r="H22" s="478">
        <f>ROUND('Adj Demand Forecast '!C$23*'TOD % of Reg kW'!D27,0)</f>
        <v>12831</v>
      </c>
      <c r="I22" s="478">
        <f>ROUND('Adj Demand Forecast '!D$23*'TOD % of Reg kW'!D27,0)</f>
        <v>12831</v>
      </c>
      <c r="J22" s="478">
        <f>ROUND('Adj Demand Forecast '!E$23*'TOD % of Reg kW'!D27,0)</f>
        <v>12831</v>
      </c>
      <c r="K22" s="478">
        <f>ROUND('Adj Demand Forecast '!F$23*'TOD % of Reg kW'!D27,0)</f>
        <v>12831</v>
      </c>
      <c r="L22" s="478">
        <f>ROUND('Adj Demand Forecast '!G$23*'TOD % of Reg kW'!F27,0)</f>
        <v>14059</v>
      </c>
      <c r="M22" s="478">
        <f>ROUND('Adj Demand Forecast '!H$23*'TOD % of Reg kW'!F27,0)</f>
        <v>14059</v>
      </c>
      <c r="N22" s="478">
        <f>ROUND('Adj Demand Forecast '!I$23*'TOD % of Reg kW'!F27,0)</f>
        <v>14059</v>
      </c>
      <c r="O22" s="82"/>
      <c r="P22" s="82"/>
      <c r="Q22" s="82"/>
    </row>
    <row r="23" spans="1:17" x14ac:dyDescent="0.25">
      <c r="B23" t="s">
        <v>121</v>
      </c>
      <c r="C23" s="81">
        <f>ROUND('Adj Demand Forecast '!J$23*'TOD % of Reg kW'!F28,0)</f>
        <v>0</v>
      </c>
      <c r="D23" s="81">
        <f>ROUND('Adj Demand Forecast '!K$23*'TOD % of Reg kW'!F28,0)</f>
        <v>0</v>
      </c>
      <c r="E23" s="81">
        <f>ROUND('Adj Demand Forecast '!L$23*'TOD % of Reg kW'!F28,0)</f>
        <v>0</v>
      </c>
      <c r="F23" s="478">
        <f>ROUND('Adj Demand Forecast '!M$23*'TOD % of Reg kW'!F28,0)</f>
        <v>0</v>
      </c>
      <c r="G23" s="478">
        <f>ROUND('Adj Demand Forecast '!B$23*'TOD % of Reg kW'!F28,0)</f>
        <v>0</v>
      </c>
      <c r="H23" s="478">
        <f>ROUND('Adj Demand Forecast '!C$23*'TOD % of Reg kW'!D28,0)</f>
        <v>0</v>
      </c>
      <c r="I23" s="478">
        <f>ROUND('Adj Demand Forecast '!D$23*'TOD % of Reg kW'!D28,0)</f>
        <v>0</v>
      </c>
      <c r="J23" s="478">
        <f>ROUND('Adj Demand Forecast '!E$23*'TOD % of Reg kW'!D28,0)</f>
        <v>0</v>
      </c>
      <c r="K23" s="478">
        <f>ROUND('Adj Demand Forecast '!F$23*'TOD % of Reg kW'!D28,0)</f>
        <v>0</v>
      </c>
      <c r="L23" s="478">
        <f>ROUND('Adj Demand Forecast '!G$23*'TOD % of Reg kW'!F28,0)</f>
        <v>0</v>
      </c>
      <c r="M23" s="478">
        <f>ROUND('Adj Demand Forecast '!H$23*'TOD % of Reg kW'!F28,0)</f>
        <v>0</v>
      </c>
      <c r="N23" s="478">
        <f>ROUND('Adj Demand Forecast '!I$23*'TOD % of Reg kW'!F28,0)</f>
        <v>0</v>
      </c>
      <c r="O23" s="82"/>
      <c r="P23" s="82"/>
      <c r="Q23" s="82"/>
    </row>
    <row r="24" spans="1:17" x14ac:dyDescent="0.25">
      <c r="F24" s="195"/>
      <c r="G24" s="195"/>
      <c r="H24" s="195"/>
      <c r="I24" s="195"/>
      <c r="J24" s="195"/>
      <c r="K24" s="195"/>
      <c r="L24" s="195"/>
      <c r="M24" s="195"/>
      <c r="N24" s="195"/>
    </row>
    <row r="25" spans="1:17" x14ac:dyDescent="0.25">
      <c r="A25" t="s">
        <v>8</v>
      </c>
      <c r="B25" t="s">
        <v>119</v>
      </c>
      <c r="C25" s="81">
        <f>ROUND('Adj Demand Forecast '!J$10*'TOD % of Reg kW'!F31,0)</f>
        <v>0</v>
      </c>
      <c r="D25" s="81">
        <f>ROUND('Adj Demand Forecast '!K$10*'TOD % of Reg kW'!F31,0)</f>
        <v>0</v>
      </c>
      <c r="E25" s="81">
        <f>ROUND('Adj Demand Forecast '!L$10*'TOD % of Reg kW'!F31,0)</f>
        <v>0</v>
      </c>
      <c r="F25" s="478">
        <f>ROUND('Adj Demand Forecast '!M$10*'TOD % of Reg kW'!F31,0)</f>
        <v>0</v>
      </c>
      <c r="G25" s="478">
        <f>ROUND('Adj Demand Forecast '!B$10*'TOD % of Reg kW'!F31,0)</f>
        <v>0</v>
      </c>
      <c r="H25" s="478">
        <f>ROUND('Adj Demand Forecast '!C$10*'TOD % of Reg kW'!D31,0)</f>
        <v>24281</v>
      </c>
      <c r="I25" s="478">
        <f>ROUND('Adj Demand Forecast '!D$10*'TOD % of Reg kW'!D31,0)</f>
        <v>16187</v>
      </c>
      <c r="J25" s="478">
        <f>ROUND('Adj Demand Forecast '!E$10*'TOD % of Reg kW'!D31,0)</f>
        <v>20684</v>
      </c>
      <c r="K25" s="478">
        <f>ROUND('Adj Demand Forecast '!F$10*'TOD % of Reg kW'!D31,0)</f>
        <v>21583</v>
      </c>
      <c r="L25" s="478">
        <f>ROUND('Adj Demand Forecast '!G$10*'TOD % of Reg kW'!F31,0)</f>
        <v>0</v>
      </c>
      <c r="M25" s="478">
        <f>ROUND('Adj Demand Forecast '!H$10*'TOD % of Reg kW'!F31,0)</f>
        <v>0</v>
      </c>
      <c r="N25" s="478">
        <f>ROUND('Adj Demand Forecast '!I$10*'TOD % of Reg kW'!F31,0)</f>
        <v>0</v>
      </c>
      <c r="O25" s="82"/>
      <c r="P25" s="82"/>
      <c r="Q25" s="82"/>
    </row>
    <row r="26" spans="1:17" x14ac:dyDescent="0.25">
      <c r="B26" t="s">
        <v>120</v>
      </c>
      <c r="C26" s="81">
        <f>ROUND('Adj Demand Forecast '!J$10*'TOD % of Reg kW'!F32,0)</f>
        <v>19184</v>
      </c>
      <c r="D26" s="81">
        <f>ROUND('Adj Demand Forecast '!K$10*'TOD % of Reg kW'!F32,0)</f>
        <v>16306</v>
      </c>
      <c r="E26" s="81">
        <f>ROUND('Adj Demand Forecast '!L$10*'TOD % of Reg kW'!F32,0)</f>
        <v>20143</v>
      </c>
      <c r="F26" s="478">
        <f>ROUND('Adj Demand Forecast '!M$10*'TOD % of Reg kW'!F32,0)</f>
        <v>20143</v>
      </c>
      <c r="G26" s="478">
        <f>ROUND('Adj Demand Forecast '!B$10*'TOD % of Reg kW'!F32,0)</f>
        <v>19184</v>
      </c>
      <c r="H26" s="478">
        <f>ROUND('Adj Demand Forecast '!C$10*'TOD % of Reg kW'!D32,0)</f>
        <v>25610</v>
      </c>
      <c r="I26" s="478">
        <f>ROUND('Adj Demand Forecast '!D$10*'TOD % of Reg kW'!D32,0)</f>
        <v>17073</v>
      </c>
      <c r="J26" s="478">
        <f>ROUND('Adj Demand Forecast '!E$10*'TOD % of Reg kW'!D32,0)</f>
        <v>21816</v>
      </c>
      <c r="K26" s="478">
        <f>ROUND('Adj Demand Forecast '!F$10*'TOD % of Reg kW'!D32,0)</f>
        <v>22764</v>
      </c>
      <c r="L26" s="478">
        <f>ROUND('Adj Demand Forecast '!G$10*'TOD % of Reg kW'!F32,0)</f>
        <v>18225</v>
      </c>
      <c r="M26" s="478">
        <f>ROUND('Adj Demand Forecast '!H$10*'TOD % of Reg kW'!F32,0)</f>
        <v>12470</v>
      </c>
      <c r="N26" s="478">
        <f>ROUND('Adj Demand Forecast '!I$10*'TOD % of Reg kW'!F32,0)</f>
        <v>20143</v>
      </c>
      <c r="O26" s="82"/>
      <c r="P26" s="82"/>
      <c r="Q26" s="82"/>
    </row>
    <row r="27" spans="1:17" x14ac:dyDescent="0.25">
      <c r="B27" t="s">
        <v>121</v>
      </c>
      <c r="C27" s="81">
        <f>ROUND('Adj Demand Forecast '!J$10*'TOD % of Reg kW'!F33,0)</f>
        <v>20000</v>
      </c>
      <c r="D27" s="81">
        <f>ROUND('Adj Demand Forecast '!K$10*'TOD % of Reg kW'!F33,0)</f>
        <v>17000</v>
      </c>
      <c r="E27" s="81">
        <f>ROUND('Adj Demand Forecast '!L$10*'TOD % of Reg kW'!F33,0)</f>
        <v>21000</v>
      </c>
      <c r="F27" s="478">
        <f>ROUND('Adj Demand Forecast '!M$10*'TOD % of Reg kW'!F33,0)</f>
        <v>21000</v>
      </c>
      <c r="G27" s="478">
        <f>ROUND('Adj Demand Forecast '!B$10*'TOD % of Reg kW'!F33,0)</f>
        <v>20000</v>
      </c>
      <c r="H27" s="478">
        <f>ROUND('Adj Demand Forecast '!C$10*'TOD % of Reg kW'!D33,0)</f>
        <v>27000</v>
      </c>
      <c r="I27" s="478">
        <f>ROUND('Adj Demand Forecast '!D$10*'TOD % of Reg kW'!D33,0)</f>
        <v>18000</v>
      </c>
      <c r="J27" s="478">
        <f>ROUND('Adj Demand Forecast '!E$10*'TOD % of Reg kW'!D33,0)</f>
        <v>23000</v>
      </c>
      <c r="K27" s="478">
        <f>ROUND('Adj Demand Forecast '!F$10*'TOD % of Reg kW'!D33,0)</f>
        <v>24000</v>
      </c>
      <c r="L27" s="478">
        <f>ROUND('Adj Demand Forecast '!G$10*'TOD % of Reg kW'!F33,0)</f>
        <v>19000</v>
      </c>
      <c r="M27" s="478">
        <f>ROUND('Adj Demand Forecast '!H$10*'TOD % of Reg kW'!F33,0)</f>
        <v>13000</v>
      </c>
      <c r="N27" s="478">
        <f>ROUND('Adj Demand Forecast '!I$10*'TOD % of Reg kW'!F33,0)</f>
        <v>21000</v>
      </c>
      <c r="O27" s="82"/>
      <c r="P27" s="82"/>
      <c r="Q27" s="82"/>
    </row>
    <row r="28" spans="1:17" x14ac:dyDescent="0.25">
      <c r="F28" s="195"/>
      <c r="G28" s="195"/>
      <c r="H28" s="195"/>
      <c r="I28" s="195"/>
      <c r="J28" s="195"/>
      <c r="K28" s="195"/>
      <c r="L28" s="195"/>
      <c r="M28" s="195"/>
      <c r="N28" s="195"/>
    </row>
    <row r="29" spans="1:17" x14ac:dyDescent="0.25">
      <c r="A29" t="s">
        <v>11</v>
      </c>
      <c r="B29" t="s">
        <v>119</v>
      </c>
      <c r="C29" s="81">
        <f>ROUND('Adj Demand Forecast '!J$16*'TOD % of Reg kW'!F36,0)</f>
        <v>0</v>
      </c>
      <c r="D29" s="81">
        <f>ROUND('Adj Demand Forecast '!K$16*'TOD % of Reg kW'!F36,0)</f>
        <v>0</v>
      </c>
      <c r="E29" s="81">
        <f>ROUND('Adj Demand Forecast '!L$16*'TOD % of Reg kW'!F36,0)</f>
        <v>0</v>
      </c>
      <c r="F29" s="478">
        <f>ROUND('Adj Demand Forecast '!M$16*'TOD % of Reg kW'!F36,0)</f>
        <v>0</v>
      </c>
      <c r="G29" s="478">
        <f>ROUND('Adj Demand Forecast '!B$16*'TOD % of Reg kW'!F36,0)</f>
        <v>0</v>
      </c>
      <c r="H29" s="478">
        <f>ROUND('Adj Demand Forecast '!C$16*'TOD % of Reg kW'!D36,0)</f>
        <v>222710</v>
      </c>
      <c r="I29" s="478">
        <f>ROUND('Adj Demand Forecast '!D$16*'TOD % of Reg kW'!D36,0)</f>
        <v>243223</v>
      </c>
      <c r="J29" s="478">
        <f>ROUND('Adj Demand Forecast '!E$16*'TOD % of Reg kW'!D36,0)</f>
        <v>246154</v>
      </c>
      <c r="K29" s="478">
        <f>ROUND('Adj Demand Forecast '!F$16*'TOD % of Reg kW'!D36,0)</f>
        <v>231502</v>
      </c>
      <c r="L29" s="478">
        <f>ROUND('Adj Demand Forecast '!G$16*'TOD % of Reg kW'!F36,0)</f>
        <v>0</v>
      </c>
      <c r="M29" s="478">
        <f>ROUND('Adj Demand Forecast '!H$16*'TOD % of Reg kW'!F36,0)</f>
        <v>0</v>
      </c>
      <c r="N29" s="478">
        <f>ROUND('Adj Demand Forecast '!I$16*'TOD % of Reg kW'!F36,0)</f>
        <v>0</v>
      </c>
      <c r="O29" s="82"/>
      <c r="P29" s="82"/>
      <c r="Q29" s="82"/>
    </row>
    <row r="30" spans="1:17" x14ac:dyDescent="0.25">
      <c r="B30" t="s">
        <v>120</v>
      </c>
      <c r="C30" s="81">
        <f>ROUND('Adj Demand Forecast '!J$16*'TOD % of Reg kW'!F37,0)</f>
        <v>190588</v>
      </c>
      <c r="D30" s="81">
        <f>ROUND('Adj Demand Forecast '!K$16*'TOD % of Reg kW'!F37,0)</f>
        <v>195525</v>
      </c>
      <c r="E30" s="81">
        <f>ROUND('Adj Demand Forecast '!L$16*'TOD % of Reg kW'!F37,0)</f>
        <v>207375</v>
      </c>
      <c r="F30" s="81">
        <f>ROUND('Adj Demand Forecast '!M$16*'TOD % of Reg kW'!F37,0)</f>
        <v>223175</v>
      </c>
      <c r="G30" s="81">
        <f>ROUND('Adj Demand Forecast '!B$16*'TOD % of Reg kW'!F37,0)</f>
        <v>214288</v>
      </c>
      <c r="H30" s="81">
        <f>ROUND('Adj Demand Forecast '!C$16*'TOD % of Reg kW'!D37,0)</f>
        <v>224512</v>
      </c>
      <c r="I30" s="81">
        <f>ROUND('Adj Demand Forecast '!D$16*'TOD % of Reg kW'!D37,0)</f>
        <v>245190</v>
      </c>
      <c r="J30" s="81">
        <f>ROUND('Adj Demand Forecast '!E$16*'TOD % of Reg kW'!D37,0)</f>
        <v>248144</v>
      </c>
      <c r="K30" s="81">
        <f>ROUND('Adj Demand Forecast '!F$16*'TOD % of Reg kW'!D37,0)</f>
        <v>233374</v>
      </c>
      <c r="L30" s="81">
        <f>ROUND('Adj Demand Forecast '!G$16*'TOD % of Reg kW'!F37,0)</f>
        <v>192563</v>
      </c>
      <c r="M30" s="81">
        <f>ROUND('Adj Demand Forecast '!H$16*'TOD % of Reg kW'!F37,0)</f>
        <v>183675</v>
      </c>
      <c r="N30" s="81">
        <f>ROUND('Adj Demand Forecast '!I$16*'TOD % of Reg kW'!F37,0)</f>
        <v>214288</v>
      </c>
      <c r="O30" s="82"/>
      <c r="P30" s="82"/>
      <c r="Q30" s="82"/>
    </row>
    <row r="31" spans="1:17" x14ac:dyDescent="0.25">
      <c r="B31" t="s">
        <v>121</v>
      </c>
      <c r="C31" s="81">
        <f>ROUND('Adj Demand Forecast '!J$16*'TOD % of Reg kW'!F38,0)</f>
        <v>191244</v>
      </c>
      <c r="D31" s="81">
        <f>ROUND('Adj Demand Forecast '!K$16*'TOD % of Reg kW'!F38,0)</f>
        <v>196198</v>
      </c>
      <c r="E31" s="81">
        <f>ROUND('Adj Demand Forecast '!L$16*'TOD % of Reg kW'!F38,0)</f>
        <v>208089</v>
      </c>
      <c r="F31" s="81">
        <f>ROUND('Adj Demand Forecast '!M$16*'TOD % of Reg kW'!F38,0)</f>
        <v>223943</v>
      </c>
      <c r="G31" s="81">
        <f>ROUND('Adj Demand Forecast '!B$16*'TOD % of Reg kW'!F38,0)</f>
        <v>215025</v>
      </c>
      <c r="H31" s="81">
        <f>ROUND('Adj Demand Forecast '!C$16*'TOD % of Reg kW'!D38,0)</f>
        <v>225948</v>
      </c>
      <c r="I31" s="81">
        <f>ROUND('Adj Demand Forecast '!D$16*'TOD % of Reg kW'!D38,0)</f>
        <v>246759</v>
      </c>
      <c r="J31" s="81">
        <f>ROUND('Adj Demand Forecast '!E$16*'TOD % of Reg kW'!D38,0)</f>
        <v>249732</v>
      </c>
      <c r="K31" s="81">
        <f>ROUND('Adj Demand Forecast '!F$16*'TOD % of Reg kW'!D38,0)</f>
        <v>234867</v>
      </c>
      <c r="L31" s="81">
        <f>ROUND('Adj Demand Forecast '!G$16*'TOD % of Reg kW'!F38,0)</f>
        <v>193226</v>
      </c>
      <c r="M31" s="81">
        <f>ROUND('Adj Demand Forecast '!H$16*'TOD % of Reg kW'!F38,0)</f>
        <v>184307</v>
      </c>
      <c r="N31" s="81">
        <f>ROUND('Adj Demand Forecast '!I$16*'TOD % of Reg kW'!F38,0)</f>
        <v>215025</v>
      </c>
      <c r="O31" s="82"/>
      <c r="P31" s="82"/>
      <c r="Q31" s="82"/>
    </row>
    <row r="33" spans="3:17" x14ac:dyDescent="0.25"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</row>
    <row r="34" spans="3:17" x14ac:dyDescent="0.25">
      <c r="C34" s="82"/>
      <c r="D34" s="82"/>
      <c r="E34" s="82"/>
      <c r="F34" s="82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</row>
    <row r="35" spans="3:17" x14ac:dyDescent="0.25">
      <c r="C35" s="82"/>
      <c r="D35" s="82"/>
      <c r="E35" s="82"/>
      <c r="F35" s="82"/>
      <c r="G35" s="82"/>
      <c r="H35" s="82"/>
      <c r="I35" s="82"/>
      <c r="J35" s="82"/>
      <c r="K35" s="82"/>
      <c r="L35" s="82"/>
      <c r="M35" s="82"/>
      <c r="N35" s="82"/>
      <c r="O35" s="82"/>
      <c r="P35" s="82"/>
      <c r="Q35" s="82"/>
    </row>
  </sheetData>
  <mergeCells count="1">
    <mergeCell ref="A1:Q1"/>
  </mergeCells>
  <pageMargins left="0.75" right="0.75" top="1" bottom="1" header="0.5" footer="0.5"/>
  <pageSetup scale="79" orientation="landscape" r:id="rId1"/>
  <headerFooter alignWithMargins="0">
    <oddFooter>&amp;L&amp;F
&amp;A</oddFooter>
  </headerFooter>
  <colBreaks count="1" manualBreakCount="1">
    <brk id="14" max="1048575" man="1"/>
  </col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tabColor indexed="8"/>
  </sheetPr>
  <dimension ref="A1:W41"/>
  <sheetViews>
    <sheetView zoomScaleNormal="100" workbookViewId="0">
      <selection sqref="A1:N1"/>
    </sheetView>
  </sheetViews>
  <sheetFormatPr defaultRowHeight="12.5" x14ac:dyDescent="0.25"/>
  <cols>
    <col min="1" max="1" width="9.26953125" bestFit="1" customWidth="1"/>
    <col min="2" max="2" width="14.26953125" customWidth="1"/>
    <col min="3" max="3" width="15.7265625" bestFit="1" customWidth="1"/>
    <col min="4" max="5" width="12.453125" bestFit="1" customWidth="1"/>
    <col min="6" max="6" width="12.26953125" bestFit="1" customWidth="1"/>
    <col min="7" max="7" width="11.54296875" customWidth="1"/>
    <col min="8" max="12" width="10.26953125" customWidth="1"/>
    <col min="13" max="14" width="11.81640625" bestFit="1" customWidth="1"/>
  </cols>
  <sheetData>
    <row r="1" spans="1:23" x14ac:dyDescent="0.25">
      <c r="A1" s="767" t="s">
        <v>122</v>
      </c>
      <c r="B1" s="767"/>
      <c r="C1" s="767"/>
      <c r="D1" s="767"/>
      <c r="E1" s="767"/>
      <c r="F1" s="767"/>
      <c r="G1" s="767"/>
      <c r="H1" s="767"/>
      <c r="I1" s="767"/>
      <c r="J1" s="767"/>
      <c r="K1" s="767"/>
      <c r="L1" s="767"/>
      <c r="M1" s="767"/>
      <c r="N1" s="767"/>
      <c r="S1" s="191" t="s">
        <v>334</v>
      </c>
      <c r="T1" s="191"/>
      <c r="U1" s="191"/>
      <c r="V1" s="191"/>
      <c r="W1" s="191"/>
    </row>
    <row r="2" spans="1:23" x14ac:dyDescent="0.25">
      <c r="A2" s="767" t="s">
        <v>123</v>
      </c>
      <c r="B2" s="767"/>
      <c r="C2" s="767"/>
      <c r="D2" s="767"/>
      <c r="E2" s="767"/>
      <c r="F2" s="767"/>
      <c r="G2" s="767"/>
      <c r="H2" s="767"/>
      <c r="I2" s="767"/>
      <c r="J2" s="767"/>
      <c r="K2" s="767"/>
      <c r="L2" s="767"/>
      <c r="M2" s="767"/>
      <c r="N2" s="767"/>
      <c r="S2" s="621" t="s">
        <v>552</v>
      </c>
      <c r="T2" s="624"/>
      <c r="U2" s="621"/>
      <c r="V2" s="621"/>
      <c r="W2" s="621"/>
    </row>
    <row r="3" spans="1:23" x14ac:dyDescent="0.25">
      <c r="A3" s="767" t="s">
        <v>124</v>
      </c>
      <c r="B3" s="767"/>
      <c r="C3" s="767"/>
      <c r="D3" s="767"/>
      <c r="E3" s="767"/>
      <c r="F3" s="767"/>
      <c r="G3" s="767"/>
      <c r="H3" s="767"/>
      <c r="I3" s="767"/>
      <c r="J3" s="767"/>
      <c r="K3" s="767"/>
      <c r="L3" s="767"/>
      <c r="M3" s="767"/>
      <c r="N3" s="767"/>
    </row>
    <row r="5" spans="1:23" ht="13" x14ac:dyDescent="0.3">
      <c r="A5" s="2" t="s">
        <v>117</v>
      </c>
      <c r="B5" s="2" t="s">
        <v>118</v>
      </c>
      <c r="C5" s="80">
        <f>'Forecasted TOD kW by Period'!C3</f>
        <v>44562</v>
      </c>
      <c r="D5" s="80">
        <f>'Forecasted TOD kW by Period'!D3</f>
        <v>44593</v>
      </c>
      <c r="E5" s="80">
        <f>'Forecasted TOD kW by Period'!E3</f>
        <v>44621</v>
      </c>
      <c r="F5" s="80">
        <f>'Forecasted TOD kW by Period'!F3</f>
        <v>44652</v>
      </c>
      <c r="G5" s="80">
        <f>'Forecasted TOD kW by Period'!G3</f>
        <v>44682</v>
      </c>
      <c r="H5" s="80">
        <f>'Forecasted TOD kW by Period'!H3</f>
        <v>44713</v>
      </c>
      <c r="I5" s="80">
        <f>'Forecasted TOD kW by Period'!I3</f>
        <v>44743</v>
      </c>
      <c r="J5" s="80">
        <f>'Forecasted TOD kW by Period'!J3</f>
        <v>44774</v>
      </c>
      <c r="K5" s="80">
        <f>'Forecasted TOD kW by Period'!K3</f>
        <v>44805</v>
      </c>
      <c r="L5" s="80">
        <f>'Forecasted TOD kW by Period'!L3</f>
        <v>44835</v>
      </c>
      <c r="M5" s="83">
        <f>'Forecasted TOD kW by Period'!M3</f>
        <v>44530</v>
      </c>
      <c r="N5" s="83">
        <f>'Forecasted TOD kW by Period'!N3</f>
        <v>44531</v>
      </c>
    </row>
    <row r="6" spans="1:23" ht="12.75" hidden="1" customHeight="1" x14ac:dyDescent="0.25"/>
    <row r="7" spans="1:23" ht="12.75" hidden="1" customHeight="1" x14ac:dyDescent="0.3">
      <c r="A7" s="84">
        <v>4</v>
      </c>
      <c r="B7" t="s">
        <v>125</v>
      </c>
      <c r="C7" s="85">
        <v>0.99983</v>
      </c>
      <c r="D7" s="86">
        <f>C7</f>
        <v>0.99983</v>
      </c>
      <c r="E7" s="86">
        <f>C7</f>
        <v>0.99983</v>
      </c>
      <c r="F7" s="86">
        <f>C7</f>
        <v>0.99983</v>
      </c>
      <c r="G7" s="86">
        <f>C7</f>
        <v>0.99983</v>
      </c>
      <c r="H7" s="85">
        <v>0.98057000000000005</v>
      </c>
      <c r="I7" s="86">
        <f>H7</f>
        <v>0.98057000000000005</v>
      </c>
      <c r="J7" s="86">
        <f>H7</f>
        <v>0.98057000000000005</v>
      </c>
      <c r="K7" s="86">
        <f>H7</f>
        <v>0.98057000000000005</v>
      </c>
      <c r="L7" s="86">
        <f>C7</f>
        <v>0.99983</v>
      </c>
      <c r="M7" s="86">
        <f>C7</f>
        <v>0.99983</v>
      </c>
      <c r="N7" s="86">
        <f>C7</f>
        <v>0.99983</v>
      </c>
    </row>
    <row r="8" spans="1:23" ht="12.75" hidden="1" customHeight="1" x14ac:dyDescent="0.3">
      <c r="A8" s="84"/>
      <c r="B8" t="s">
        <v>126</v>
      </c>
      <c r="C8" s="85">
        <v>0.99983</v>
      </c>
      <c r="D8" s="86">
        <f>C8</f>
        <v>0.99983</v>
      </c>
      <c r="E8" s="86">
        <f>C8</f>
        <v>0.99983</v>
      </c>
      <c r="F8" s="86">
        <f>C8</f>
        <v>0.99983</v>
      </c>
      <c r="G8" s="86">
        <f>C8</f>
        <v>0.99983</v>
      </c>
      <c r="H8" s="85">
        <v>0.99517</v>
      </c>
      <c r="I8" s="86">
        <f>H8</f>
        <v>0.99517</v>
      </c>
      <c r="J8" s="86">
        <f>H8</f>
        <v>0.99517</v>
      </c>
      <c r="K8" s="86">
        <f>H8</f>
        <v>0.99517</v>
      </c>
      <c r="L8" s="86">
        <f>C8</f>
        <v>0.99983</v>
      </c>
      <c r="M8" s="86">
        <f>C8</f>
        <v>0.99983</v>
      </c>
      <c r="N8" s="86">
        <f>C8</f>
        <v>0.99983</v>
      </c>
    </row>
    <row r="9" spans="1:23" x14ac:dyDescent="0.25">
      <c r="A9" s="84"/>
      <c r="C9" s="86"/>
      <c r="D9" s="86"/>
      <c r="E9" s="86"/>
      <c r="F9" s="86"/>
      <c r="G9" s="86"/>
      <c r="H9" s="86"/>
      <c r="I9" s="86"/>
      <c r="J9" s="86"/>
      <c r="K9" s="86"/>
      <c r="L9" s="86"/>
      <c r="M9" s="86"/>
      <c r="N9" s="86"/>
    </row>
    <row r="10" spans="1:23" ht="13" x14ac:dyDescent="0.3">
      <c r="A10" s="84">
        <v>8</v>
      </c>
      <c r="B10" t="s">
        <v>125</v>
      </c>
      <c r="C10" s="87">
        <f>'[7]standby results'!$T$9</f>
        <v>0.97394986554463014</v>
      </c>
      <c r="D10" s="86">
        <f>C10</f>
        <v>0.97394986554463014</v>
      </c>
      <c r="E10" s="86">
        <f>C10</f>
        <v>0.97394986554463014</v>
      </c>
      <c r="F10" s="86">
        <f>C10</f>
        <v>0.97394986554463014</v>
      </c>
      <c r="G10" s="86">
        <f>C10</f>
        <v>0.97394986554463014</v>
      </c>
      <c r="H10" s="87">
        <f>'[7]standby results'!$S$9</f>
        <v>0.89652501314183819</v>
      </c>
      <c r="I10" s="86">
        <f>H10</f>
        <v>0.89652501314183819</v>
      </c>
      <c r="J10" s="86">
        <f>H10</f>
        <v>0.89652501314183819</v>
      </c>
      <c r="K10" s="86">
        <f>H10</f>
        <v>0.89652501314183819</v>
      </c>
      <c r="L10" s="86">
        <f>C10</f>
        <v>0.97394986554463014</v>
      </c>
      <c r="M10" s="86">
        <f>C10</f>
        <v>0.97394986554463014</v>
      </c>
      <c r="N10" s="86">
        <f>C10</f>
        <v>0.97394986554463014</v>
      </c>
    </row>
    <row r="11" spans="1:23" ht="13" x14ac:dyDescent="0.3">
      <c r="A11" s="84"/>
      <c r="B11" t="s">
        <v>126</v>
      </c>
      <c r="C11" s="87">
        <f>'[7]standby results'!$V$9</f>
        <v>0.97394986554463014</v>
      </c>
      <c r="D11" s="86">
        <f>C11</f>
        <v>0.97394986554463014</v>
      </c>
      <c r="E11" s="86">
        <f>C11</f>
        <v>0.97394986554463014</v>
      </c>
      <c r="F11" s="86">
        <f>C11</f>
        <v>0.97394986554463014</v>
      </c>
      <c r="G11" s="86">
        <f>C11</f>
        <v>0.97394986554463014</v>
      </c>
      <c r="H11" s="87">
        <f>'[7]standby results'!$U$9</f>
        <v>0.99335952804947159</v>
      </c>
      <c r="I11" s="86">
        <f>H11</f>
        <v>0.99335952804947159</v>
      </c>
      <c r="J11" s="86">
        <f>H11</f>
        <v>0.99335952804947159</v>
      </c>
      <c r="K11" s="86">
        <f>H11</f>
        <v>0.99335952804947159</v>
      </c>
      <c r="L11" s="86">
        <f>C11</f>
        <v>0.97394986554463014</v>
      </c>
      <c r="M11" s="86">
        <f>C11</f>
        <v>0.97394986554463014</v>
      </c>
      <c r="N11" s="86">
        <f>C11</f>
        <v>0.97394986554463014</v>
      </c>
    </row>
    <row r="12" spans="1:23" x14ac:dyDescent="0.25">
      <c r="A12" s="84"/>
      <c r="C12" s="88"/>
      <c r="D12" s="86"/>
      <c r="E12" s="86"/>
      <c r="F12" s="86"/>
      <c r="G12" s="86"/>
      <c r="H12" s="88"/>
      <c r="I12" s="86"/>
      <c r="J12" s="86"/>
      <c r="K12" s="86"/>
      <c r="L12" s="86"/>
      <c r="M12" s="86"/>
      <c r="N12" s="86"/>
    </row>
    <row r="13" spans="1:23" ht="13" x14ac:dyDescent="0.3">
      <c r="A13" s="84">
        <v>9</v>
      </c>
      <c r="B13" t="s">
        <v>125</v>
      </c>
      <c r="C13" s="87">
        <f>'[7]standby results'!$T$11</f>
        <v>0.98003019719218798</v>
      </c>
      <c r="D13" s="86">
        <f>C13</f>
        <v>0.98003019719218798</v>
      </c>
      <c r="E13" s="86">
        <f>C13</f>
        <v>0.98003019719218798</v>
      </c>
      <c r="F13" s="86">
        <f>C13</f>
        <v>0.98003019719218798</v>
      </c>
      <c r="G13" s="86">
        <f>C13</f>
        <v>0.98003019719218798</v>
      </c>
      <c r="H13" s="87">
        <f>'[7]standby results'!$S$11</f>
        <v>0.97584355304314707</v>
      </c>
      <c r="I13" s="86">
        <f>H13</f>
        <v>0.97584355304314707</v>
      </c>
      <c r="J13" s="86">
        <f>H13</f>
        <v>0.97584355304314707</v>
      </c>
      <c r="K13" s="86">
        <f>H13</f>
        <v>0.97584355304314707</v>
      </c>
      <c r="L13" s="86">
        <f>C13</f>
        <v>0.98003019719218798</v>
      </c>
      <c r="M13" s="86">
        <f>C13</f>
        <v>0.98003019719218798</v>
      </c>
      <c r="N13" s="86">
        <f>C13</f>
        <v>0.98003019719218798</v>
      </c>
    </row>
    <row r="14" spans="1:23" ht="13" x14ac:dyDescent="0.3">
      <c r="A14" s="84"/>
      <c r="B14" t="s">
        <v>126</v>
      </c>
      <c r="C14" s="87">
        <f>'[7]standby results'!$V$11</f>
        <v>0.98003019719218798</v>
      </c>
      <c r="D14" s="86">
        <f>C14</f>
        <v>0.98003019719218798</v>
      </c>
      <c r="E14" s="86">
        <f>C14</f>
        <v>0.98003019719218798</v>
      </c>
      <c r="F14" s="86">
        <f>C14</f>
        <v>0.98003019719218798</v>
      </c>
      <c r="G14" s="86">
        <f>C14</f>
        <v>0.98003019719218798</v>
      </c>
      <c r="H14" s="87">
        <f>'[7]standby results'!$U$11</f>
        <v>0.98547271711264117</v>
      </c>
      <c r="I14" s="86">
        <f>H14</f>
        <v>0.98547271711264117</v>
      </c>
      <c r="J14" s="86">
        <f>H14</f>
        <v>0.98547271711264117</v>
      </c>
      <c r="K14" s="86">
        <f>H14</f>
        <v>0.98547271711264117</v>
      </c>
      <c r="L14" s="86">
        <f>C14</f>
        <v>0.98003019719218798</v>
      </c>
      <c r="M14" s="86">
        <f>C14</f>
        <v>0.98003019719218798</v>
      </c>
      <c r="N14" s="86">
        <f>C14</f>
        <v>0.98003019719218798</v>
      </c>
    </row>
    <row r="15" spans="1:23" x14ac:dyDescent="0.25">
      <c r="A15" s="84"/>
      <c r="C15" s="88"/>
      <c r="D15" s="86"/>
      <c r="E15" s="86"/>
      <c r="F15" s="86"/>
      <c r="G15" s="86"/>
      <c r="H15" s="88"/>
      <c r="I15" s="86"/>
      <c r="J15" s="86"/>
      <c r="K15" s="86"/>
      <c r="L15" s="86"/>
      <c r="M15" s="86"/>
      <c r="N15" s="86"/>
    </row>
    <row r="16" spans="1:23" ht="13" x14ac:dyDescent="0.3">
      <c r="A16" s="84">
        <v>12</v>
      </c>
      <c r="B16" t="s">
        <v>125</v>
      </c>
      <c r="C16" s="87">
        <f>'[7]standby results'!$T$13</f>
        <v>0.97502955669170799</v>
      </c>
      <c r="D16" s="86">
        <f>C16</f>
        <v>0.97502955669170799</v>
      </c>
      <c r="E16" s="86">
        <f>C16</f>
        <v>0.97502955669170799</v>
      </c>
      <c r="F16" s="86">
        <f>C16</f>
        <v>0.97502955669170799</v>
      </c>
      <c r="G16" s="86">
        <f>C16</f>
        <v>0.97502955669170799</v>
      </c>
      <c r="H16" s="87">
        <f>'[7]standby results'!$S$13</f>
        <v>0.92174940629464241</v>
      </c>
      <c r="I16" s="86">
        <f>H16</f>
        <v>0.92174940629464241</v>
      </c>
      <c r="J16" s="86">
        <f>H16</f>
        <v>0.92174940629464241</v>
      </c>
      <c r="K16" s="86">
        <f>H16</f>
        <v>0.92174940629464241</v>
      </c>
      <c r="L16" s="86">
        <f>C16</f>
        <v>0.97502955669170799</v>
      </c>
      <c r="M16" s="86">
        <f>C16</f>
        <v>0.97502955669170799</v>
      </c>
      <c r="N16" s="86">
        <f>C16</f>
        <v>0.97502955669170799</v>
      </c>
    </row>
    <row r="17" spans="1:14" ht="13" x14ac:dyDescent="0.3">
      <c r="B17" t="s">
        <v>126</v>
      </c>
      <c r="C17" s="87">
        <f>'[7]standby results'!$V$13</f>
        <v>0.97502955669170799</v>
      </c>
      <c r="D17" s="86">
        <f>C17</f>
        <v>0.97502955669170799</v>
      </c>
      <c r="E17" s="86">
        <f>C17</f>
        <v>0.97502955669170799</v>
      </c>
      <c r="F17" s="86">
        <f>C17</f>
        <v>0.97502955669170799</v>
      </c>
      <c r="G17" s="86">
        <f>C17</f>
        <v>0.97502955669170799</v>
      </c>
      <c r="H17" s="87">
        <f>'[7]standby results'!$U$13</f>
        <v>0.99220278496139669</v>
      </c>
      <c r="I17" s="86">
        <f>H17</f>
        <v>0.99220278496139669</v>
      </c>
      <c r="J17" s="86">
        <f>H17</f>
        <v>0.99220278496139669</v>
      </c>
      <c r="K17" s="86">
        <f>H17</f>
        <v>0.99220278496139669</v>
      </c>
      <c r="L17" s="86">
        <f>C17</f>
        <v>0.97502955669170799</v>
      </c>
      <c r="M17" s="86">
        <f>C17</f>
        <v>0.97502955669170799</v>
      </c>
      <c r="N17" s="86">
        <f>C17</f>
        <v>0.97502955669170799</v>
      </c>
    </row>
    <row r="18" spans="1:14" x14ac:dyDescent="0.25">
      <c r="B18" s="29" t="s">
        <v>127</v>
      </c>
    </row>
    <row r="20" spans="1:14" ht="13" x14ac:dyDescent="0.3">
      <c r="A20" s="89" t="s">
        <v>128</v>
      </c>
    </row>
    <row r="22" spans="1:14" x14ac:dyDescent="0.25">
      <c r="A22" s="84">
        <v>8</v>
      </c>
      <c r="B22" t="s">
        <v>125</v>
      </c>
      <c r="C22" s="81">
        <f>ROUND(C10*'Adj Demand Forecast '!J8,0)</f>
        <v>215243</v>
      </c>
      <c r="D22" s="81">
        <f>ROUND(D10*'Adj Demand Forecast '!K8,0)</f>
        <v>222061</v>
      </c>
      <c r="E22" s="81">
        <f>ROUND(E10*'Adj Demand Forecast '!L8,0)</f>
        <v>199660</v>
      </c>
      <c r="F22" s="81">
        <f>ROUND(F10*'Adj Demand Forecast '!M8,0)</f>
        <v>190894</v>
      </c>
      <c r="G22" s="81">
        <f>ROUND(G10*'Adj Demand Forecast '!B8,0)</f>
        <v>224008</v>
      </c>
      <c r="H22" s="81">
        <f>ROUND(H10*'Adj Demand Forecast '!C8,0)</f>
        <v>255510</v>
      </c>
      <c r="I22" s="81">
        <f>ROUND(I10*'Adj Demand Forecast '!D8,0)</f>
        <v>322749</v>
      </c>
      <c r="J22" s="81">
        <f>ROUND(J10*'Adj Demand Forecast '!E8,0)</f>
        <v>337990</v>
      </c>
      <c r="K22" s="81">
        <f>ROUND(K10*'Adj Demand Forecast '!F8,0)</f>
        <v>329025</v>
      </c>
      <c r="L22" s="81">
        <f>ROUND(L10*'Adj Demand Forecast '!G8,0)</f>
        <v>291211</v>
      </c>
      <c r="M22" s="81">
        <f>ROUND(M10*'Adj Demand Forecast '!H8,0)</f>
        <v>224982</v>
      </c>
      <c r="N22" s="81">
        <f>ROUND(N10*'Adj Demand Forecast '!I8,0)</f>
        <v>205503</v>
      </c>
    </row>
    <row r="23" spans="1:14" x14ac:dyDescent="0.25">
      <c r="A23" s="84"/>
      <c r="B23" t="s">
        <v>126</v>
      </c>
      <c r="C23" s="81">
        <f>ROUND(C11*'Adj Demand Forecast '!J8,0)</f>
        <v>215243</v>
      </c>
      <c r="D23" s="81">
        <f>ROUND(D11*'Adj Demand Forecast '!K8,0)</f>
        <v>222061</v>
      </c>
      <c r="E23" s="81">
        <f>ROUND(E11*'Adj Demand Forecast '!L8,0)</f>
        <v>199660</v>
      </c>
      <c r="F23" s="81">
        <f>ROUND(F11*'Adj Demand Forecast '!M8,0)</f>
        <v>190894</v>
      </c>
      <c r="G23" s="81">
        <f>ROUND(G11*'Adj Demand Forecast '!B8,0)</f>
        <v>224008</v>
      </c>
      <c r="H23" s="81">
        <f>ROUND(H11*'Adj Demand Forecast '!C8,0)</f>
        <v>283107</v>
      </c>
      <c r="I23" s="81">
        <f>ROUND(I11*'Adj Demand Forecast '!D8,0)</f>
        <v>357609</v>
      </c>
      <c r="J23" s="81">
        <f>ROUND(J11*'Adj Demand Forecast '!E8,0)</f>
        <v>374497</v>
      </c>
      <c r="K23" s="81">
        <f>ROUND(K11*'Adj Demand Forecast '!F8,0)</f>
        <v>364563</v>
      </c>
      <c r="L23" s="81">
        <f>ROUND(L11*'Adj Demand Forecast '!G8,0)</f>
        <v>291211</v>
      </c>
      <c r="M23" s="81">
        <f>ROUND(M11*'Adj Demand Forecast '!H8,0)</f>
        <v>224982</v>
      </c>
      <c r="N23" s="81">
        <f>ROUND(N11*'Adj Demand Forecast '!I8,0)</f>
        <v>205503</v>
      </c>
    </row>
    <row r="24" spans="1:14" x14ac:dyDescent="0.25">
      <c r="A24" s="84"/>
      <c r="C24" s="90"/>
      <c r="D24" s="90"/>
      <c r="E24" s="90"/>
      <c r="F24" s="90"/>
      <c r="G24" s="90"/>
      <c r="H24" s="90"/>
      <c r="I24" s="90"/>
      <c r="J24" s="90"/>
      <c r="K24" s="90"/>
      <c r="L24" s="90"/>
      <c r="M24" s="90"/>
      <c r="N24" s="90"/>
    </row>
    <row r="25" spans="1:14" x14ac:dyDescent="0.25">
      <c r="A25" s="84">
        <v>9</v>
      </c>
      <c r="B25" t="s">
        <v>125</v>
      </c>
      <c r="C25" s="81">
        <f>ROUND(C13*'Adj Demand Forecast '!J12,0)</f>
        <v>3152757</v>
      </c>
      <c r="D25" s="81">
        <f>ROUND(D13*'Adj Demand Forecast '!K12,0)</f>
        <v>3106696</v>
      </c>
      <c r="E25" s="81">
        <f>ROUND(E13*'Adj Demand Forecast '!L12,0)</f>
        <v>3120416</v>
      </c>
      <c r="F25" s="81">
        <f>ROUND(F13*'Adj Demand Forecast '!M12,0)</f>
        <v>3245860</v>
      </c>
      <c r="G25" s="81">
        <f>ROUND(G13*'Adj Demand Forecast '!B12,0)</f>
        <v>3592791</v>
      </c>
      <c r="H25" s="81">
        <f>ROUND(H13*'Adj Demand Forecast '!C12,0)</f>
        <v>3851655</v>
      </c>
      <c r="I25" s="81">
        <f>ROUND(I13*'Adj Demand Forecast '!D12,0)</f>
        <v>3825307</v>
      </c>
      <c r="J25" s="81">
        <f>ROUND(J13*'Adj Demand Forecast '!E12,0)</f>
        <v>3819452</v>
      </c>
      <c r="K25" s="81">
        <f>ROUND(K13*'Adj Demand Forecast '!F12,0)</f>
        <v>3717964</v>
      </c>
      <c r="L25" s="81">
        <f>ROUND(L13*'Adj Demand Forecast '!G12,0)</f>
        <v>3588871</v>
      </c>
      <c r="M25" s="81">
        <f>ROUND(M13*'Adj Demand Forecast '!H12,0)</f>
        <v>3374244</v>
      </c>
      <c r="N25" s="81">
        <f>ROUND(N13*'Adj Demand Forecast '!I12,0)</f>
        <v>3058674</v>
      </c>
    </row>
    <row r="26" spans="1:14" x14ac:dyDescent="0.25">
      <c r="A26" s="84"/>
      <c r="B26" t="s">
        <v>126</v>
      </c>
      <c r="C26" s="81">
        <f>ROUND(C14*'Adj Demand Forecast '!J12,0)</f>
        <v>3152757</v>
      </c>
      <c r="D26" s="81">
        <f>ROUND(D14*'Adj Demand Forecast '!K12,0)</f>
        <v>3106696</v>
      </c>
      <c r="E26" s="81">
        <f>ROUND(E14*'Adj Demand Forecast '!L12,0)</f>
        <v>3120416</v>
      </c>
      <c r="F26" s="81">
        <f>ROUND(F14*'Adj Demand Forecast '!M12,0)</f>
        <v>3245860</v>
      </c>
      <c r="G26" s="81">
        <f>ROUND(G14*'Adj Demand Forecast '!B12,0)</f>
        <v>3592791</v>
      </c>
      <c r="H26" s="81">
        <f>ROUND(H14*'Adj Demand Forecast '!C12,0)</f>
        <v>3889661</v>
      </c>
      <c r="I26" s="81">
        <f>ROUND(I14*'Adj Demand Forecast '!D12,0)</f>
        <v>3863053</v>
      </c>
      <c r="J26" s="81">
        <f>ROUND(J14*'Adj Demand Forecast '!E12,0)</f>
        <v>3857140</v>
      </c>
      <c r="K26" s="81">
        <f>ROUND(K14*'Adj Demand Forecast '!F12,0)</f>
        <v>3754651</v>
      </c>
      <c r="L26" s="81">
        <f>ROUND(L14*'Adj Demand Forecast '!G12,0)</f>
        <v>3588871</v>
      </c>
      <c r="M26" s="81">
        <f>ROUND(M14*'Adj Demand Forecast '!H12,0)</f>
        <v>3374244</v>
      </c>
      <c r="N26" s="81">
        <f>ROUND(N14*'Adj Demand Forecast '!I12,0)</f>
        <v>3058674</v>
      </c>
    </row>
    <row r="27" spans="1:14" x14ac:dyDescent="0.25">
      <c r="A27" s="84"/>
      <c r="C27" s="90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</row>
    <row r="28" spans="1:14" x14ac:dyDescent="0.25">
      <c r="A28" s="84">
        <v>12</v>
      </c>
      <c r="B28" t="s">
        <v>125</v>
      </c>
      <c r="C28" s="81">
        <f>ROUND(C16*'Adj Demand Forecast '!J20,0)</f>
        <v>44851</v>
      </c>
      <c r="D28" s="81">
        <f>ROUND(D16*'Adj Demand Forecast '!K20,0)</f>
        <v>60452</v>
      </c>
      <c r="E28" s="81">
        <f>ROUND(E16*'Adj Demand Forecast '!L20,0)</f>
        <v>44851</v>
      </c>
      <c r="F28" s="81">
        <f>ROUND(F16*'Adj Demand Forecast '!M20,0)</f>
        <v>27301</v>
      </c>
      <c r="G28" s="81">
        <f>ROUND(G16*'Adj Demand Forecast '!B20,0)</f>
        <v>23401</v>
      </c>
      <c r="H28" s="81">
        <f>ROUND(H16*'Adj Demand Forecast '!C20,0)</f>
        <v>19357</v>
      </c>
      <c r="I28" s="81">
        <f>ROUND(I16*'Adj Demand Forecast '!D20,0)</f>
        <v>20278</v>
      </c>
      <c r="J28" s="81">
        <f>ROUND(J16*'Adj Demand Forecast '!E20,0)</f>
        <v>21200</v>
      </c>
      <c r="K28" s="81">
        <f>ROUND(K16*'Adj Demand Forecast '!F20,0)</f>
        <v>17513</v>
      </c>
      <c r="L28" s="81">
        <f>ROUND(L16*'Adj Demand Forecast '!G20,0)</f>
        <v>17551</v>
      </c>
      <c r="M28" s="81">
        <f>ROUND(M16*'Adj Demand Forecast '!H20,0)</f>
        <v>22426</v>
      </c>
      <c r="N28" s="81">
        <f>ROUND(N16*'Adj Demand Forecast '!I20,0)</f>
        <v>39976</v>
      </c>
    </row>
    <row r="29" spans="1:14" x14ac:dyDescent="0.25">
      <c r="B29" t="s">
        <v>126</v>
      </c>
      <c r="C29" s="81">
        <f>ROUND(C17*'Adj Demand Forecast '!J20,0)</f>
        <v>44851</v>
      </c>
      <c r="D29" s="81">
        <f>ROUND(D17*'Adj Demand Forecast '!K20,0)</f>
        <v>60452</v>
      </c>
      <c r="E29" s="81">
        <f>ROUND(E17*'Adj Demand Forecast '!L20,0)</f>
        <v>44851</v>
      </c>
      <c r="F29" s="81">
        <f>ROUND(F17*'Adj Demand Forecast '!M20,0)</f>
        <v>27301</v>
      </c>
      <c r="G29" s="81">
        <f>ROUND(G17*'Adj Demand Forecast '!B20,0)</f>
        <v>23401</v>
      </c>
      <c r="H29" s="81">
        <f>ROUND(H17*'Adj Demand Forecast '!C20,0)</f>
        <v>20836</v>
      </c>
      <c r="I29" s="81">
        <f>ROUND(I17*'Adj Demand Forecast '!D20,0)</f>
        <v>21828</v>
      </c>
      <c r="J29" s="81">
        <f>ROUND(J17*'Adj Demand Forecast '!E20,0)</f>
        <v>22821</v>
      </c>
      <c r="K29" s="81">
        <f>ROUND(K17*'Adj Demand Forecast '!F20,0)</f>
        <v>18852</v>
      </c>
      <c r="L29" s="81">
        <f>ROUND(L17*'Adj Demand Forecast '!G20,0)</f>
        <v>17551</v>
      </c>
      <c r="M29" s="81">
        <f>ROUND(M17*'Adj Demand Forecast '!H20,0)</f>
        <v>22426</v>
      </c>
      <c r="N29" s="81">
        <f>ROUND(N17*'Adj Demand Forecast '!I20,0)</f>
        <v>39976</v>
      </c>
    </row>
    <row r="32" spans="1:14" x14ac:dyDescent="0.25">
      <c r="C32" t="s">
        <v>129</v>
      </c>
    </row>
    <row r="33" spans="3:14" x14ac:dyDescent="0.25">
      <c r="C33" t="s">
        <v>130</v>
      </c>
    </row>
    <row r="34" spans="3:14" x14ac:dyDescent="0.25">
      <c r="C34" t="s">
        <v>131</v>
      </c>
    </row>
    <row r="35" spans="3:14" x14ac:dyDescent="0.25">
      <c r="C35" t="s">
        <v>130</v>
      </c>
    </row>
    <row r="38" spans="3:14" x14ac:dyDescent="0.25">
      <c r="C38" s="91"/>
      <c r="D38" s="91"/>
      <c r="E38" s="91"/>
      <c r="F38" s="91"/>
      <c r="G38" s="91"/>
      <c r="H38" s="91"/>
      <c r="I38" s="91"/>
      <c r="J38" s="91"/>
      <c r="K38" s="91"/>
      <c r="L38" s="91"/>
      <c r="M38" s="91"/>
      <c r="N38" s="91"/>
    </row>
    <row r="39" spans="3:14" x14ac:dyDescent="0.25">
      <c r="C39" s="92"/>
      <c r="D39" s="92"/>
      <c r="E39" s="92"/>
      <c r="F39" s="92"/>
      <c r="G39" s="92"/>
      <c r="H39" s="92"/>
      <c r="I39" s="92"/>
      <c r="J39" s="92"/>
      <c r="K39" s="92"/>
      <c r="L39" s="92"/>
      <c r="M39" s="92"/>
      <c r="N39" s="92"/>
    </row>
    <row r="40" spans="3:14" x14ac:dyDescent="0.25">
      <c r="C40" s="92"/>
      <c r="D40" s="92"/>
      <c r="E40" s="92"/>
      <c r="F40" s="92"/>
      <c r="G40" s="92"/>
      <c r="H40" s="92"/>
      <c r="I40" s="92"/>
      <c r="J40" s="92"/>
      <c r="K40" s="92"/>
      <c r="L40" s="92"/>
      <c r="M40" s="92"/>
      <c r="N40" s="92"/>
    </row>
    <row r="41" spans="3:14" x14ac:dyDescent="0.25">
      <c r="C41" s="93"/>
      <c r="D41" s="93"/>
      <c r="E41" s="93"/>
      <c r="F41" s="93"/>
      <c r="G41" s="93"/>
      <c r="H41" s="93"/>
      <c r="I41" s="93"/>
      <c r="J41" s="93"/>
      <c r="K41" s="93"/>
      <c r="L41" s="93"/>
      <c r="M41" s="93"/>
      <c r="N41" s="93"/>
    </row>
  </sheetData>
  <mergeCells count="3">
    <mergeCell ref="A1:N1"/>
    <mergeCell ref="A2:N2"/>
    <mergeCell ref="A3:N3"/>
  </mergeCells>
  <hyperlinks>
    <hyperlink ref="B18" r:id="rId1" xr:uid="{00000000-0004-0000-0500-000000000000}"/>
  </hyperlinks>
  <pageMargins left="0.75" right="0.75" top="1" bottom="1" header="0.5" footer="0.5"/>
  <pageSetup scale="75" orientation="landscape" r:id="rId2"/>
  <headerFooter alignWithMargins="0">
    <oddFooter>&amp;L&amp;F
&amp;A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tabColor indexed="8"/>
  </sheetPr>
  <dimension ref="A1:P43"/>
  <sheetViews>
    <sheetView zoomScaleNormal="100" workbookViewId="0">
      <selection sqref="A1:F1"/>
    </sheetView>
  </sheetViews>
  <sheetFormatPr defaultRowHeight="12.5" x14ac:dyDescent="0.25"/>
  <cols>
    <col min="1" max="1" width="25.7265625" customWidth="1"/>
    <col min="2" max="2" width="11.81640625" customWidth="1"/>
    <col min="3" max="3" width="16" customWidth="1"/>
    <col min="4" max="6" width="18.54296875" customWidth="1"/>
    <col min="7" max="7" width="1.54296875" customWidth="1"/>
  </cols>
  <sheetData>
    <row r="1" spans="1:16" ht="13" x14ac:dyDescent="0.3">
      <c r="A1" s="769" t="s">
        <v>132</v>
      </c>
      <c r="B1" s="769"/>
      <c r="C1" s="769"/>
      <c r="D1" s="769"/>
      <c r="E1" s="769"/>
      <c r="F1" s="769"/>
      <c r="L1" s="191" t="s">
        <v>337</v>
      </c>
      <c r="M1" s="191"/>
      <c r="N1" s="191"/>
      <c r="O1" s="191"/>
      <c r="P1" s="191"/>
    </row>
    <row r="2" spans="1:16" x14ac:dyDescent="0.25">
      <c r="L2" s="621" t="s">
        <v>552</v>
      </c>
      <c r="M2" s="624"/>
      <c r="N2" s="621"/>
      <c r="O2" s="621"/>
      <c r="P2" s="621"/>
    </row>
    <row r="3" spans="1:16" ht="13" x14ac:dyDescent="0.3">
      <c r="A3" s="2" t="s">
        <v>117</v>
      </c>
      <c r="B3" s="2" t="s">
        <v>118</v>
      </c>
      <c r="C3" s="769" t="s">
        <v>133</v>
      </c>
      <c r="D3" s="767"/>
      <c r="E3" s="769" t="s">
        <v>134</v>
      </c>
      <c r="F3" s="767"/>
    </row>
    <row r="4" spans="1:16" x14ac:dyDescent="0.25">
      <c r="C4" s="84" t="s">
        <v>135</v>
      </c>
      <c r="D4" s="84" t="s">
        <v>136</v>
      </c>
      <c r="E4" s="84" t="s">
        <v>135</v>
      </c>
      <c r="F4" s="84" t="s">
        <v>136</v>
      </c>
    </row>
    <row r="6" spans="1:16" x14ac:dyDescent="0.25">
      <c r="A6" t="s">
        <v>4</v>
      </c>
      <c r="B6" t="s">
        <v>119</v>
      </c>
      <c r="C6" s="94">
        <f>'[8]SC5 TODL'!$B$16</f>
        <v>71165.51999999999</v>
      </c>
      <c r="D6" s="82">
        <f>ROUND(C6/$C$9,4)</f>
        <v>0.94479999999999997</v>
      </c>
      <c r="E6" s="94">
        <f>'[9]SC5 TODL'!$B$17</f>
        <v>0</v>
      </c>
      <c r="F6" s="82">
        <f>ROUND(E6/$E$9,4)</f>
        <v>0</v>
      </c>
      <c r="G6" s="95"/>
      <c r="I6" s="95"/>
    </row>
    <row r="7" spans="1:16" x14ac:dyDescent="0.25">
      <c r="B7" t="s">
        <v>120</v>
      </c>
      <c r="C7" s="94">
        <f>'[8]SC5 TODL'!$C$16</f>
        <v>72260.88</v>
      </c>
      <c r="D7" s="82">
        <f>ROUND(C7/$C$9,4)</f>
        <v>0.95940000000000003</v>
      </c>
      <c r="E7" s="94">
        <f>'[9]SC5 TODL'!$C$17</f>
        <v>156592.96000000005</v>
      </c>
      <c r="F7" s="82">
        <f>ROUND(E7/$E$9,4)</f>
        <v>0.97789999999999999</v>
      </c>
      <c r="G7" s="95"/>
      <c r="I7" s="95"/>
    </row>
    <row r="8" spans="1:16" x14ac:dyDescent="0.25">
      <c r="B8" t="s">
        <v>121</v>
      </c>
      <c r="C8" s="94">
        <f>'[8]SC5 TODL'!$D$16</f>
        <v>9497.1</v>
      </c>
      <c r="D8" s="82">
        <f>ROUND(C8/$C$9,4)</f>
        <v>0.12609999999999999</v>
      </c>
      <c r="E8" s="94">
        <f>'[9]SC5 TODL'!$D$17</f>
        <v>17349.300000000003</v>
      </c>
      <c r="F8" s="82">
        <f>ROUND(E8/$E$9,4)</f>
        <v>0.10829999999999999</v>
      </c>
      <c r="G8" s="95"/>
      <c r="I8" s="95"/>
    </row>
    <row r="9" spans="1:16" x14ac:dyDescent="0.25">
      <c r="B9" t="s">
        <v>137</v>
      </c>
      <c r="C9" s="94">
        <f>'[10]kW-Full and RA'!$P$54</f>
        <v>75320.2</v>
      </c>
      <c r="D9" s="96"/>
      <c r="E9" s="94">
        <f>'[11]kW-Full and RA'!$Q$54</f>
        <v>160131.5</v>
      </c>
      <c r="F9" s="82"/>
    </row>
    <row r="10" spans="1:16" x14ac:dyDescent="0.25">
      <c r="C10" s="97"/>
      <c r="D10" s="97"/>
      <c r="E10" s="97"/>
    </row>
    <row r="11" spans="1:16" x14ac:dyDescent="0.25">
      <c r="A11" t="s">
        <v>9</v>
      </c>
      <c r="B11" t="s">
        <v>119</v>
      </c>
      <c r="C11" s="94">
        <f>'[8]SC8 TODL'!$B$16</f>
        <v>98056.74</v>
      </c>
      <c r="D11" s="82">
        <f>ROUND(C11/$C$14,4)</f>
        <v>0.93069999999999997</v>
      </c>
      <c r="E11" s="94">
        <f>'[8]SC8 TODL'!$B$17</f>
        <v>0</v>
      </c>
      <c r="F11" s="82">
        <f>ROUND(E11/$E$14,4)</f>
        <v>0</v>
      </c>
      <c r="G11" s="95"/>
      <c r="I11" s="95"/>
    </row>
    <row r="12" spans="1:16" x14ac:dyDescent="0.25">
      <c r="B12" t="s">
        <v>120</v>
      </c>
      <c r="C12" s="94">
        <f>'[8]SC8 TODL'!$C$16</f>
        <v>102915.95999999999</v>
      </c>
      <c r="D12" s="82">
        <f>ROUND(C12/$C$14,4)</f>
        <v>0.9768</v>
      </c>
      <c r="E12" s="94">
        <f>'[8]SC8 TODL'!$C$17</f>
        <v>153051.39000000001</v>
      </c>
      <c r="F12" s="82">
        <f>ROUND(E12/$E$14,4)</f>
        <v>0.99480000000000002</v>
      </c>
      <c r="G12" s="95"/>
      <c r="I12" s="95"/>
    </row>
    <row r="13" spans="1:16" x14ac:dyDescent="0.25">
      <c r="B13" t="s">
        <v>121</v>
      </c>
      <c r="C13" s="94">
        <f>'[8]SC8 TODL'!$D$16</f>
        <v>105359.7</v>
      </c>
      <c r="D13" s="82">
        <f>ROUND(C13/$C$14,4)</f>
        <v>1</v>
      </c>
      <c r="E13" s="94">
        <f>'[8]SC8 TODL'!$D$17</f>
        <v>153848.90000000002</v>
      </c>
      <c r="F13" s="82">
        <f>ROUND(E13/$E$14,4)</f>
        <v>1</v>
      </c>
      <c r="G13" s="95"/>
      <c r="I13" s="95"/>
    </row>
    <row r="14" spans="1:16" x14ac:dyDescent="0.25">
      <c r="B14" t="s">
        <v>137</v>
      </c>
      <c r="C14" s="94">
        <f>'[10]kW-Full and RA'!$P$92</f>
        <v>105359.7</v>
      </c>
      <c r="D14" s="82"/>
      <c r="E14" s="94">
        <f>'[10]kW-Full and RA'!$Q$92</f>
        <v>153848.9</v>
      </c>
      <c r="F14" s="82"/>
    </row>
    <row r="15" spans="1:16" x14ac:dyDescent="0.25">
      <c r="C15" s="91"/>
      <c r="E15" s="91"/>
    </row>
    <row r="16" spans="1:16" x14ac:dyDescent="0.25">
      <c r="A16" t="s">
        <v>12</v>
      </c>
      <c r="B16" t="s">
        <v>119</v>
      </c>
      <c r="C16" s="94">
        <f>'[8]SC9 TODL'!$L$16</f>
        <v>6924326</v>
      </c>
      <c r="D16" s="82">
        <f>ROUND(C16/$C$19,4)</f>
        <v>0.98950000000000005</v>
      </c>
      <c r="E16" s="94">
        <f>'[8]SC9 TODL'!$L$17</f>
        <v>0</v>
      </c>
      <c r="F16" s="82">
        <f>ROUND(E16/$E$19,4)</f>
        <v>0</v>
      </c>
      <c r="G16" s="95"/>
      <c r="I16" s="95"/>
    </row>
    <row r="17" spans="1:9" x14ac:dyDescent="0.25">
      <c r="B17" t="s">
        <v>120</v>
      </c>
      <c r="C17" s="94">
        <f>'[8]SC9 TODL'!$M$16</f>
        <v>6945458</v>
      </c>
      <c r="D17" s="82">
        <f>ROUND(C17/$C$19,4)</f>
        <v>0.99250000000000005</v>
      </c>
      <c r="E17" s="94">
        <f>'[8]SC9 TODL'!$M$17</f>
        <v>11708720</v>
      </c>
      <c r="F17" s="82">
        <f>ROUND(E17/$E$19,4)</f>
        <v>0.998</v>
      </c>
      <c r="G17" s="95"/>
      <c r="I17" s="95"/>
    </row>
    <row r="18" spans="1:9" x14ac:dyDescent="0.25">
      <c r="B18" t="s">
        <v>121</v>
      </c>
      <c r="C18" s="94">
        <f>'[8]SC9 TODL'!$N$16</f>
        <v>5586368</v>
      </c>
      <c r="D18" s="82">
        <f>ROUND(C18/$C$19,4)</f>
        <v>0.79830000000000001</v>
      </c>
      <c r="E18" s="94">
        <f>'[8]SC9 TODL'!$N$17</f>
        <v>9353884</v>
      </c>
      <c r="F18" s="82">
        <f>ROUND(E18/$E$19,4)</f>
        <v>0.79730000000000001</v>
      </c>
      <c r="G18" s="95"/>
      <c r="I18" s="95"/>
    </row>
    <row r="19" spans="1:9" x14ac:dyDescent="0.25">
      <c r="B19" t="s">
        <v>137</v>
      </c>
      <c r="C19" s="94">
        <f>'[10]kW-Full and RA'!$P$116</f>
        <v>6998059.0099999998</v>
      </c>
      <c r="D19" s="96"/>
      <c r="E19" s="94">
        <f>'[10]kW-Full and RA'!$Q$116</f>
        <v>11732561.24</v>
      </c>
      <c r="F19" s="98"/>
    </row>
    <row r="20" spans="1:9" x14ac:dyDescent="0.25">
      <c r="C20" s="94"/>
      <c r="D20" s="97"/>
      <c r="E20" s="94"/>
    </row>
    <row r="21" spans="1:9" x14ac:dyDescent="0.25">
      <c r="A21" t="s">
        <v>16</v>
      </c>
      <c r="B21" t="s">
        <v>119</v>
      </c>
      <c r="C21" s="94">
        <f>'[8]SC12 TODL'!$B$16</f>
        <v>88690.319999999992</v>
      </c>
      <c r="D21" s="96">
        <f>ROUND(C21/$C$24,4)</f>
        <v>0.89859999999999995</v>
      </c>
      <c r="E21" s="94">
        <f>'[8]SC12 TODL'!$B$17</f>
        <v>0</v>
      </c>
      <c r="F21" s="82">
        <f>ROUND(E21/$E$24,4)</f>
        <v>0</v>
      </c>
      <c r="G21" s="95"/>
      <c r="I21" s="95"/>
    </row>
    <row r="22" spans="1:9" x14ac:dyDescent="0.25">
      <c r="B22" t="s">
        <v>120</v>
      </c>
      <c r="C22" s="94">
        <f>'[8]SC12 TODL'!$D$16</f>
        <v>98703.299999999988</v>
      </c>
      <c r="D22" s="96">
        <f>ROUND(C22/$C$24,4)</f>
        <v>1</v>
      </c>
      <c r="E22" s="94">
        <f>'[8]SC12 TODL'!$C$17</f>
        <v>313775</v>
      </c>
      <c r="F22" s="82">
        <f>ROUND(E22/$E$24,4)</f>
        <v>0.99050000000000005</v>
      </c>
      <c r="G22" s="95"/>
      <c r="I22" s="95"/>
    </row>
    <row r="23" spans="1:9" x14ac:dyDescent="0.25">
      <c r="B23" t="s">
        <v>121</v>
      </c>
      <c r="C23" s="94">
        <f>'[8]SC12 TODL'!$D$16</f>
        <v>98703.299999999988</v>
      </c>
      <c r="D23" s="96">
        <f>ROUND(C23/$C$24,4)</f>
        <v>1</v>
      </c>
      <c r="E23" s="94">
        <f>'[8]SC12 TODL'!$D$17</f>
        <v>316792.09999999998</v>
      </c>
      <c r="F23" s="82">
        <f>ROUND(E23/$E$24,4)</f>
        <v>1</v>
      </c>
      <c r="G23" s="95"/>
      <c r="I23" s="95"/>
    </row>
    <row r="24" spans="1:9" x14ac:dyDescent="0.25">
      <c r="B24" t="s">
        <v>137</v>
      </c>
      <c r="C24" s="94">
        <f>'[10]kW-Full and RA'!$P$131</f>
        <v>98703.3</v>
      </c>
      <c r="D24" s="96"/>
      <c r="E24" s="94">
        <f>'[10]kW-Full and RA'!$Q$131</f>
        <v>316792.10000000003</v>
      </c>
      <c r="F24" s="82"/>
    </row>
    <row r="25" spans="1:9" x14ac:dyDescent="0.25">
      <c r="C25" s="91"/>
      <c r="E25" s="91"/>
    </row>
    <row r="26" spans="1:9" x14ac:dyDescent="0.25">
      <c r="A26" t="s">
        <v>17</v>
      </c>
      <c r="B26" t="s">
        <v>119</v>
      </c>
      <c r="C26" s="94">
        <f>'[8]SC13 TODL'!$B$16</f>
        <v>46500</v>
      </c>
      <c r="D26" s="82">
        <f>ROUND(C26/$C$29,4)</f>
        <v>0.8538</v>
      </c>
      <c r="E26" s="94">
        <f>'[8]SC13 TODL'!$B$17</f>
        <v>0</v>
      </c>
      <c r="F26" s="82">
        <f>ROUND(E26/$E$29,4)</f>
        <v>0</v>
      </c>
      <c r="G26" s="95"/>
      <c r="I26" s="95"/>
    </row>
    <row r="27" spans="1:9" x14ac:dyDescent="0.25">
      <c r="B27" t="s">
        <v>120</v>
      </c>
      <c r="C27" s="94">
        <f>'[8]SC13 TODL'!$C$16</f>
        <v>49680</v>
      </c>
      <c r="D27" s="82">
        <f>ROUND(C27/$C$29,4)</f>
        <v>0.91220000000000001</v>
      </c>
      <c r="E27" s="94">
        <f>'[8]SC13 TODL'!$C$17</f>
        <v>110380</v>
      </c>
      <c r="F27" s="82">
        <f>ROUND(E27/$E$29,4)</f>
        <v>0.99950000000000006</v>
      </c>
      <c r="G27" s="95"/>
      <c r="I27" s="95"/>
    </row>
    <row r="28" spans="1:9" x14ac:dyDescent="0.25">
      <c r="B28" t="s">
        <v>121</v>
      </c>
      <c r="C28" s="761"/>
      <c r="D28" s="96">
        <f>ROUND(C28/$C$29,4)</f>
        <v>0</v>
      </c>
      <c r="E28" s="94">
        <f>'[8]SC13 TODL'!$D$17</f>
        <v>0</v>
      </c>
      <c r="F28" s="82">
        <f>ROUND(E28/$E$29,4)</f>
        <v>0</v>
      </c>
      <c r="G28" s="95"/>
      <c r="I28" s="95"/>
    </row>
    <row r="29" spans="1:9" x14ac:dyDescent="0.25">
      <c r="B29" t="s">
        <v>137</v>
      </c>
      <c r="C29" s="94">
        <f>'[10]kW-Full and RA'!$P$135</f>
        <v>54460</v>
      </c>
      <c r="D29" s="96"/>
      <c r="E29" s="94">
        <f>'[10]kW-Full and RA'!$Q$135</f>
        <v>110440</v>
      </c>
      <c r="F29" s="82"/>
    </row>
    <row r="30" spans="1:9" x14ac:dyDescent="0.25">
      <c r="C30" s="91"/>
      <c r="E30" s="91"/>
    </row>
    <row r="31" spans="1:9" x14ac:dyDescent="0.25">
      <c r="A31" t="s">
        <v>8</v>
      </c>
      <c r="B31" t="s">
        <v>119</v>
      </c>
      <c r="C31" s="94">
        <f>[8]SC8M!$B$16</f>
        <v>86441.01</v>
      </c>
      <c r="D31" s="82">
        <f>ROUND(C31/$C$34,4)</f>
        <v>0.89929999999999999</v>
      </c>
      <c r="E31" s="94">
        <f>[8]SC8M!$B$17</f>
        <v>0</v>
      </c>
      <c r="F31" s="82">
        <f>ROUND(E31/$E$34,4)</f>
        <v>0</v>
      </c>
      <c r="G31" s="95"/>
      <c r="I31" s="95"/>
    </row>
    <row r="32" spans="1:9" x14ac:dyDescent="0.25">
      <c r="B32" t="s">
        <v>120</v>
      </c>
      <c r="C32" s="94">
        <f>[8]SC8M!$C$16</f>
        <v>91171.13</v>
      </c>
      <c r="D32" s="82">
        <f>ROUND(C32/$C$34,4)</f>
        <v>0.94850000000000001</v>
      </c>
      <c r="E32" s="94">
        <f>[8]SC8M!$C$17</f>
        <v>135122.14000000001</v>
      </c>
      <c r="F32" s="82">
        <f>ROUND(E32/$E$34,4)</f>
        <v>0.95920000000000005</v>
      </c>
      <c r="G32" s="95"/>
      <c r="I32" s="95"/>
    </row>
    <row r="33" spans="1:9" x14ac:dyDescent="0.25">
      <c r="B33" t="s">
        <v>121</v>
      </c>
      <c r="C33" s="94">
        <f>[8]SC8M!$D$16</f>
        <v>96118.3</v>
      </c>
      <c r="D33" s="96">
        <f>ROUND(C33/$C$34,4)</f>
        <v>1</v>
      </c>
      <c r="E33" s="94">
        <f>[8]SC8M!$D$17</f>
        <v>140875.69999999998</v>
      </c>
      <c r="F33" s="82">
        <f>ROUND(E33/$E$34,4)</f>
        <v>1</v>
      </c>
      <c r="G33" s="95"/>
      <c r="I33" s="95"/>
    </row>
    <row r="34" spans="1:9" x14ac:dyDescent="0.25">
      <c r="B34" t="s">
        <v>137</v>
      </c>
      <c r="C34" s="94">
        <f>'[10]kW-Full and RA'!$P$86</f>
        <v>96118.3</v>
      </c>
      <c r="D34" s="96"/>
      <c r="E34" s="94">
        <f>'[10]kW-Full and RA'!$Q$86</f>
        <v>140875.69999999998</v>
      </c>
      <c r="F34" s="82"/>
    </row>
    <row r="35" spans="1:9" x14ac:dyDescent="0.25">
      <c r="C35" s="91"/>
      <c r="E35" s="94"/>
    </row>
    <row r="36" spans="1:9" x14ac:dyDescent="0.25">
      <c r="A36" t="s">
        <v>138</v>
      </c>
      <c r="B36" t="s">
        <v>119</v>
      </c>
      <c r="C36" s="94">
        <f>[8]SC9M!$B$16</f>
        <v>1419348.8799999994</v>
      </c>
      <c r="D36" s="82">
        <f>ROUND(C36/$C$39,4)</f>
        <v>0.9768</v>
      </c>
      <c r="E36" s="94">
        <f>[8]SC9M!$B$17</f>
        <v>0</v>
      </c>
      <c r="F36" s="82">
        <f>ROUND(E36/$E$39,4)</f>
        <v>0</v>
      </c>
      <c r="G36" s="95"/>
      <c r="I36" s="95"/>
    </row>
    <row r="37" spans="1:9" x14ac:dyDescent="0.25">
      <c r="B37" t="s">
        <v>120</v>
      </c>
      <c r="C37" s="94">
        <f>[8]SC9M!$C$16</f>
        <v>1430838.389999999</v>
      </c>
      <c r="D37" s="82">
        <f>ROUND(C37/$C$39,4)</f>
        <v>0.98470000000000002</v>
      </c>
      <c r="E37" s="94">
        <f>[8]SC9M!$C$17</f>
        <v>2547606.4200000004</v>
      </c>
      <c r="F37" s="82">
        <f>ROUND(E37/$E$39,4)</f>
        <v>0.98750000000000004</v>
      </c>
      <c r="G37" s="95"/>
      <c r="I37" s="95"/>
    </row>
    <row r="38" spans="1:9" x14ac:dyDescent="0.25">
      <c r="B38" t="s">
        <v>121</v>
      </c>
      <c r="C38" s="94">
        <f>[8]SC9M!$D$16</f>
        <v>1440087.8</v>
      </c>
      <c r="D38" s="96">
        <f>ROUND(C38/$C$39,4)</f>
        <v>0.99099999999999999</v>
      </c>
      <c r="E38" s="94">
        <f>[8]SC9M!$D$17</f>
        <v>2556364.8999999994</v>
      </c>
      <c r="F38" s="82">
        <f>ROUND(E38/$E$39,4)</f>
        <v>0.9909</v>
      </c>
      <c r="G38" s="95"/>
      <c r="I38" s="95"/>
    </row>
    <row r="39" spans="1:9" x14ac:dyDescent="0.25">
      <c r="B39" t="s">
        <v>137</v>
      </c>
      <c r="C39" s="94">
        <f>'[10]kW-Full and RA'!$P$110</f>
        <v>1453128.8199999998</v>
      </c>
      <c r="D39" s="96"/>
      <c r="E39" s="94">
        <f>'[10]kW-Full and RA'!$Q$110</f>
        <v>2579796.1500000004</v>
      </c>
      <c r="F39" s="82"/>
    </row>
    <row r="40" spans="1:9" x14ac:dyDescent="0.25">
      <c r="C40" s="91"/>
      <c r="E40" s="91"/>
    </row>
    <row r="41" spans="1:9" x14ac:dyDescent="0.25">
      <c r="A41" t="s">
        <v>139</v>
      </c>
    </row>
    <row r="42" spans="1:9" x14ac:dyDescent="0.25">
      <c r="A42" s="29" t="s">
        <v>180</v>
      </c>
    </row>
    <row r="43" spans="1:9" x14ac:dyDescent="0.25">
      <c r="A43" s="29" t="s">
        <v>635</v>
      </c>
    </row>
  </sheetData>
  <mergeCells count="3">
    <mergeCell ref="A1:F1"/>
    <mergeCell ref="C3:D3"/>
    <mergeCell ref="E3:F3"/>
  </mergeCells>
  <hyperlinks>
    <hyperlink ref="A43" r:id="rId1" display="Adjusted Sales 2017" xr:uid="{00000000-0004-0000-0600-000000000000}"/>
    <hyperlink ref="A42" r:id="rId2" display="Rate Case 2017 TOD Priceouts" xr:uid="{00000000-0004-0000-0600-000001000000}"/>
  </hyperlinks>
  <pageMargins left="0.75" right="0.75" top="1" bottom="1" header="0.5" footer="0.5"/>
  <pageSetup scale="77" orientation="landscape" r:id="rId3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>
    <tabColor indexed="8"/>
  </sheetPr>
  <dimension ref="A1:W163"/>
  <sheetViews>
    <sheetView zoomScaleNormal="100" workbookViewId="0">
      <pane xSplit="1" ySplit="4" topLeftCell="B5" activePane="bottomRight" state="frozen"/>
      <selection activeCell="B47" sqref="B47"/>
      <selection pane="topRight" activeCell="B47" sqref="B47"/>
      <selection pane="bottomLeft" activeCell="B47" sqref="B47"/>
      <selection pane="bottomRight" activeCell="B5" sqref="B5"/>
    </sheetView>
  </sheetViews>
  <sheetFormatPr defaultRowHeight="12.5" x14ac:dyDescent="0.25"/>
  <cols>
    <col min="1" max="1" width="20.453125" customWidth="1"/>
    <col min="2" max="13" width="14" bestFit="1" customWidth="1"/>
  </cols>
  <sheetData>
    <row r="1" spans="1:23" ht="13" x14ac:dyDescent="0.3">
      <c r="A1" s="773" t="s">
        <v>140</v>
      </c>
      <c r="B1" s="773"/>
      <c r="C1" s="773"/>
      <c r="D1" s="773"/>
      <c r="E1" s="773"/>
      <c r="F1" s="773"/>
      <c r="G1" s="773"/>
      <c r="H1" s="773"/>
      <c r="I1" s="773"/>
      <c r="J1" s="773"/>
      <c r="K1" s="773"/>
      <c r="L1" s="773"/>
      <c r="M1" s="773"/>
      <c r="N1" s="773"/>
    </row>
    <row r="2" spans="1:23" x14ac:dyDescent="0.25">
      <c r="O2" s="621" t="s">
        <v>335</v>
      </c>
      <c r="P2" s="621"/>
      <c r="Q2" s="621"/>
      <c r="R2" s="621"/>
      <c r="S2" s="621"/>
      <c r="T2" s="621"/>
      <c r="U2" s="621"/>
      <c r="V2" s="621"/>
      <c r="W2" s="621"/>
    </row>
    <row r="3" spans="1:23" ht="13" x14ac:dyDescent="0.3">
      <c r="A3" s="2" t="s">
        <v>117</v>
      </c>
      <c r="B3" s="26">
        <f>'Sales Forecast'!B6</f>
        <v>44682</v>
      </c>
      <c r="C3" s="26">
        <f>'Sales Forecast'!C6</f>
        <v>44713</v>
      </c>
      <c r="D3" s="26">
        <f>'Sales Forecast'!D6</f>
        <v>44743</v>
      </c>
      <c r="E3" s="26">
        <f>'Sales Forecast'!E6</f>
        <v>44774</v>
      </c>
      <c r="F3" s="26">
        <f>'Sales Forecast'!F6</f>
        <v>44805</v>
      </c>
      <c r="G3" s="26">
        <f>'Sales Forecast'!G6</f>
        <v>44835</v>
      </c>
      <c r="H3" s="641">
        <f>'Sales Forecast'!H6</f>
        <v>44530</v>
      </c>
      <c r="I3" s="641">
        <f>'Sales Forecast'!I6</f>
        <v>44531</v>
      </c>
      <c r="J3" s="641">
        <f>'Sales Forecast'!J6</f>
        <v>44562</v>
      </c>
      <c r="K3" s="641">
        <f>'Sales Forecast'!K6</f>
        <v>44593</v>
      </c>
      <c r="L3" s="641">
        <f>'Sales Forecast'!L6</f>
        <v>44621</v>
      </c>
      <c r="M3" s="641">
        <f>'Sales Forecast'!M6</f>
        <v>44652</v>
      </c>
      <c r="N3" s="80"/>
      <c r="O3" s="195"/>
      <c r="P3" s="612"/>
      <c r="Q3" s="195"/>
      <c r="R3" s="195"/>
    </row>
    <row r="4" spans="1:23" x14ac:dyDescent="0.25">
      <c r="O4" s="195"/>
      <c r="P4" s="195"/>
      <c r="Q4" s="195"/>
      <c r="R4" s="195"/>
    </row>
    <row r="5" spans="1:23" ht="13" x14ac:dyDescent="0.3">
      <c r="A5" s="89" t="s">
        <v>141</v>
      </c>
      <c r="O5" s="195"/>
      <c r="P5" s="195"/>
      <c r="Q5" s="195"/>
      <c r="R5" s="195"/>
    </row>
    <row r="7" spans="1:23" x14ac:dyDescent="0.25">
      <c r="A7" s="550" t="s">
        <v>142</v>
      </c>
      <c r="B7" s="475">
        <f>'Adj Sales Forecast'!B17</f>
        <v>8000000</v>
      </c>
      <c r="C7" s="475">
        <f>'Adj Sales Forecast'!C17</f>
        <v>8000000</v>
      </c>
      <c r="D7" s="7">
        <f>'Adj Sales Forecast'!D17</f>
        <v>9000000</v>
      </c>
      <c r="E7" s="7">
        <f>'Adj Sales Forecast'!E17</f>
        <v>9000000</v>
      </c>
      <c r="F7" s="7">
        <f>'Adj Sales Forecast'!F17</f>
        <v>9000000</v>
      </c>
      <c r="G7" s="7">
        <f>'Adj Sales Forecast'!G17</f>
        <v>9000000</v>
      </c>
      <c r="H7" s="7">
        <f>'Adj Sales Forecast'!H17</f>
        <v>8000000</v>
      </c>
      <c r="I7" s="7">
        <f>'Adj Sales Forecast'!I17</f>
        <v>10000000</v>
      </c>
      <c r="J7" s="7">
        <f>'Adj Sales Forecast'!J17</f>
        <v>8000000</v>
      </c>
      <c r="K7" s="7">
        <f>'Adj Sales Forecast'!K17</f>
        <v>10000000</v>
      </c>
      <c r="L7" s="7">
        <f>'Adj Sales Forecast'!L17</f>
        <v>10000000</v>
      </c>
      <c r="M7" s="7">
        <f>'Adj Sales Forecast'!M17</f>
        <v>9000000</v>
      </c>
    </row>
    <row r="8" spans="1:23" x14ac:dyDescent="0.25">
      <c r="A8" s="550" t="s">
        <v>143</v>
      </c>
      <c r="B8" s="475">
        <f>ROUND(B7*'TOD OnOff kWh Ratios'!$E$31,0)</f>
        <v>3472000</v>
      </c>
      <c r="C8" s="475">
        <f>ROUND(C7*'TOD OnOff kWh Ratios'!$B$31,0)</f>
        <v>3484000</v>
      </c>
      <c r="D8" s="7">
        <f>ROUND(D7*'TOD OnOff kWh Ratios'!$B$31,0)</f>
        <v>3919500</v>
      </c>
      <c r="E8" s="7">
        <f>ROUND(E7*'TOD OnOff kWh Ratios'!$B$31,0)</f>
        <v>3919500</v>
      </c>
      <c r="F8" s="7">
        <f>ROUND(F7*'TOD OnOff kWh Ratios'!$B$31,0)</f>
        <v>3919500</v>
      </c>
      <c r="G8" s="7">
        <f>ROUND(G7*'TOD OnOff kWh Ratios'!$E$31,0)</f>
        <v>3906000</v>
      </c>
      <c r="H8" s="8">
        <f>ROUND(H7*'TOD OnOff kWh Ratios'!$E$31,0)</f>
        <v>3472000</v>
      </c>
      <c r="I8" s="8">
        <f>ROUND(I7*'TOD OnOff kWh Ratios'!$E$31,0)</f>
        <v>4340000</v>
      </c>
      <c r="J8" s="8">
        <f>ROUND(J7*'TOD OnOff kWh Ratios'!$E$31,0)</f>
        <v>3472000</v>
      </c>
      <c r="K8" s="8">
        <f>ROUND(K7*'TOD OnOff kWh Ratios'!$E$31,0)</f>
        <v>4340000</v>
      </c>
      <c r="L8" s="8">
        <f>ROUND(L7*'TOD OnOff kWh Ratios'!$E$31,0)</f>
        <v>4340000</v>
      </c>
      <c r="M8" s="8">
        <f>ROUND(M7*'TOD OnOff kWh Ratios'!$E$31,0)</f>
        <v>3906000</v>
      </c>
    </row>
    <row r="9" spans="1:23" x14ac:dyDescent="0.25">
      <c r="A9" s="550" t="s">
        <v>144</v>
      </c>
      <c r="B9" s="475">
        <f>B7-B8</f>
        <v>4528000</v>
      </c>
      <c r="C9" s="475">
        <f>C7-C8</f>
        <v>4516000</v>
      </c>
      <c r="D9" s="7">
        <f>D7-D8</f>
        <v>5080500</v>
      </c>
      <c r="E9" s="7">
        <f>E7-E8</f>
        <v>5080500</v>
      </c>
      <c r="F9" s="7">
        <f>F7-F8</f>
        <v>5080500</v>
      </c>
      <c r="G9" s="7">
        <f t="shared" ref="G9:M9" si="0">G7-G8</f>
        <v>5094000</v>
      </c>
      <c r="H9" s="7">
        <f t="shared" si="0"/>
        <v>4528000</v>
      </c>
      <c r="I9" s="7">
        <f t="shared" si="0"/>
        <v>5660000</v>
      </c>
      <c r="J9" s="7">
        <f t="shared" si="0"/>
        <v>4528000</v>
      </c>
      <c r="K9" s="7">
        <f t="shared" si="0"/>
        <v>5660000</v>
      </c>
      <c r="L9" s="7">
        <f t="shared" si="0"/>
        <v>5660000</v>
      </c>
      <c r="M9" s="7">
        <f t="shared" si="0"/>
        <v>5094000</v>
      </c>
    </row>
    <row r="10" spans="1:23" x14ac:dyDescent="0.25">
      <c r="A10" s="550"/>
      <c r="B10" s="475"/>
      <c r="C10" s="475"/>
      <c r="D10" s="7"/>
      <c r="E10" s="7"/>
      <c r="F10" s="7"/>
      <c r="G10" s="7"/>
      <c r="H10" s="15"/>
      <c r="I10" s="15"/>
      <c r="J10" s="15"/>
      <c r="K10" s="15"/>
      <c r="L10" s="15"/>
      <c r="M10" s="15"/>
    </row>
    <row r="11" spans="1:23" x14ac:dyDescent="0.25">
      <c r="A11" s="550" t="s">
        <v>145</v>
      </c>
      <c r="B11" s="475">
        <f>'Adj Sales Forecast'!B23</f>
        <v>16000000</v>
      </c>
      <c r="C11" s="475">
        <f>'Adj Sales Forecast'!C23</f>
        <v>24000000</v>
      </c>
      <c r="D11" s="7">
        <f>'Adj Sales Forecast'!D23</f>
        <v>23000000</v>
      </c>
      <c r="E11" s="7">
        <f>'Adj Sales Forecast'!E23</f>
        <v>28000000</v>
      </c>
      <c r="F11" s="7">
        <f>'Adj Sales Forecast'!F23</f>
        <v>26000000</v>
      </c>
      <c r="G11" s="7">
        <f>'Adj Sales Forecast'!G23</f>
        <v>20000000</v>
      </c>
      <c r="H11" s="7">
        <f>'Adj Sales Forecast'!H23</f>
        <v>14000000</v>
      </c>
      <c r="I11" s="7">
        <f>'Adj Sales Forecast'!I23</f>
        <v>21000000</v>
      </c>
      <c r="J11" s="7">
        <f>'Adj Sales Forecast'!J23</f>
        <v>20000000</v>
      </c>
      <c r="K11" s="7">
        <f>'Adj Sales Forecast'!K23</f>
        <v>19000000</v>
      </c>
      <c r="L11" s="7">
        <f>'Adj Sales Forecast'!L23</f>
        <v>20000000</v>
      </c>
      <c r="M11" s="7">
        <f>'Adj Sales Forecast'!M23</f>
        <v>19000000</v>
      </c>
    </row>
    <row r="12" spans="1:23" x14ac:dyDescent="0.25">
      <c r="A12" s="550" t="s">
        <v>143</v>
      </c>
      <c r="B12" s="475">
        <f>ROUND(B11*'TOD OnOff kWh Ratios'!$E$33,0)</f>
        <v>7150400</v>
      </c>
      <c r="C12" s="475">
        <f>ROUND(C11*'TOD OnOff kWh Ratios'!$B$33,0)</f>
        <v>10488000</v>
      </c>
      <c r="D12" s="7">
        <f>ROUND(D11*'TOD OnOff kWh Ratios'!$B$33,0)</f>
        <v>10051000</v>
      </c>
      <c r="E12" s="7">
        <f>ROUND(E11*'TOD OnOff kWh Ratios'!$B$33,0)</f>
        <v>12236000</v>
      </c>
      <c r="F12" s="7">
        <f>ROUND(F11*'TOD OnOff kWh Ratios'!$B$33,0)</f>
        <v>11362000</v>
      </c>
      <c r="G12" s="7">
        <f>ROUND(G11*'TOD OnOff kWh Ratios'!$E$33,0)</f>
        <v>8938000</v>
      </c>
      <c r="H12" s="8">
        <f>ROUND(H11*'TOD OnOff kWh Ratios'!$E$33,0)</f>
        <v>6256600</v>
      </c>
      <c r="I12" s="8">
        <f>ROUND(I11*'TOD OnOff kWh Ratios'!$E$33,0)</f>
        <v>9384900</v>
      </c>
      <c r="J12" s="8">
        <f>ROUND(J11*'TOD OnOff kWh Ratios'!$E$33,0)</f>
        <v>8938000</v>
      </c>
      <c r="K12" s="8">
        <f>ROUND(K11*'TOD OnOff kWh Ratios'!$E$33,0)</f>
        <v>8491100</v>
      </c>
      <c r="L12" s="8">
        <f>ROUND(L11*'TOD OnOff kWh Ratios'!$E$33,0)</f>
        <v>8938000</v>
      </c>
      <c r="M12" s="8">
        <f>ROUND(M11*'TOD OnOff kWh Ratios'!$E$33,0)</f>
        <v>8491100</v>
      </c>
    </row>
    <row r="13" spans="1:23" x14ac:dyDescent="0.25">
      <c r="A13" s="550" t="s">
        <v>144</v>
      </c>
      <c r="B13" s="475">
        <f>B11-B12</f>
        <v>8849600</v>
      </c>
      <c r="C13" s="475">
        <f t="shared" ref="C13:M13" si="1">C11-C12</f>
        <v>13512000</v>
      </c>
      <c r="D13" s="7">
        <f t="shared" si="1"/>
        <v>12949000</v>
      </c>
      <c r="E13" s="7">
        <f t="shared" si="1"/>
        <v>15764000</v>
      </c>
      <c r="F13" s="7">
        <f t="shared" si="1"/>
        <v>14638000</v>
      </c>
      <c r="G13" s="7">
        <f t="shared" si="1"/>
        <v>11062000</v>
      </c>
      <c r="H13" s="99">
        <f t="shared" si="1"/>
        <v>7743400</v>
      </c>
      <c r="I13" s="99">
        <f t="shared" si="1"/>
        <v>11615100</v>
      </c>
      <c r="J13" s="99">
        <f t="shared" si="1"/>
        <v>11062000</v>
      </c>
      <c r="K13" s="99">
        <f t="shared" si="1"/>
        <v>10508900</v>
      </c>
      <c r="L13" s="99">
        <f t="shared" si="1"/>
        <v>11062000</v>
      </c>
      <c r="M13" s="99">
        <f t="shared" si="1"/>
        <v>10508900</v>
      </c>
    </row>
    <row r="14" spans="1:23" x14ac:dyDescent="0.25">
      <c r="A14" s="550"/>
      <c r="B14" s="475"/>
      <c r="C14" s="475"/>
      <c r="D14" s="7"/>
      <c r="E14" s="7"/>
      <c r="F14" s="7"/>
      <c r="G14" s="7"/>
      <c r="H14" s="15"/>
      <c r="I14" s="15"/>
      <c r="J14" s="15"/>
      <c r="K14" s="15"/>
      <c r="L14" s="15"/>
      <c r="M14" s="15"/>
    </row>
    <row r="15" spans="1:23" x14ac:dyDescent="0.25">
      <c r="A15" s="550" t="s">
        <v>146</v>
      </c>
      <c r="B15" s="475">
        <f>'Adj Sales Forecast'!B28</f>
        <v>486000000</v>
      </c>
      <c r="C15" s="475">
        <f>'Adj Sales Forecast'!C28</f>
        <v>601000000</v>
      </c>
      <c r="D15" s="7">
        <f>'Adj Sales Forecast'!D28</f>
        <v>704000000</v>
      </c>
      <c r="E15" s="7">
        <f>'Adj Sales Forecast'!E28</f>
        <v>727000000</v>
      </c>
      <c r="F15" s="7">
        <f>'Adj Sales Forecast'!F28</f>
        <v>704000000</v>
      </c>
      <c r="G15" s="7">
        <f>'Adj Sales Forecast'!G28</f>
        <v>561000000</v>
      </c>
      <c r="H15" s="7">
        <f>'Adj Sales Forecast'!H28</f>
        <v>542000000</v>
      </c>
      <c r="I15" s="7">
        <f>'Adj Sales Forecast'!I28</f>
        <v>562000000</v>
      </c>
      <c r="J15" s="7">
        <f>'Adj Sales Forecast'!J28</f>
        <v>593000000</v>
      </c>
      <c r="K15" s="7">
        <f>'Adj Sales Forecast'!K28</f>
        <v>591000000</v>
      </c>
      <c r="L15" s="7">
        <f>'Adj Sales Forecast'!L28</f>
        <v>554000000</v>
      </c>
      <c r="M15" s="7">
        <f>'Adj Sales Forecast'!M28</f>
        <v>522000000</v>
      </c>
    </row>
    <row r="16" spans="1:23" x14ac:dyDescent="0.25">
      <c r="A16" s="550" t="s">
        <v>143</v>
      </c>
      <c r="B16" s="475">
        <f>ROUND(B15*'TOD OnOff kWh Ratios'!$E$37,0)</f>
        <v>239500800</v>
      </c>
      <c r="C16" s="475">
        <f>ROUND(C15*'TOD OnOff kWh Ratios'!$B$37,0)</f>
        <v>301101000</v>
      </c>
      <c r="D16" s="7">
        <f>ROUND(D15*'TOD OnOff kWh Ratios'!$B$37,0)</f>
        <v>352704000</v>
      </c>
      <c r="E16" s="7">
        <f>ROUND(E15*'TOD OnOff kWh Ratios'!$B$37,0)</f>
        <v>364227000</v>
      </c>
      <c r="F16" s="7">
        <f>ROUND(F15*'TOD OnOff kWh Ratios'!$B$37,0)</f>
        <v>352704000</v>
      </c>
      <c r="G16" s="7">
        <f>ROUND(G15*'TOD OnOff kWh Ratios'!$E$37,0)</f>
        <v>276460800</v>
      </c>
      <c r="H16" s="8">
        <f>ROUND(H15*'TOD OnOff kWh Ratios'!$E$37,0)</f>
        <v>267097600</v>
      </c>
      <c r="I16" s="8">
        <f>ROUND(I15*'TOD OnOff kWh Ratios'!$E$37,0)</f>
        <v>276953600</v>
      </c>
      <c r="J16" s="8">
        <f>ROUND(J15*'TOD OnOff kWh Ratios'!$E$37,0)</f>
        <v>292230400</v>
      </c>
      <c r="K16" s="8">
        <f>ROUND(K15*'TOD OnOff kWh Ratios'!$E$37,0)</f>
        <v>291244800</v>
      </c>
      <c r="L16" s="8">
        <f>ROUND(L15*'TOD OnOff kWh Ratios'!$E$37,0)</f>
        <v>273011200</v>
      </c>
      <c r="M16" s="8">
        <f>ROUND(M15*'TOD OnOff kWh Ratios'!$E$37,0)</f>
        <v>257241600</v>
      </c>
    </row>
    <row r="17" spans="1:13" x14ac:dyDescent="0.25">
      <c r="A17" s="550" t="s">
        <v>144</v>
      </c>
      <c r="B17" s="475">
        <f t="shared" ref="B17:M17" si="2">B15-B16</f>
        <v>246499200</v>
      </c>
      <c r="C17" s="475">
        <f t="shared" si="2"/>
        <v>299899000</v>
      </c>
      <c r="D17" s="7">
        <f t="shared" si="2"/>
        <v>351296000</v>
      </c>
      <c r="E17" s="7">
        <f t="shared" si="2"/>
        <v>362773000</v>
      </c>
      <c r="F17" s="7">
        <f t="shared" si="2"/>
        <v>351296000</v>
      </c>
      <c r="G17" s="7">
        <f t="shared" si="2"/>
        <v>284539200</v>
      </c>
      <c r="H17" s="99">
        <f t="shared" si="2"/>
        <v>274902400</v>
      </c>
      <c r="I17" s="99">
        <f t="shared" si="2"/>
        <v>285046400</v>
      </c>
      <c r="J17" s="99">
        <f t="shared" si="2"/>
        <v>300769600</v>
      </c>
      <c r="K17" s="99">
        <f t="shared" si="2"/>
        <v>299755200</v>
      </c>
      <c r="L17" s="99">
        <f t="shared" si="2"/>
        <v>280988800</v>
      </c>
      <c r="M17" s="99">
        <f t="shared" si="2"/>
        <v>264758400</v>
      </c>
    </row>
    <row r="18" spans="1:13" x14ac:dyDescent="0.25">
      <c r="A18" s="550"/>
      <c r="B18" s="475"/>
      <c r="C18" s="475"/>
      <c r="D18" s="7"/>
      <c r="E18" s="7"/>
      <c r="F18" s="7"/>
      <c r="G18" s="7"/>
      <c r="H18" s="15"/>
      <c r="I18" s="15"/>
      <c r="J18" s="15"/>
      <c r="K18" s="15"/>
      <c r="L18" s="15"/>
      <c r="M18" s="15"/>
    </row>
    <row r="19" spans="1:13" x14ac:dyDescent="0.25">
      <c r="A19" s="550" t="s">
        <v>147</v>
      </c>
      <c r="B19" s="475">
        <f>'Adj Sales Forecast'!B34</f>
        <v>10000000</v>
      </c>
      <c r="C19" s="475">
        <f>'Adj Sales Forecast'!C34</f>
        <v>12000000</v>
      </c>
      <c r="D19" s="7">
        <f>'Adj Sales Forecast'!D34</f>
        <v>11000000</v>
      </c>
      <c r="E19" s="7">
        <f>'Adj Sales Forecast'!E34</f>
        <v>12000000</v>
      </c>
      <c r="F19" s="7">
        <f>'Adj Sales Forecast'!F34</f>
        <v>11000000</v>
      </c>
      <c r="G19" s="7">
        <f>'Adj Sales Forecast'!G34</f>
        <v>8000000</v>
      </c>
      <c r="H19" s="7">
        <f>'Adj Sales Forecast'!H34</f>
        <v>10000000</v>
      </c>
      <c r="I19" s="7">
        <f>'Adj Sales Forecast'!I34</f>
        <v>12000000</v>
      </c>
      <c r="J19" s="7">
        <f>'Adj Sales Forecast'!J34</f>
        <v>15000000</v>
      </c>
      <c r="K19" s="7">
        <f>'Adj Sales Forecast'!K34</f>
        <v>15000000</v>
      </c>
      <c r="L19" s="7">
        <f>'Adj Sales Forecast'!L34</f>
        <v>12000000</v>
      </c>
      <c r="M19" s="7">
        <f>'Adj Sales Forecast'!M34</f>
        <v>11000000</v>
      </c>
    </row>
    <row r="20" spans="1:13" x14ac:dyDescent="0.25">
      <c r="A20" s="550" t="s">
        <v>143</v>
      </c>
      <c r="B20" s="475">
        <f>ROUND(B19*'TOD OnOff kWh Ratios'!$E$41,0)</f>
        <v>4183000</v>
      </c>
      <c r="C20" s="475">
        <f>ROUND(C19*'TOD OnOff kWh Ratios'!$B$41,0)</f>
        <v>5238000</v>
      </c>
      <c r="D20" s="7">
        <f>ROUND(D19*'TOD OnOff kWh Ratios'!$B$41,0)</f>
        <v>4801500</v>
      </c>
      <c r="E20" s="7">
        <f>ROUND(E19*'TOD OnOff kWh Ratios'!$B$41,0)</f>
        <v>5238000</v>
      </c>
      <c r="F20" s="7">
        <f>ROUND(F19*'TOD OnOff kWh Ratios'!$B$41,0)</f>
        <v>4801500</v>
      </c>
      <c r="G20" s="7">
        <f>ROUND(G19*'TOD OnOff kWh Ratios'!$E$41,0)</f>
        <v>3346400</v>
      </c>
      <c r="H20" s="8">
        <f>ROUND(H19*'TOD OnOff kWh Ratios'!$E$41,0)</f>
        <v>4183000</v>
      </c>
      <c r="I20" s="8">
        <f>ROUND(I19*'TOD OnOff kWh Ratios'!$E$41,0)</f>
        <v>5019600</v>
      </c>
      <c r="J20" s="8">
        <f>ROUND(J19*'TOD OnOff kWh Ratios'!$E$41,0)</f>
        <v>6274500</v>
      </c>
      <c r="K20" s="8">
        <f>ROUND(K19*'TOD OnOff kWh Ratios'!$E$41,0)</f>
        <v>6274500</v>
      </c>
      <c r="L20" s="8">
        <f>ROUND(L19*'TOD OnOff kWh Ratios'!$E$41,0)</f>
        <v>5019600</v>
      </c>
      <c r="M20" s="8">
        <f>ROUND(M19*'TOD OnOff kWh Ratios'!$E$41,0)</f>
        <v>4601300</v>
      </c>
    </row>
    <row r="21" spans="1:13" x14ac:dyDescent="0.25">
      <c r="A21" s="550" t="s">
        <v>144</v>
      </c>
      <c r="B21" s="475">
        <f>B19-B20</f>
        <v>5817000</v>
      </c>
      <c r="C21" s="475">
        <f t="shared" ref="C21:M21" si="3">C19-C20</f>
        <v>6762000</v>
      </c>
      <c r="D21" s="7">
        <f t="shared" si="3"/>
        <v>6198500</v>
      </c>
      <c r="E21" s="7">
        <f t="shared" si="3"/>
        <v>6762000</v>
      </c>
      <c r="F21" s="7">
        <f t="shared" si="3"/>
        <v>6198500</v>
      </c>
      <c r="G21" s="7">
        <f t="shared" si="3"/>
        <v>4653600</v>
      </c>
      <c r="H21" s="99">
        <f t="shared" si="3"/>
        <v>5817000</v>
      </c>
      <c r="I21" s="99">
        <f t="shared" si="3"/>
        <v>6980400</v>
      </c>
      <c r="J21" s="99">
        <f t="shared" si="3"/>
        <v>8725500</v>
      </c>
      <c r="K21" s="99">
        <f t="shared" si="3"/>
        <v>8725500</v>
      </c>
      <c r="L21" s="99">
        <f t="shared" si="3"/>
        <v>6980400</v>
      </c>
      <c r="M21" s="99">
        <f t="shared" si="3"/>
        <v>6398700</v>
      </c>
    </row>
    <row r="22" spans="1:13" x14ac:dyDescent="0.25">
      <c r="A22" s="550"/>
      <c r="B22" s="475"/>
      <c r="C22" s="475"/>
      <c r="D22" s="7"/>
      <c r="E22" s="7"/>
      <c r="F22" s="7"/>
      <c r="G22" s="7"/>
      <c r="H22" s="15"/>
      <c r="I22" s="15"/>
      <c r="J22" s="15"/>
      <c r="K22" s="15"/>
      <c r="L22" s="15"/>
      <c r="M22" s="15"/>
    </row>
    <row r="23" spans="1:13" x14ac:dyDescent="0.25">
      <c r="A23" s="550" t="s">
        <v>148</v>
      </c>
      <c r="B23" s="475">
        <f>'Adj Sales Forecast'!B35</f>
        <v>1082567</v>
      </c>
      <c r="C23" s="475">
        <f>'Adj Sales Forecast'!C35</f>
        <v>1082567</v>
      </c>
      <c r="D23" s="7">
        <f>'Adj Sales Forecast'!D35</f>
        <v>1082567</v>
      </c>
      <c r="E23" s="7">
        <f>'Adj Sales Forecast'!E35</f>
        <v>1082567</v>
      </c>
      <c r="F23" s="7">
        <f>'Adj Sales Forecast'!F35</f>
        <v>1082567</v>
      </c>
      <c r="G23" s="7">
        <f>'Adj Sales Forecast'!G35</f>
        <v>1082567</v>
      </c>
      <c r="H23" s="7">
        <f>'Adj Sales Forecast'!H35</f>
        <v>1082567</v>
      </c>
      <c r="I23" s="7">
        <f>'Adj Sales Forecast'!I35</f>
        <v>1082567</v>
      </c>
      <c r="J23" s="7">
        <f>'Adj Sales Forecast'!J35</f>
        <v>1082567</v>
      </c>
      <c r="K23" s="7">
        <f>'Adj Sales Forecast'!K35</f>
        <v>1082567</v>
      </c>
      <c r="L23" s="7">
        <f>'Adj Sales Forecast'!L35</f>
        <v>1082567</v>
      </c>
      <c r="M23" s="7">
        <f>'Adj Sales Forecast'!M35</f>
        <v>1082567</v>
      </c>
    </row>
    <row r="24" spans="1:13" x14ac:dyDescent="0.25">
      <c r="A24" s="550" t="s">
        <v>143</v>
      </c>
      <c r="B24" s="475">
        <f>ROUND(B23*'TOD OnOff kWh Ratios'!$E$44,0)</f>
        <v>506750</v>
      </c>
      <c r="C24" s="475">
        <f>ROUND(C23*'TOD OnOff kWh Ratios'!$B$44,0)</f>
        <v>485964</v>
      </c>
      <c r="D24" s="7">
        <f>ROUND(D23*'TOD OnOff kWh Ratios'!$B$44,0)</f>
        <v>485964</v>
      </c>
      <c r="E24" s="7">
        <f>ROUND(E23*'TOD OnOff kWh Ratios'!$B$44,0)</f>
        <v>485964</v>
      </c>
      <c r="F24" s="7">
        <f>ROUND(F23*'TOD OnOff kWh Ratios'!$B$44,0)</f>
        <v>485964</v>
      </c>
      <c r="G24" s="7">
        <f>ROUND(G23*'TOD OnOff kWh Ratios'!$E$44,0)</f>
        <v>506750</v>
      </c>
      <c r="H24" s="8">
        <f>ROUND(H23*'TOD OnOff kWh Ratios'!$E$44,0)</f>
        <v>506750</v>
      </c>
      <c r="I24" s="8">
        <f>ROUND(I23*'TOD OnOff kWh Ratios'!$E$44,0)</f>
        <v>506750</v>
      </c>
      <c r="J24" s="8">
        <f>ROUND(J23*'TOD OnOff kWh Ratios'!$E$44,0)</f>
        <v>506750</v>
      </c>
      <c r="K24" s="8">
        <f>ROUND(K23*'TOD OnOff kWh Ratios'!$E$44,0)</f>
        <v>506750</v>
      </c>
      <c r="L24" s="8">
        <f>ROUND(L23*'TOD OnOff kWh Ratios'!$E$44,0)</f>
        <v>506750</v>
      </c>
      <c r="M24" s="8">
        <f>ROUND(M23*'TOD OnOff kWh Ratios'!$E$44,0)</f>
        <v>506750</v>
      </c>
    </row>
    <row r="25" spans="1:13" x14ac:dyDescent="0.25">
      <c r="A25" s="550" t="s">
        <v>144</v>
      </c>
      <c r="B25" s="475">
        <f>B23-B24</f>
        <v>575817</v>
      </c>
      <c r="C25" s="475">
        <f t="shared" ref="C25:M25" si="4">C23-C24</f>
        <v>596603</v>
      </c>
      <c r="D25" s="7">
        <f t="shared" si="4"/>
        <v>596603</v>
      </c>
      <c r="E25" s="7">
        <f t="shared" si="4"/>
        <v>596603</v>
      </c>
      <c r="F25" s="7">
        <f t="shared" si="4"/>
        <v>596603</v>
      </c>
      <c r="G25" s="7">
        <f t="shared" si="4"/>
        <v>575817</v>
      </c>
      <c r="H25" s="8">
        <f t="shared" si="4"/>
        <v>575817</v>
      </c>
      <c r="I25" s="8">
        <f t="shared" si="4"/>
        <v>575817</v>
      </c>
      <c r="J25" s="8">
        <f t="shared" si="4"/>
        <v>575817</v>
      </c>
      <c r="K25" s="8">
        <f t="shared" si="4"/>
        <v>575817</v>
      </c>
      <c r="L25" s="8">
        <f t="shared" si="4"/>
        <v>575817</v>
      </c>
      <c r="M25" s="8">
        <f t="shared" si="4"/>
        <v>575817</v>
      </c>
    </row>
    <row r="26" spans="1:13" x14ac:dyDescent="0.25">
      <c r="A26" s="550"/>
      <c r="B26" s="475"/>
      <c r="C26" s="475"/>
      <c r="D26" s="7"/>
      <c r="E26" s="7"/>
      <c r="F26" s="7"/>
      <c r="G26" s="7"/>
      <c r="H26" s="15"/>
      <c r="I26" s="15"/>
      <c r="J26" s="15"/>
      <c r="K26" s="15"/>
      <c r="L26" s="15"/>
      <c r="M26" s="15"/>
    </row>
    <row r="27" spans="1:13" x14ac:dyDescent="0.25">
      <c r="A27" s="549" t="s">
        <v>149</v>
      </c>
      <c r="B27" s="475">
        <f>B7+B11+B15+B19+B23</f>
        <v>521082567</v>
      </c>
      <c r="C27" s="475">
        <f t="shared" ref="C27:M29" si="5">C7+C11+C15+C19+C23</f>
        <v>646082567</v>
      </c>
      <c r="D27" s="7">
        <f t="shared" si="5"/>
        <v>748082567</v>
      </c>
      <c r="E27" s="7">
        <f t="shared" si="5"/>
        <v>777082567</v>
      </c>
      <c r="F27" s="7">
        <f t="shared" si="5"/>
        <v>751082567</v>
      </c>
      <c r="G27" s="7">
        <f t="shared" si="5"/>
        <v>599082567</v>
      </c>
      <c r="H27" s="7">
        <f t="shared" si="5"/>
        <v>575082567</v>
      </c>
      <c r="I27" s="7">
        <f t="shared" si="5"/>
        <v>606082567</v>
      </c>
      <c r="J27" s="7">
        <f t="shared" si="5"/>
        <v>637082567</v>
      </c>
      <c r="K27" s="7">
        <f t="shared" si="5"/>
        <v>636082567</v>
      </c>
      <c r="L27" s="7">
        <f t="shared" si="5"/>
        <v>597082567</v>
      </c>
      <c r="M27" s="7">
        <f t="shared" si="5"/>
        <v>562082567</v>
      </c>
    </row>
    <row r="28" spans="1:13" x14ac:dyDescent="0.25">
      <c r="A28" s="549" t="s">
        <v>143</v>
      </c>
      <c r="B28" s="475">
        <f>B8+B12+B16+B20+B24</f>
        <v>254812950</v>
      </c>
      <c r="C28" s="475">
        <f t="shared" si="5"/>
        <v>320796964</v>
      </c>
      <c r="D28" s="7">
        <f t="shared" si="5"/>
        <v>371961964</v>
      </c>
      <c r="E28" s="7">
        <f t="shared" si="5"/>
        <v>386106464</v>
      </c>
      <c r="F28" s="7">
        <f t="shared" si="5"/>
        <v>373272964</v>
      </c>
      <c r="G28" s="7">
        <f t="shared" si="5"/>
        <v>293157950</v>
      </c>
      <c r="H28" s="7">
        <f t="shared" si="5"/>
        <v>281515950</v>
      </c>
      <c r="I28" s="7">
        <f t="shared" si="5"/>
        <v>296204850</v>
      </c>
      <c r="J28" s="7">
        <f t="shared" si="5"/>
        <v>311421650</v>
      </c>
      <c r="K28" s="7">
        <f t="shared" si="5"/>
        <v>310857150</v>
      </c>
      <c r="L28" s="7">
        <f t="shared" si="5"/>
        <v>291815550</v>
      </c>
      <c r="M28" s="7">
        <f t="shared" si="5"/>
        <v>274746750</v>
      </c>
    </row>
    <row r="29" spans="1:13" x14ac:dyDescent="0.25">
      <c r="A29" s="549" t="s">
        <v>144</v>
      </c>
      <c r="B29" s="475">
        <f>B9+B13+B17+B21+B25</f>
        <v>266269617</v>
      </c>
      <c r="C29" s="475">
        <f t="shared" si="5"/>
        <v>325285603</v>
      </c>
      <c r="D29" s="7">
        <f t="shared" si="5"/>
        <v>376120603</v>
      </c>
      <c r="E29" s="7">
        <f t="shared" si="5"/>
        <v>390976103</v>
      </c>
      <c r="F29" s="7">
        <f t="shared" si="5"/>
        <v>377809603</v>
      </c>
      <c r="G29" s="7">
        <f t="shared" si="5"/>
        <v>305924617</v>
      </c>
      <c r="H29" s="7">
        <f t="shared" si="5"/>
        <v>293566617</v>
      </c>
      <c r="I29" s="7">
        <f t="shared" si="5"/>
        <v>309877717</v>
      </c>
      <c r="J29" s="7">
        <f t="shared" si="5"/>
        <v>325660917</v>
      </c>
      <c r="K29" s="7">
        <f t="shared" si="5"/>
        <v>325225417</v>
      </c>
      <c r="L29" s="7">
        <f t="shared" si="5"/>
        <v>305267017</v>
      </c>
      <c r="M29" s="7">
        <f t="shared" si="5"/>
        <v>287335817</v>
      </c>
    </row>
    <row r="30" spans="1:13" x14ac:dyDescent="0.25">
      <c r="A30" s="550"/>
      <c r="B30" s="475"/>
      <c r="C30" s="475"/>
      <c r="D30" s="7"/>
      <c r="E30" s="7"/>
      <c r="F30" s="7"/>
      <c r="G30" s="7"/>
      <c r="H30" s="15"/>
      <c r="I30" s="15"/>
      <c r="J30" s="15"/>
      <c r="K30" s="15"/>
      <c r="L30" s="15"/>
      <c r="M30" s="15"/>
    </row>
    <row r="31" spans="1:13" ht="13" x14ac:dyDescent="0.3">
      <c r="A31" s="643" t="s">
        <v>150</v>
      </c>
      <c r="B31" s="475"/>
      <c r="C31" s="475"/>
      <c r="D31" s="7"/>
      <c r="E31" s="7"/>
      <c r="F31" s="7"/>
      <c r="G31" s="7"/>
      <c r="H31" s="15"/>
      <c r="I31" s="15"/>
      <c r="J31" s="15"/>
      <c r="K31" s="15"/>
      <c r="L31" s="15"/>
      <c r="M31" s="15"/>
    </row>
    <row r="32" spans="1:13" ht="13" x14ac:dyDescent="0.3">
      <c r="A32" s="643" t="s">
        <v>151</v>
      </c>
      <c r="B32" s="475"/>
      <c r="C32" s="475"/>
      <c r="D32" s="7"/>
      <c r="E32" s="7"/>
      <c r="F32" s="7"/>
      <c r="G32" s="7"/>
      <c r="H32" s="15"/>
      <c r="I32" s="15"/>
      <c r="J32" s="15"/>
      <c r="K32" s="15"/>
      <c r="L32" s="15"/>
      <c r="M32" s="15"/>
    </row>
    <row r="33" spans="1:13" x14ac:dyDescent="0.25">
      <c r="A33" s="550"/>
      <c r="B33" s="475"/>
      <c r="C33" s="475"/>
      <c r="D33" s="7"/>
      <c r="E33" s="7"/>
      <c r="F33" s="7"/>
      <c r="G33" s="7"/>
      <c r="H33" s="15"/>
      <c r="I33" s="15"/>
      <c r="J33" s="15"/>
      <c r="K33" s="15"/>
      <c r="L33" s="15"/>
      <c r="M33" s="15"/>
    </row>
    <row r="34" spans="1:13" x14ac:dyDescent="0.25">
      <c r="A34" s="550" t="s">
        <v>152</v>
      </c>
      <c r="B34" s="475">
        <f>'Adj Sales Forecast'!B22+'Adj Sales Forecast'!B24</f>
        <v>107000000</v>
      </c>
      <c r="C34" s="475">
        <f>'Adj Sales Forecast'!C22+'Adj Sales Forecast'!C24</f>
        <v>133000000</v>
      </c>
      <c r="D34" s="7">
        <f>'Adj Sales Forecast'!D22+'Adj Sales Forecast'!D24</f>
        <v>170000000</v>
      </c>
      <c r="E34" s="7">
        <f>'Adj Sales Forecast'!E22+'Adj Sales Forecast'!E24</f>
        <v>183000000</v>
      </c>
      <c r="F34" s="7">
        <f>'Adj Sales Forecast'!F22+'Adj Sales Forecast'!F24</f>
        <v>172000000</v>
      </c>
      <c r="G34" s="7">
        <f>'Adj Sales Forecast'!G22+'Adj Sales Forecast'!G24</f>
        <v>132000000</v>
      </c>
      <c r="H34" s="7">
        <f>'Adj Sales Forecast'!H22+'Adj Sales Forecast'!H24</f>
        <v>109000000</v>
      </c>
      <c r="I34" s="7">
        <f>'Adj Sales Forecast'!I22+'Adj Sales Forecast'!I24</f>
        <v>119000000</v>
      </c>
      <c r="J34" s="7">
        <f>'Adj Sales Forecast'!J22+'Adj Sales Forecast'!J24</f>
        <v>127000000</v>
      </c>
      <c r="K34" s="7">
        <f>'Adj Sales Forecast'!K22+'Adj Sales Forecast'!K24</f>
        <v>119000000</v>
      </c>
      <c r="L34" s="7">
        <f>'Adj Sales Forecast'!L22+'Adj Sales Forecast'!L24</f>
        <v>115000000</v>
      </c>
      <c r="M34" s="7">
        <f>'Adj Sales Forecast'!M22+'Adj Sales Forecast'!M24</f>
        <v>107000000</v>
      </c>
    </row>
    <row r="35" spans="1:13" x14ac:dyDescent="0.25">
      <c r="A35" s="550" t="s">
        <v>143</v>
      </c>
      <c r="B35" s="475">
        <f>ROUND(B34*'TOD OnOff kWh Ratios'!$E$35,0)</f>
        <v>46363100</v>
      </c>
      <c r="C35" s="475">
        <f>ROUND(C34*'TOD OnOff kWh Ratios'!$B$35,0)</f>
        <v>57123500</v>
      </c>
      <c r="D35" s="7">
        <f>ROUND(D34*'TOD OnOff kWh Ratios'!$B$35,0)</f>
        <v>73015000</v>
      </c>
      <c r="E35" s="7">
        <f>ROUND(E34*'TOD OnOff kWh Ratios'!$B$35,0)</f>
        <v>78598500</v>
      </c>
      <c r="F35" s="7">
        <f>ROUND(F34*'TOD OnOff kWh Ratios'!$B$35,0)</f>
        <v>73874000</v>
      </c>
      <c r="G35" s="7">
        <f>ROUND(G34*'TOD OnOff kWh Ratios'!$E$35,0)</f>
        <v>57195600</v>
      </c>
      <c r="H35" s="8">
        <f>ROUND(H34*'TOD OnOff kWh Ratios'!$E$35,0)</f>
        <v>47229700</v>
      </c>
      <c r="I35" s="8">
        <f>ROUND(I34*'TOD OnOff kWh Ratios'!$E$35,0)</f>
        <v>51562700</v>
      </c>
      <c r="J35" s="8">
        <f>ROUND(J34*'TOD OnOff kWh Ratios'!$E$35,0)</f>
        <v>55029100</v>
      </c>
      <c r="K35" s="8">
        <f>ROUND(K34*'TOD OnOff kWh Ratios'!$E$35,0)</f>
        <v>51562700</v>
      </c>
      <c r="L35" s="8">
        <f>ROUND(L34*'TOD OnOff kWh Ratios'!$E$35,0)</f>
        <v>49829500</v>
      </c>
      <c r="M35" s="8">
        <f>ROUND(M34*'TOD OnOff kWh Ratios'!$E$35,0)</f>
        <v>46363100</v>
      </c>
    </row>
    <row r="36" spans="1:13" x14ac:dyDescent="0.25">
      <c r="A36" s="550" t="s">
        <v>144</v>
      </c>
      <c r="B36" s="475">
        <f>B34-B35</f>
        <v>60636900</v>
      </c>
      <c r="C36" s="475">
        <f t="shared" ref="C36:M36" si="6">C34-C35</f>
        <v>75876500</v>
      </c>
      <c r="D36" s="7">
        <f t="shared" si="6"/>
        <v>96985000</v>
      </c>
      <c r="E36" s="7">
        <f t="shared" si="6"/>
        <v>104401500</v>
      </c>
      <c r="F36" s="7">
        <f t="shared" si="6"/>
        <v>98126000</v>
      </c>
      <c r="G36" s="7">
        <f t="shared" si="6"/>
        <v>74804400</v>
      </c>
      <c r="H36" s="99">
        <f t="shared" si="6"/>
        <v>61770300</v>
      </c>
      <c r="I36" s="99">
        <f t="shared" si="6"/>
        <v>67437300</v>
      </c>
      <c r="J36" s="99">
        <f t="shared" si="6"/>
        <v>71970900</v>
      </c>
      <c r="K36" s="99">
        <f t="shared" si="6"/>
        <v>67437300</v>
      </c>
      <c r="L36" s="99">
        <f t="shared" si="6"/>
        <v>65170500</v>
      </c>
      <c r="M36" s="99">
        <f t="shared" si="6"/>
        <v>60636900</v>
      </c>
    </row>
    <row r="37" spans="1:13" x14ac:dyDescent="0.25">
      <c r="A37" s="550"/>
      <c r="B37" s="475"/>
      <c r="C37" s="475"/>
      <c r="D37" s="7"/>
      <c r="E37" s="7"/>
      <c r="F37" s="7"/>
      <c r="G37" s="7"/>
      <c r="H37" s="15"/>
      <c r="I37" s="15"/>
      <c r="J37" s="15"/>
      <c r="K37" s="15"/>
      <c r="L37" s="15"/>
      <c r="M37" s="15"/>
    </row>
    <row r="38" spans="1:13" x14ac:dyDescent="0.25">
      <c r="A38" s="550" t="s">
        <v>153</v>
      </c>
      <c r="B38" s="475">
        <f>'Adj Sales Forecast'!B25+'Adj Sales Forecast'!B29</f>
        <v>1328000000</v>
      </c>
      <c r="C38" s="475">
        <f>'Adj Sales Forecast'!C25+'Adj Sales Forecast'!C29</f>
        <v>1505000000</v>
      </c>
      <c r="D38" s="7">
        <f>'Adj Sales Forecast'!D25+'Adj Sales Forecast'!D29</f>
        <v>1593000000</v>
      </c>
      <c r="E38" s="7">
        <f>'Adj Sales Forecast'!E25+'Adj Sales Forecast'!E29</f>
        <v>1623000000</v>
      </c>
      <c r="F38" s="7">
        <f>'Adj Sales Forecast'!F25+'Adj Sales Forecast'!F29</f>
        <v>1593000000</v>
      </c>
      <c r="G38" s="7">
        <f>'Adj Sales Forecast'!G25+'Adj Sales Forecast'!G29</f>
        <v>1386000000</v>
      </c>
      <c r="H38" s="7">
        <f>'Adj Sales Forecast'!H25+'Adj Sales Forecast'!H29</f>
        <v>1305000000</v>
      </c>
      <c r="I38" s="7">
        <f>'Adj Sales Forecast'!I25+'Adj Sales Forecast'!I29</f>
        <v>1381000000</v>
      </c>
      <c r="J38" s="7">
        <f>'Adj Sales Forecast'!J25+'Adj Sales Forecast'!J29</f>
        <v>1422000000</v>
      </c>
      <c r="K38" s="7">
        <f>'Adj Sales Forecast'!K25+'Adj Sales Forecast'!K29</f>
        <v>1378000000</v>
      </c>
      <c r="L38" s="7">
        <f>'Adj Sales Forecast'!L25+'Adj Sales Forecast'!L29</f>
        <v>1371000000</v>
      </c>
      <c r="M38" s="7">
        <f>'Adj Sales Forecast'!M25+'Adj Sales Forecast'!M29</f>
        <v>1355000000</v>
      </c>
    </row>
    <row r="39" spans="1:13" x14ac:dyDescent="0.25">
      <c r="A39" s="550" t="s">
        <v>143</v>
      </c>
      <c r="B39" s="475">
        <f>ROUND(B38*'TOD OnOff kWh Ratios'!$E$39,0)</f>
        <v>612075200</v>
      </c>
      <c r="C39" s="475">
        <f>ROUND(C38*'TOD OnOff kWh Ratios'!$B$39,0)</f>
        <v>716530500</v>
      </c>
      <c r="D39" s="7">
        <f>ROUND(D38*'TOD OnOff kWh Ratios'!$B$39,0)</f>
        <v>758427300</v>
      </c>
      <c r="E39" s="7">
        <f>ROUND(E38*'TOD OnOff kWh Ratios'!$B$39,0)</f>
        <v>772710300</v>
      </c>
      <c r="F39" s="7">
        <f>ROUND(F38*'TOD OnOff kWh Ratios'!$B$39,0)</f>
        <v>758427300</v>
      </c>
      <c r="G39" s="7">
        <f>ROUND(G38*'TOD OnOff kWh Ratios'!$E$39,0)</f>
        <v>638807400</v>
      </c>
      <c r="H39" s="8">
        <f>ROUND(H38*'TOD OnOff kWh Ratios'!$E$39,0)</f>
        <v>601474500</v>
      </c>
      <c r="I39" s="8">
        <f>ROUND(I38*'TOD OnOff kWh Ratios'!$E$39,0)</f>
        <v>636502900</v>
      </c>
      <c r="J39" s="8">
        <f>ROUND(J38*'TOD OnOff kWh Ratios'!$E$39,0)</f>
        <v>655399800</v>
      </c>
      <c r="K39" s="8">
        <f>ROUND(K38*'TOD OnOff kWh Ratios'!$E$39,0)</f>
        <v>635120200</v>
      </c>
      <c r="L39" s="8">
        <f>ROUND(L38*'TOD OnOff kWh Ratios'!$E$39,0)</f>
        <v>631893900</v>
      </c>
      <c r="M39" s="8">
        <f>ROUND(M38*'TOD OnOff kWh Ratios'!$E$39,0)</f>
        <v>624519500</v>
      </c>
    </row>
    <row r="40" spans="1:13" x14ac:dyDescent="0.25">
      <c r="A40" s="550" t="s">
        <v>144</v>
      </c>
      <c r="B40" s="475">
        <f>B38-B39</f>
        <v>715924800</v>
      </c>
      <c r="C40" s="475">
        <f t="shared" ref="C40:M40" si="7">C38-C39</f>
        <v>788469500</v>
      </c>
      <c r="D40" s="7">
        <f t="shared" si="7"/>
        <v>834572700</v>
      </c>
      <c r="E40" s="7">
        <f t="shared" si="7"/>
        <v>850289700</v>
      </c>
      <c r="F40" s="7">
        <f t="shared" si="7"/>
        <v>834572700</v>
      </c>
      <c r="G40" s="7">
        <f t="shared" si="7"/>
        <v>747192600</v>
      </c>
      <c r="H40" s="99">
        <f t="shared" si="7"/>
        <v>703525500</v>
      </c>
      <c r="I40" s="99">
        <f t="shared" si="7"/>
        <v>744497100</v>
      </c>
      <c r="J40" s="99">
        <f t="shared" si="7"/>
        <v>766600200</v>
      </c>
      <c r="K40" s="99">
        <f t="shared" si="7"/>
        <v>742879800</v>
      </c>
      <c r="L40" s="99">
        <f t="shared" si="7"/>
        <v>739106100</v>
      </c>
      <c r="M40" s="99">
        <f t="shared" si="7"/>
        <v>730480500</v>
      </c>
    </row>
    <row r="41" spans="1:13" x14ac:dyDescent="0.25">
      <c r="A41" s="550"/>
      <c r="B41" s="475"/>
      <c r="C41" s="475"/>
      <c r="D41" s="7"/>
      <c r="E41" s="7"/>
      <c r="F41" s="7"/>
      <c r="G41" s="7"/>
      <c r="H41" s="15"/>
      <c r="I41" s="15"/>
      <c r="J41" s="15"/>
      <c r="K41" s="15"/>
      <c r="L41" s="15"/>
      <c r="M41" s="15"/>
    </row>
    <row r="42" spans="1:13" x14ac:dyDescent="0.25">
      <c r="A42" s="550" t="s">
        <v>154</v>
      </c>
      <c r="B42" s="475">
        <f>'Adj Sales Forecast'!B32+'Adj Sales Forecast'!B33</f>
        <v>7941432</v>
      </c>
      <c r="C42" s="475">
        <f>'Adj Sales Forecast'!C32+'Adj Sales Forecast'!C33</f>
        <v>8934111</v>
      </c>
      <c r="D42" s="7">
        <f>'Adj Sales Forecast'!D32+'Adj Sales Forecast'!D33</f>
        <v>9926790</v>
      </c>
      <c r="E42" s="7">
        <f>'Adj Sales Forecast'!E32+'Adj Sales Forecast'!E33</f>
        <v>10919469</v>
      </c>
      <c r="F42" s="7">
        <f>'Adj Sales Forecast'!F32+'Adj Sales Forecast'!F33</f>
        <v>7941432</v>
      </c>
      <c r="G42" s="7">
        <f>'Adj Sales Forecast'!G32+'Adj Sales Forecast'!G33</f>
        <v>7941432</v>
      </c>
      <c r="H42" s="7">
        <f>'Adj Sales Forecast'!H32+'Adj Sales Forecast'!H33</f>
        <v>8934111</v>
      </c>
      <c r="I42" s="7">
        <f>'Adj Sales Forecast'!I32+'Adj Sales Forecast'!I33</f>
        <v>17868222</v>
      </c>
      <c r="J42" s="7">
        <f>'Adj Sales Forecast'!J32+'Adj Sales Forecast'!J33</f>
        <v>21838938</v>
      </c>
      <c r="K42" s="7">
        <f>'Adj Sales Forecast'!K32+'Adj Sales Forecast'!K33</f>
        <v>28787691</v>
      </c>
      <c r="L42" s="7">
        <f>'Adj Sales Forecast'!L32+'Adj Sales Forecast'!L33</f>
        <v>20846259</v>
      </c>
      <c r="M42" s="7">
        <f>'Adj Sales Forecast'!M32+'Adj Sales Forecast'!M33</f>
        <v>15882864</v>
      </c>
    </row>
    <row r="43" spans="1:13" x14ac:dyDescent="0.25">
      <c r="A43" s="550" t="s">
        <v>143</v>
      </c>
      <c r="B43" s="475">
        <f>ROUND(B42*'TOD OnOff kWh Ratios'!$E$42,0)</f>
        <v>3271076</v>
      </c>
      <c r="C43" s="475">
        <f>ROUND(C42*'TOD OnOff kWh Ratios'!$B$42,0)</f>
        <v>2657005</v>
      </c>
      <c r="D43" s="7">
        <f>ROUND(D42*'TOD OnOff kWh Ratios'!$B$42,0)</f>
        <v>2952227</v>
      </c>
      <c r="E43" s="7">
        <f>ROUND(E42*'TOD OnOff kWh Ratios'!$B$42,0)</f>
        <v>3247450</v>
      </c>
      <c r="F43" s="7">
        <f>ROUND(F42*'TOD OnOff kWh Ratios'!$B$42,0)</f>
        <v>2361782</v>
      </c>
      <c r="G43" s="7">
        <f>ROUND(G42*'TOD OnOff kWh Ratios'!$E$42,0)</f>
        <v>3271076</v>
      </c>
      <c r="H43" s="8">
        <f>ROUND(H42*'TOD OnOff kWh Ratios'!$E$42,0)</f>
        <v>3679960</v>
      </c>
      <c r="I43" s="8">
        <f>ROUND(I42*'TOD OnOff kWh Ratios'!$E$42,0)</f>
        <v>7359921</v>
      </c>
      <c r="J43" s="8">
        <f>ROUND(J42*'TOD OnOff kWh Ratios'!$E$42,0)</f>
        <v>8995459</v>
      </c>
      <c r="K43" s="8">
        <f>ROUND(K42*'TOD OnOff kWh Ratios'!$E$42,0)</f>
        <v>11857650</v>
      </c>
      <c r="L43" s="8">
        <f>ROUND(L42*'TOD OnOff kWh Ratios'!$E$42,0)</f>
        <v>8586574</v>
      </c>
      <c r="M43" s="8">
        <f>ROUND(M42*'TOD OnOff kWh Ratios'!$E$42,0)</f>
        <v>6542152</v>
      </c>
    </row>
    <row r="44" spans="1:13" x14ac:dyDescent="0.25">
      <c r="A44" s="550" t="s">
        <v>144</v>
      </c>
      <c r="B44" s="475">
        <f>B42-B43</f>
        <v>4670356</v>
      </c>
      <c r="C44" s="475">
        <f t="shared" ref="C44:M44" si="8">C42-C43</f>
        <v>6277106</v>
      </c>
      <c r="D44" s="7">
        <f t="shared" si="8"/>
        <v>6974563</v>
      </c>
      <c r="E44" s="7">
        <f t="shared" si="8"/>
        <v>7672019</v>
      </c>
      <c r="F44" s="7">
        <f t="shared" si="8"/>
        <v>5579650</v>
      </c>
      <c r="G44" s="7">
        <f t="shared" si="8"/>
        <v>4670356</v>
      </c>
      <c r="H44" s="99">
        <f t="shared" si="8"/>
        <v>5254151</v>
      </c>
      <c r="I44" s="99">
        <f t="shared" si="8"/>
        <v>10508301</v>
      </c>
      <c r="J44" s="99">
        <f t="shared" si="8"/>
        <v>12843479</v>
      </c>
      <c r="K44" s="99">
        <f t="shared" si="8"/>
        <v>16930041</v>
      </c>
      <c r="L44" s="99">
        <f t="shared" si="8"/>
        <v>12259685</v>
      </c>
      <c r="M44" s="99">
        <f t="shared" si="8"/>
        <v>9340712</v>
      </c>
    </row>
    <row r="45" spans="1:13" x14ac:dyDescent="0.25">
      <c r="A45" s="550"/>
      <c r="B45" s="475"/>
      <c r="C45" s="475"/>
      <c r="D45" s="7"/>
      <c r="E45" s="7"/>
      <c r="F45" s="7"/>
      <c r="G45" s="7"/>
      <c r="H45" s="15"/>
      <c r="I45" s="15"/>
      <c r="J45" s="15"/>
      <c r="K45" s="15"/>
      <c r="L45" s="15"/>
      <c r="M45" s="15"/>
    </row>
    <row r="46" spans="1:13" x14ac:dyDescent="0.25">
      <c r="A46" s="549" t="s">
        <v>155</v>
      </c>
      <c r="B46" s="475">
        <f>B34+B38+B42</f>
        <v>1442941432</v>
      </c>
      <c r="C46" s="475">
        <f t="shared" ref="C46:M46" si="9">C34+C38+C42</f>
        <v>1646934111</v>
      </c>
      <c r="D46" s="7">
        <f t="shared" si="9"/>
        <v>1772926790</v>
      </c>
      <c r="E46" s="7">
        <f t="shared" si="9"/>
        <v>1816919469</v>
      </c>
      <c r="F46" s="7">
        <f t="shared" si="9"/>
        <v>1772941432</v>
      </c>
      <c r="G46" s="7">
        <f t="shared" si="9"/>
        <v>1525941432</v>
      </c>
      <c r="H46" s="7">
        <f t="shared" si="9"/>
        <v>1422934111</v>
      </c>
      <c r="I46" s="7">
        <f t="shared" si="9"/>
        <v>1517868222</v>
      </c>
      <c r="J46" s="7">
        <f t="shared" si="9"/>
        <v>1570838938</v>
      </c>
      <c r="K46" s="7">
        <f t="shared" si="9"/>
        <v>1525787691</v>
      </c>
      <c r="L46" s="7">
        <f t="shared" si="9"/>
        <v>1506846259</v>
      </c>
      <c r="M46" s="7">
        <f t="shared" si="9"/>
        <v>1477882864</v>
      </c>
    </row>
    <row r="47" spans="1:13" x14ac:dyDescent="0.25">
      <c r="A47" s="100" t="s">
        <v>143</v>
      </c>
      <c r="B47" s="7">
        <f t="shared" ref="B47:M48" si="10">B35+B39+B43</f>
        <v>661709376</v>
      </c>
      <c r="C47" s="7">
        <f t="shared" si="10"/>
        <v>776311005</v>
      </c>
      <c r="D47" s="7">
        <f t="shared" si="10"/>
        <v>834394527</v>
      </c>
      <c r="E47" s="7">
        <f t="shared" si="10"/>
        <v>854556250</v>
      </c>
      <c r="F47" s="7">
        <f t="shared" si="10"/>
        <v>834663082</v>
      </c>
      <c r="G47" s="7">
        <f t="shared" si="10"/>
        <v>699274076</v>
      </c>
      <c r="H47" s="7">
        <f t="shared" si="10"/>
        <v>652384160</v>
      </c>
      <c r="I47" s="7">
        <f t="shared" si="10"/>
        <v>695425521</v>
      </c>
      <c r="J47" s="7">
        <f t="shared" si="10"/>
        <v>719424359</v>
      </c>
      <c r="K47" s="7">
        <f t="shared" si="10"/>
        <v>698540550</v>
      </c>
      <c r="L47" s="7">
        <f t="shared" si="10"/>
        <v>690309974</v>
      </c>
      <c r="M47" s="7">
        <f t="shared" si="10"/>
        <v>677424752</v>
      </c>
    </row>
    <row r="48" spans="1:13" x14ac:dyDescent="0.25">
      <c r="A48" s="100" t="s">
        <v>144</v>
      </c>
      <c r="B48" s="7">
        <f t="shared" si="10"/>
        <v>781232056</v>
      </c>
      <c r="C48" s="7">
        <f t="shared" si="10"/>
        <v>870623106</v>
      </c>
      <c r="D48" s="7">
        <f t="shared" si="10"/>
        <v>938532263</v>
      </c>
      <c r="E48" s="7">
        <f t="shared" si="10"/>
        <v>962363219</v>
      </c>
      <c r="F48" s="7">
        <f t="shared" si="10"/>
        <v>938278350</v>
      </c>
      <c r="G48" s="7">
        <f t="shared" si="10"/>
        <v>826667356</v>
      </c>
      <c r="H48" s="7">
        <f t="shared" si="10"/>
        <v>770549951</v>
      </c>
      <c r="I48" s="7">
        <f t="shared" si="10"/>
        <v>822442701</v>
      </c>
      <c r="J48" s="7">
        <f t="shared" si="10"/>
        <v>851414579</v>
      </c>
      <c r="K48" s="7">
        <f t="shared" si="10"/>
        <v>827247141</v>
      </c>
      <c r="L48" s="7">
        <f t="shared" si="10"/>
        <v>816536285</v>
      </c>
      <c r="M48" s="7">
        <f t="shared" si="10"/>
        <v>800458112</v>
      </c>
    </row>
    <row r="49" spans="1:13" x14ac:dyDescent="0.25">
      <c r="A49" s="15"/>
      <c r="B49" s="7"/>
      <c r="C49" s="7"/>
      <c r="D49" s="7"/>
      <c r="E49" s="7"/>
      <c r="F49" s="7"/>
      <c r="G49" s="7"/>
      <c r="H49" s="15"/>
      <c r="I49" s="15"/>
      <c r="J49" s="15"/>
      <c r="K49" s="15"/>
      <c r="L49" s="15"/>
      <c r="M49" s="15"/>
    </row>
    <row r="50" spans="1:13" x14ac:dyDescent="0.25">
      <c r="A50" s="15"/>
      <c r="B50" s="7"/>
      <c r="C50" s="7"/>
      <c r="D50" s="7"/>
      <c r="E50" s="7"/>
      <c r="F50" s="7"/>
      <c r="G50" s="7"/>
      <c r="H50" s="15"/>
      <c r="I50" s="15"/>
      <c r="J50" s="15"/>
      <c r="K50" s="15"/>
      <c r="L50" s="15"/>
      <c r="M50" s="15"/>
    </row>
    <row r="51" spans="1:13" ht="13" x14ac:dyDescent="0.3">
      <c r="A51" s="89" t="s">
        <v>156</v>
      </c>
      <c r="B51" s="7"/>
      <c r="C51" s="7"/>
      <c r="D51" s="7"/>
      <c r="E51" s="7"/>
      <c r="F51" s="7"/>
      <c r="G51" s="7"/>
      <c r="H51" s="15"/>
      <c r="I51" s="15"/>
      <c r="J51" s="15"/>
      <c r="K51" s="15"/>
      <c r="L51" s="15"/>
      <c r="M51" s="15"/>
    </row>
    <row r="52" spans="1:13" x14ac:dyDescent="0.25">
      <c r="A52" s="15"/>
      <c r="B52" s="7"/>
      <c r="C52" s="7"/>
      <c r="D52" s="7"/>
      <c r="E52" s="7"/>
      <c r="F52" s="7"/>
      <c r="G52" s="7"/>
      <c r="H52" s="15"/>
      <c r="I52" s="15"/>
      <c r="J52" s="15"/>
      <c r="K52" s="15"/>
      <c r="L52" s="15"/>
      <c r="M52" s="15"/>
    </row>
    <row r="53" spans="1:13" x14ac:dyDescent="0.25">
      <c r="A53" s="15" t="s">
        <v>54</v>
      </c>
      <c r="B53" s="7">
        <f>'Adj Sales Forecast'!B24</f>
        <v>8000000</v>
      </c>
      <c r="C53" s="7">
        <f>'Adj Sales Forecast'!C24</f>
        <v>12000000</v>
      </c>
      <c r="D53" s="7">
        <f>'Adj Sales Forecast'!D24</f>
        <v>9000000</v>
      </c>
      <c r="E53" s="7">
        <f>'Adj Sales Forecast'!E24</f>
        <v>11000000</v>
      </c>
      <c r="F53" s="7">
        <f>'Adj Sales Forecast'!F24</f>
        <v>12000000</v>
      </c>
      <c r="G53" s="7">
        <f>'Adj Sales Forecast'!G24</f>
        <v>8000000</v>
      </c>
      <c r="H53" s="8">
        <f>'Adj Sales Forecast'!H24</f>
        <v>6000000</v>
      </c>
      <c r="I53" s="8">
        <f>'Adj Sales Forecast'!I24</f>
        <v>11000000</v>
      </c>
      <c r="J53" s="8">
        <f>'Adj Sales Forecast'!J24</f>
        <v>10000000</v>
      </c>
      <c r="K53" s="8">
        <f>'Adj Sales Forecast'!K24</f>
        <v>9000000</v>
      </c>
      <c r="L53" s="8">
        <f>'Adj Sales Forecast'!L24</f>
        <v>11000000</v>
      </c>
      <c r="M53" s="8">
        <f>'Adj Sales Forecast'!M24</f>
        <v>11000000</v>
      </c>
    </row>
    <row r="54" spans="1:13" x14ac:dyDescent="0.25">
      <c r="A54" s="15" t="s">
        <v>143</v>
      </c>
      <c r="B54" s="7">
        <f>ROUND(B53*'TOD OnOff kWh Ratios'!$E$34,0)</f>
        <v>3534400</v>
      </c>
      <c r="C54" s="7">
        <f>ROUND(C53*'TOD OnOff kWh Ratios'!$B$34,0)</f>
        <v>5216400</v>
      </c>
      <c r="D54" s="7">
        <f>ROUND(D53*'TOD OnOff kWh Ratios'!$B$34,0)</f>
        <v>3912300</v>
      </c>
      <c r="E54" s="7">
        <f>ROUND(E53*'TOD OnOff kWh Ratios'!$B$34,0)</f>
        <v>4781700</v>
      </c>
      <c r="F54" s="7">
        <f>ROUND(F53*'TOD OnOff kWh Ratios'!$B$34,0)</f>
        <v>5216400</v>
      </c>
      <c r="G54" s="7">
        <f>ROUND(G53*'TOD OnOff kWh Ratios'!$E$34,0)</f>
        <v>3534400</v>
      </c>
      <c r="H54" s="8">
        <f>ROUND(H53*'TOD OnOff kWh Ratios'!$E$34,0)</f>
        <v>2650800</v>
      </c>
      <c r="I54" s="8">
        <f>ROUND(I53*'TOD OnOff kWh Ratios'!$E$34,0)</f>
        <v>4859800</v>
      </c>
      <c r="J54" s="8">
        <f>ROUND(J53*'TOD OnOff kWh Ratios'!$E$34,0)</f>
        <v>4418000</v>
      </c>
      <c r="K54" s="8">
        <f>ROUND(K53*'TOD OnOff kWh Ratios'!$E$34,0)</f>
        <v>3976200</v>
      </c>
      <c r="L54" s="8">
        <f>ROUND(L53*'TOD OnOff kWh Ratios'!$E$34,0)</f>
        <v>4859800</v>
      </c>
      <c r="M54" s="8">
        <f>ROUND(M53*'TOD OnOff kWh Ratios'!$E$34,0)</f>
        <v>4859800</v>
      </c>
    </row>
    <row r="55" spans="1:13" x14ac:dyDescent="0.25">
      <c r="A55" s="15" t="s">
        <v>144</v>
      </c>
      <c r="B55" s="7">
        <f>B53-B54</f>
        <v>4465600</v>
      </c>
      <c r="C55" s="7">
        <f>C53-C54</f>
        <v>6783600</v>
      </c>
      <c r="D55" s="7">
        <f t="shared" ref="D55:M55" si="11">D53-D54</f>
        <v>5087700</v>
      </c>
      <c r="E55" s="7">
        <f t="shared" si="11"/>
        <v>6218300</v>
      </c>
      <c r="F55" s="7">
        <f t="shared" si="11"/>
        <v>6783600</v>
      </c>
      <c r="G55" s="7">
        <f t="shared" si="11"/>
        <v>4465600</v>
      </c>
      <c r="H55" s="99">
        <f t="shared" si="11"/>
        <v>3349200</v>
      </c>
      <c r="I55" s="99">
        <f t="shared" si="11"/>
        <v>6140200</v>
      </c>
      <c r="J55" s="99">
        <f t="shared" si="11"/>
        <v>5582000</v>
      </c>
      <c r="K55" s="99">
        <f t="shared" si="11"/>
        <v>5023800</v>
      </c>
      <c r="L55" s="99">
        <f t="shared" si="11"/>
        <v>6140200</v>
      </c>
      <c r="M55" s="99">
        <f t="shared" si="11"/>
        <v>6140200</v>
      </c>
    </row>
    <row r="56" spans="1:13" x14ac:dyDescent="0.25">
      <c r="A56" s="15"/>
      <c r="B56" s="7"/>
      <c r="C56" s="7"/>
      <c r="D56" s="7"/>
      <c r="E56" s="7"/>
      <c r="F56" s="7"/>
      <c r="G56" s="7"/>
      <c r="H56" s="15"/>
      <c r="I56" s="15"/>
      <c r="J56" s="15"/>
      <c r="K56" s="15"/>
      <c r="L56" s="15"/>
      <c r="M56" s="15"/>
    </row>
    <row r="57" spans="1:13" x14ac:dyDescent="0.25">
      <c r="A57" s="15" t="s">
        <v>11</v>
      </c>
      <c r="B57" s="7">
        <f>'Adj Sales Forecast'!B29</f>
        <v>104000000</v>
      </c>
      <c r="C57" s="7">
        <f>'Adj Sales Forecast'!C29</f>
        <v>119000000</v>
      </c>
      <c r="D57" s="7">
        <f>'Adj Sales Forecast'!D29</f>
        <v>129000000</v>
      </c>
      <c r="E57" s="7">
        <f>'Adj Sales Forecast'!E29</f>
        <v>131000000</v>
      </c>
      <c r="F57" s="7">
        <f>'Adj Sales Forecast'!F29</f>
        <v>127000000</v>
      </c>
      <c r="G57" s="7">
        <f>'Adj Sales Forecast'!G29</f>
        <v>98000000</v>
      </c>
      <c r="H57" s="7">
        <f>'Adj Sales Forecast'!H29</f>
        <v>94000000</v>
      </c>
      <c r="I57" s="7">
        <f>'Adj Sales Forecast'!I29</f>
        <v>119000000</v>
      </c>
      <c r="J57" s="7">
        <f>'Adj Sales Forecast'!J29</f>
        <v>116000000</v>
      </c>
      <c r="K57" s="7">
        <f>'Adj Sales Forecast'!K29</f>
        <v>109000000</v>
      </c>
      <c r="L57" s="7">
        <f>'Adj Sales Forecast'!L29</f>
        <v>116000000</v>
      </c>
      <c r="M57" s="7">
        <f>'Adj Sales Forecast'!M29</f>
        <v>117000000</v>
      </c>
    </row>
    <row r="58" spans="1:13" x14ac:dyDescent="0.25">
      <c r="A58" s="15" t="s">
        <v>143</v>
      </c>
      <c r="B58" s="7">
        <f>ROUND(B57*'TOD OnOff kWh Ratios'!$E$38,0)</f>
        <v>46623200</v>
      </c>
      <c r="C58" s="7">
        <f>ROUND(C57*'TOD OnOff kWh Ratios'!$B$38,0)</f>
        <v>53799900</v>
      </c>
      <c r="D58" s="7">
        <f>ROUND(D57*'TOD OnOff kWh Ratios'!$B$38,0)</f>
        <v>58320900</v>
      </c>
      <c r="E58" s="7">
        <f>ROUND(E57*'TOD OnOff kWh Ratios'!$B$38,0)</f>
        <v>59225100</v>
      </c>
      <c r="F58" s="7">
        <f>ROUND(F57*'TOD OnOff kWh Ratios'!$B$38,0)</f>
        <v>57416700</v>
      </c>
      <c r="G58" s="7">
        <f>ROUND(G57*'TOD OnOff kWh Ratios'!$E$38,0)</f>
        <v>43933400</v>
      </c>
      <c r="H58" s="8">
        <f>ROUND(H57*'TOD OnOff kWh Ratios'!$E$38,0)</f>
        <v>42140200</v>
      </c>
      <c r="I58" s="8">
        <f>ROUND(I57*'TOD OnOff kWh Ratios'!$E$38,0)</f>
        <v>53347700</v>
      </c>
      <c r="J58" s="8">
        <f>ROUND(J57*'TOD OnOff kWh Ratios'!$E$38,0)</f>
        <v>52002800</v>
      </c>
      <c r="K58" s="8">
        <f>ROUND(K57*'TOD OnOff kWh Ratios'!$E$38,0)</f>
        <v>48864700</v>
      </c>
      <c r="L58" s="8">
        <f>ROUND(L57*'TOD OnOff kWh Ratios'!$E$38,0)</f>
        <v>52002800</v>
      </c>
      <c r="M58" s="8">
        <f>ROUND(M57*'TOD OnOff kWh Ratios'!$E$38,0)</f>
        <v>52451100</v>
      </c>
    </row>
    <row r="59" spans="1:13" x14ac:dyDescent="0.25">
      <c r="A59" s="15" t="s">
        <v>144</v>
      </c>
      <c r="B59" s="7">
        <f>B57-B58</f>
        <v>57376800</v>
      </c>
      <c r="C59" s="7">
        <f t="shared" ref="C59:M59" si="12">C57-C58</f>
        <v>65200100</v>
      </c>
      <c r="D59" s="7">
        <f t="shared" si="12"/>
        <v>70679100</v>
      </c>
      <c r="E59" s="7">
        <f t="shared" si="12"/>
        <v>71774900</v>
      </c>
      <c r="F59" s="7">
        <f t="shared" si="12"/>
        <v>69583300</v>
      </c>
      <c r="G59" s="7">
        <f t="shared" si="12"/>
        <v>54066600</v>
      </c>
      <c r="H59" s="99">
        <f t="shared" si="12"/>
        <v>51859800</v>
      </c>
      <c r="I59" s="99">
        <f t="shared" si="12"/>
        <v>65652300</v>
      </c>
      <c r="J59" s="99">
        <f t="shared" si="12"/>
        <v>63997200</v>
      </c>
      <c r="K59" s="99">
        <f t="shared" si="12"/>
        <v>60135300</v>
      </c>
      <c r="L59" s="99">
        <f t="shared" si="12"/>
        <v>63997200</v>
      </c>
      <c r="M59" s="99">
        <f t="shared" si="12"/>
        <v>64548900</v>
      </c>
    </row>
    <row r="60" spans="1:13" x14ac:dyDescent="0.25">
      <c r="A60" s="15"/>
      <c r="B60" s="7"/>
      <c r="C60" s="7"/>
      <c r="D60" s="7"/>
      <c r="E60" s="7"/>
      <c r="F60" s="7"/>
      <c r="G60" s="7"/>
      <c r="H60" s="15"/>
      <c r="I60" s="15"/>
      <c r="J60" s="15"/>
      <c r="K60" s="15"/>
      <c r="L60" s="15"/>
      <c r="M60" s="15"/>
    </row>
    <row r="61" spans="1:13" x14ac:dyDescent="0.25">
      <c r="A61" s="15" t="s">
        <v>157</v>
      </c>
      <c r="B61" s="7">
        <f>'Adj Sales Forecast'!B33</f>
        <v>0</v>
      </c>
      <c r="C61" s="7">
        <f>'Adj Sales Forecast'!C33</f>
        <v>0</v>
      </c>
      <c r="D61" s="7">
        <f>'Adj Sales Forecast'!D33</f>
        <v>0</v>
      </c>
      <c r="E61" s="7">
        <f>'Adj Sales Forecast'!E33</f>
        <v>0</v>
      </c>
      <c r="F61" s="7">
        <f>'Adj Sales Forecast'!F33</f>
        <v>0</v>
      </c>
      <c r="G61" s="7">
        <f>'Adj Sales Forecast'!G33</f>
        <v>0</v>
      </c>
      <c r="H61" s="7">
        <f>'Adj Sales Forecast'!H33</f>
        <v>0</v>
      </c>
      <c r="I61" s="7">
        <f>'Adj Sales Forecast'!I33</f>
        <v>0</v>
      </c>
      <c r="J61" s="7">
        <f>'Adj Sales Forecast'!J33</f>
        <v>0</v>
      </c>
      <c r="K61" s="7">
        <f>'Adj Sales Forecast'!K33</f>
        <v>0</v>
      </c>
      <c r="L61" s="7">
        <f>'Adj Sales Forecast'!L33</f>
        <v>0</v>
      </c>
      <c r="M61" s="7">
        <f>'Adj Sales Forecast'!M33</f>
        <v>0</v>
      </c>
    </row>
    <row r="62" spans="1:13" x14ac:dyDescent="0.25">
      <c r="A62" s="15" t="s">
        <v>143</v>
      </c>
      <c r="B62" s="7">
        <v>0</v>
      </c>
      <c r="C62" s="7">
        <v>0</v>
      </c>
      <c r="D62" s="7">
        <v>0</v>
      </c>
      <c r="E62" s="7">
        <v>0</v>
      </c>
      <c r="F62" s="7">
        <v>0</v>
      </c>
      <c r="G62" s="7">
        <v>0</v>
      </c>
      <c r="H62" s="101">
        <v>0</v>
      </c>
      <c r="I62" s="101">
        <v>0</v>
      </c>
      <c r="J62" s="101">
        <v>0</v>
      </c>
      <c r="K62" s="101">
        <v>0</v>
      </c>
      <c r="L62" s="101">
        <v>0</v>
      </c>
      <c r="M62" s="101">
        <v>0</v>
      </c>
    </row>
    <row r="63" spans="1:13" x14ac:dyDescent="0.25">
      <c r="A63" s="15" t="s">
        <v>144</v>
      </c>
      <c r="B63" s="7">
        <v>0</v>
      </c>
      <c r="C63" s="7">
        <v>0</v>
      </c>
      <c r="D63" s="7">
        <v>0</v>
      </c>
      <c r="E63" s="7">
        <v>0</v>
      </c>
      <c r="F63" s="7">
        <v>0</v>
      </c>
      <c r="G63" s="7">
        <v>0</v>
      </c>
      <c r="H63" s="101">
        <v>0</v>
      </c>
      <c r="I63" s="101">
        <v>0</v>
      </c>
      <c r="J63" s="101">
        <v>0</v>
      </c>
      <c r="K63" s="101">
        <v>0</v>
      </c>
      <c r="L63" s="101">
        <v>0</v>
      </c>
      <c r="M63" s="101">
        <v>0</v>
      </c>
    </row>
    <row r="64" spans="1:13" x14ac:dyDescent="0.25">
      <c r="A64" s="15"/>
      <c r="B64" s="7"/>
      <c r="C64" s="7"/>
      <c r="D64" s="7"/>
      <c r="E64" s="7"/>
      <c r="F64" s="7"/>
      <c r="G64" s="7"/>
      <c r="H64" s="15"/>
      <c r="I64" s="15"/>
      <c r="J64" s="15"/>
      <c r="K64" s="15"/>
      <c r="L64" s="15"/>
      <c r="M64" s="15"/>
    </row>
    <row r="65" spans="1:13" x14ac:dyDescent="0.25">
      <c r="A65" s="100" t="s">
        <v>158</v>
      </c>
      <c r="B65" s="7">
        <f>B53+B57+B61</f>
        <v>112000000</v>
      </c>
      <c r="C65" s="7">
        <f t="shared" ref="C65:M65" si="13">C53+C57+C61</f>
        <v>131000000</v>
      </c>
      <c r="D65" s="7">
        <f t="shared" si="13"/>
        <v>138000000</v>
      </c>
      <c r="E65" s="7">
        <f t="shared" si="13"/>
        <v>142000000</v>
      </c>
      <c r="F65" s="7">
        <f t="shared" si="13"/>
        <v>139000000</v>
      </c>
      <c r="G65" s="7">
        <f t="shared" si="13"/>
        <v>106000000</v>
      </c>
      <c r="H65" s="7">
        <f t="shared" si="13"/>
        <v>100000000</v>
      </c>
      <c r="I65" s="7">
        <f t="shared" si="13"/>
        <v>130000000</v>
      </c>
      <c r="J65" s="7">
        <f t="shared" si="13"/>
        <v>126000000</v>
      </c>
      <c r="K65" s="7">
        <f t="shared" si="13"/>
        <v>118000000</v>
      </c>
      <c r="L65" s="7">
        <f t="shared" si="13"/>
        <v>127000000</v>
      </c>
      <c r="M65" s="7">
        <f t="shared" si="13"/>
        <v>128000000</v>
      </c>
    </row>
    <row r="66" spans="1:13" x14ac:dyDescent="0.25">
      <c r="A66" s="100" t="s">
        <v>159</v>
      </c>
      <c r="B66" s="7">
        <f t="shared" ref="B66:M67" si="14">B54+B58+B62</f>
        <v>50157600</v>
      </c>
      <c r="C66" s="7">
        <f t="shared" si="14"/>
        <v>59016300</v>
      </c>
      <c r="D66" s="7">
        <f t="shared" si="14"/>
        <v>62233200</v>
      </c>
      <c r="E66" s="7">
        <f t="shared" si="14"/>
        <v>64006800</v>
      </c>
      <c r="F66" s="7">
        <f t="shared" si="14"/>
        <v>62633100</v>
      </c>
      <c r="G66" s="7">
        <f t="shared" si="14"/>
        <v>47467800</v>
      </c>
      <c r="H66" s="7">
        <f t="shared" si="14"/>
        <v>44791000</v>
      </c>
      <c r="I66" s="7">
        <f t="shared" si="14"/>
        <v>58207500</v>
      </c>
      <c r="J66" s="7">
        <f t="shared" si="14"/>
        <v>56420800</v>
      </c>
      <c r="K66" s="7">
        <f t="shared" si="14"/>
        <v>52840900</v>
      </c>
      <c r="L66" s="7">
        <f t="shared" si="14"/>
        <v>56862600</v>
      </c>
      <c r="M66" s="7">
        <f t="shared" si="14"/>
        <v>57310900</v>
      </c>
    </row>
    <row r="67" spans="1:13" x14ac:dyDescent="0.25">
      <c r="A67" s="100" t="s">
        <v>160</v>
      </c>
      <c r="B67" s="7">
        <f t="shared" si="14"/>
        <v>61842400</v>
      </c>
      <c r="C67" s="7">
        <f t="shared" si="14"/>
        <v>71983700</v>
      </c>
      <c r="D67" s="7">
        <f t="shared" si="14"/>
        <v>75766800</v>
      </c>
      <c r="E67" s="7">
        <f t="shared" si="14"/>
        <v>77993200</v>
      </c>
      <c r="F67" s="7">
        <f t="shared" si="14"/>
        <v>76366900</v>
      </c>
      <c r="G67" s="7">
        <f t="shared" si="14"/>
        <v>58532200</v>
      </c>
      <c r="H67" s="7">
        <f t="shared" si="14"/>
        <v>55209000</v>
      </c>
      <c r="I67" s="7">
        <f t="shared" si="14"/>
        <v>71792500</v>
      </c>
      <c r="J67" s="7">
        <f t="shared" si="14"/>
        <v>69579200</v>
      </c>
      <c r="K67" s="7">
        <f t="shared" si="14"/>
        <v>65159100</v>
      </c>
      <c r="L67" s="7">
        <f t="shared" si="14"/>
        <v>70137400</v>
      </c>
      <c r="M67" s="7">
        <f t="shared" si="14"/>
        <v>70689100</v>
      </c>
    </row>
    <row r="68" spans="1:13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</row>
    <row r="69" spans="1:13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</row>
    <row r="70" spans="1:13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</row>
    <row r="71" spans="1:13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</row>
    <row r="72" spans="1:13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</row>
    <row r="73" spans="1:13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</row>
    <row r="74" spans="1:13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</row>
    <row r="75" spans="1:13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</row>
    <row r="76" spans="1:13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</row>
    <row r="77" spans="1:13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</row>
    <row r="78" spans="1:13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</row>
    <row r="79" spans="1:13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</row>
    <row r="80" spans="1:13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</row>
    <row r="81" spans="1:13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</row>
    <row r="82" spans="1:13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</row>
    <row r="83" spans="1:13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</row>
    <row r="84" spans="1:13" x14ac:dyDescent="0.25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</row>
    <row r="85" spans="1:13" x14ac:dyDescent="0.25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</row>
    <row r="86" spans="1:13" x14ac:dyDescent="0.25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</row>
    <row r="87" spans="1:13" x14ac:dyDescent="0.25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</row>
    <row r="88" spans="1:13" x14ac:dyDescent="0.25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</row>
    <row r="89" spans="1:13" x14ac:dyDescent="0.25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</row>
    <row r="90" spans="1:13" x14ac:dyDescent="0.25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</row>
    <row r="91" spans="1:13" x14ac:dyDescent="0.25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</row>
    <row r="92" spans="1:13" x14ac:dyDescent="0.25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</row>
    <row r="93" spans="1:13" x14ac:dyDescent="0.25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</row>
    <row r="94" spans="1:13" x14ac:dyDescent="0.25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</row>
    <row r="95" spans="1:13" x14ac:dyDescent="0.25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</row>
    <row r="96" spans="1:13" x14ac:dyDescent="0.25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</row>
    <row r="97" spans="1:13" x14ac:dyDescent="0.25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</row>
    <row r="98" spans="1:13" x14ac:dyDescent="0.25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</row>
    <row r="99" spans="1:13" x14ac:dyDescent="0.25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</row>
    <row r="100" spans="1:13" x14ac:dyDescent="0.25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</row>
    <row r="101" spans="1:13" x14ac:dyDescent="0.25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</row>
    <row r="102" spans="1:13" x14ac:dyDescent="0.25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</row>
    <row r="103" spans="1:13" x14ac:dyDescent="0.25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</row>
    <row r="104" spans="1:13" x14ac:dyDescent="0.25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</row>
    <row r="105" spans="1:13" x14ac:dyDescent="0.25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</row>
    <row r="106" spans="1:13" x14ac:dyDescent="0.25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</row>
    <row r="107" spans="1:13" x14ac:dyDescent="0.25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</row>
    <row r="108" spans="1:13" x14ac:dyDescent="0.25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</row>
    <row r="109" spans="1:13" x14ac:dyDescent="0.25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</row>
    <row r="110" spans="1:13" x14ac:dyDescent="0.25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</row>
    <row r="111" spans="1:13" x14ac:dyDescent="0.25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</row>
    <row r="112" spans="1:13" x14ac:dyDescent="0.25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</row>
    <row r="113" spans="1:13" x14ac:dyDescent="0.25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</row>
    <row r="114" spans="1:13" x14ac:dyDescent="0.25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</row>
    <row r="115" spans="1:13" x14ac:dyDescent="0.25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</row>
    <row r="116" spans="1:13" x14ac:dyDescent="0.25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</row>
    <row r="117" spans="1:13" x14ac:dyDescent="0.25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</row>
    <row r="118" spans="1:13" x14ac:dyDescent="0.25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</row>
    <row r="119" spans="1:13" x14ac:dyDescent="0.25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</row>
    <row r="120" spans="1:13" x14ac:dyDescent="0.25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</row>
    <row r="121" spans="1:13" x14ac:dyDescent="0.25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</row>
    <row r="122" spans="1:13" x14ac:dyDescent="0.25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</row>
    <row r="123" spans="1:13" x14ac:dyDescent="0.25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</row>
    <row r="124" spans="1:13" x14ac:dyDescent="0.25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</row>
    <row r="125" spans="1:13" x14ac:dyDescent="0.25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</row>
    <row r="126" spans="1:13" x14ac:dyDescent="0.25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</row>
    <row r="127" spans="1:13" x14ac:dyDescent="0.25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</row>
    <row r="128" spans="1:13" x14ac:dyDescent="0.25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</row>
    <row r="129" spans="1:13" x14ac:dyDescent="0.25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</row>
    <row r="130" spans="1:13" x14ac:dyDescent="0.25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</row>
    <row r="131" spans="1:13" x14ac:dyDescent="0.25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</row>
    <row r="132" spans="1:13" x14ac:dyDescent="0.25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</row>
    <row r="133" spans="1:13" x14ac:dyDescent="0.25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</row>
    <row r="134" spans="1:13" x14ac:dyDescent="0.25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</row>
    <row r="135" spans="1:13" x14ac:dyDescent="0.25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</row>
    <row r="136" spans="1:13" x14ac:dyDescent="0.25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</row>
    <row r="137" spans="1:13" x14ac:dyDescent="0.25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</row>
    <row r="138" spans="1:13" x14ac:dyDescent="0.25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</row>
    <row r="139" spans="1:13" x14ac:dyDescent="0.25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</row>
    <row r="140" spans="1:13" x14ac:dyDescent="0.25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</row>
    <row r="141" spans="1:13" x14ac:dyDescent="0.25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</row>
    <row r="142" spans="1:13" x14ac:dyDescent="0.25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</row>
    <row r="143" spans="1:13" x14ac:dyDescent="0.25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</row>
    <row r="144" spans="1:13" x14ac:dyDescent="0.25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</row>
    <row r="145" spans="1:13" x14ac:dyDescent="0.25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</row>
    <row r="146" spans="1:13" x14ac:dyDescent="0.25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</row>
    <row r="147" spans="1:13" x14ac:dyDescent="0.25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</row>
    <row r="148" spans="1:13" x14ac:dyDescent="0.25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</row>
    <row r="149" spans="1:13" x14ac:dyDescent="0.25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</row>
    <row r="150" spans="1:13" x14ac:dyDescent="0.25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</row>
    <row r="151" spans="1:13" x14ac:dyDescent="0.25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</row>
    <row r="152" spans="1:13" x14ac:dyDescent="0.25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</row>
    <row r="153" spans="1:13" x14ac:dyDescent="0.25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</row>
    <row r="154" spans="1:13" x14ac:dyDescent="0.25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</row>
    <row r="155" spans="1:13" x14ac:dyDescent="0.2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</row>
    <row r="156" spans="1:13" x14ac:dyDescent="0.25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</row>
    <row r="157" spans="1:13" x14ac:dyDescent="0.2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</row>
    <row r="158" spans="1:13" x14ac:dyDescent="0.2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</row>
    <row r="159" spans="1:13" x14ac:dyDescent="0.2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</row>
    <row r="160" spans="1:13" x14ac:dyDescent="0.2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</row>
    <row r="161" spans="1:13" x14ac:dyDescent="0.2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</row>
    <row r="162" spans="1:13" x14ac:dyDescent="0.2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</row>
    <row r="163" spans="1:13" x14ac:dyDescent="0.2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</row>
  </sheetData>
  <mergeCells count="1">
    <mergeCell ref="A1:N1"/>
  </mergeCells>
  <pageMargins left="0.75" right="0.75" top="1" bottom="1" header="0.5" footer="0.5"/>
  <pageSetup scale="62" orientation="landscape" r:id="rId1"/>
  <headerFooter alignWithMargins="0">
    <oddFooter>&amp;L&amp;F
&amp;A</oddFooter>
  </headerFooter>
  <rowBreaks count="2" manualBreakCount="2">
    <brk id="30" max="16383" man="1"/>
    <brk id="49" max="16383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indexed="8"/>
    <pageSetUpPr fitToPage="1"/>
  </sheetPr>
  <dimension ref="A1:N78"/>
  <sheetViews>
    <sheetView zoomScaleNormal="100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RowHeight="12.5" x14ac:dyDescent="0.25"/>
  <cols>
    <col min="1" max="1" width="23.54296875" customWidth="1"/>
    <col min="2" max="2" width="16.54296875" bestFit="1" customWidth="1"/>
    <col min="3" max="3" width="17.7265625" bestFit="1" customWidth="1"/>
    <col min="4" max="4" width="15" bestFit="1" customWidth="1"/>
    <col min="5" max="5" width="14.1796875" bestFit="1" customWidth="1"/>
    <col min="6" max="6" width="16.453125" customWidth="1"/>
    <col min="7" max="7" width="16.54296875" bestFit="1" customWidth="1"/>
    <col min="8" max="8" width="12.7265625" bestFit="1" customWidth="1"/>
    <col min="9" max="9" width="13.81640625" bestFit="1" customWidth="1"/>
    <col min="10" max="10" width="12" bestFit="1" customWidth="1"/>
    <col min="11" max="11" width="13.81640625" bestFit="1" customWidth="1"/>
  </cols>
  <sheetData>
    <row r="1" spans="1:14" ht="13" x14ac:dyDescent="0.3">
      <c r="A1" s="773" t="s">
        <v>161</v>
      </c>
      <c r="B1" s="767"/>
      <c r="C1" s="767"/>
      <c r="D1" s="767"/>
      <c r="E1" s="767"/>
      <c r="F1" s="767"/>
      <c r="G1" s="767"/>
    </row>
    <row r="2" spans="1:14" x14ac:dyDescent="0.25">
      <c r="J2" s="191" t="s">
        <v>337</v>
      </c>
      <c r="K2" s="191"/>
      <c r="L2" s="191"/>
      <c r="M2" s="191"/>
      <c r="N2" s="191"/>
    </row>
    <row r="3" spans="1:14" x14ac:dyDescent="0.25">
      <c r="B3" s="84" t="s">
        <v>133</v>
      </c>
      <c r="C3" s="84" t="s">
        <v>133</v>
      </c>
      <c r="D3" s="84" t="s">
        <v>162</v>
      </c>
      <c r="E3" s="84" t="s">
        <v>134</v>
      </c>
      <c r="F3" s="84" t="s">
        <v>134</v>
      </c>
      <c r="G3" s="84" t="s">
        <v>162</v>
      </c>
      <c r="J3" s="621" t="s">
        <v>552</v>
      </c>
      <c r="K3" s="624"/>
      <c r="L3" s="621"/>
      <c r="M3" s="621"/>
      <c r="N3" s="621"/>
    </row>
    <row r="4" spans="1:14" x14ac:dyDescent="0.25">
      <c r="B4" s="84" t="s">
        <v>163</v>
      </c>
      <c r="C4" s="84" t="s">
        <v>164</v>
      </c>
      <c r="D4" s="84" t="s">
        <v>133</v>
      </c>
      <c r="E4" s="84" t="s">
        <v>163</v>
      </c>
      <c r="F4" s="84" t="s">
        <v>165</v>
      </c>
      <c r="G4" s="84" t="s">
        <v>134</v>
      </c>
    </row>
    <row r="6" spans="1:14" x14ac:dyDescent="0.25">
      <c r="A6" t="s">
        <v>166</v>
      </c>
      <c r="B6" s="94">
        <f>'[8]TOD Billing Determinants'!$C$25+'[8]TOD Billing Determinants'!$C$26</f>
        <v>16584540</v>
      </c>
      <c r="C6" s="94">
        <f>'[8]TOD Billing Determinants'!$C$27+'[8]TOD Billing Determinants'!$C$28</f>
        <v>21497860</v>
      </c>
      <c r="D6" s="91">
        <f>B6+C6</f>
        <v>38082400</v>
      </c>
      <c r="E6" s="94">
        <f>'[8]TOD Billing Determinants'!$D$25+'[8]TOD Billing Determinants'!$D$26</f>
        <v>32205253</v>
      </c>
      <c r="F6" s="94">
        <f>'[8]TOD Billing Determinants'!$D$27+'[8]TOD Billing Determinants'!$D$28</f>
        <v>42003947</v>
      </c>
      <c r="G6" s="91">
        <f>E6+F6</f>
        <v>74209200</v>
      </c>
    </row>
    <row r="8" spans="1:14" x14ac:dyDescent="0.25">
      <c r="A8" t="s">
        <v>167</v>
      </c>
      <c r="B8" s="94">
        <f>'[8]TOD Billing Determinants'!$C$39+'[8]TOD Billing Determinants'!$C$52</f>
        <v>22633040</v>
      </c>
      <c r="C8" s="94">
        <f>'[8]TOD Billing Determinants'!$C$41+'[8]TOD Billing Determinants'!$C$54</f>
        <v>29154293</v>
      </c>
      <c r="D8" s="91">
        <f>B8+C8</f>
        <v>51787333</v>
      </c>
      <c r="E8" s="94">
        <f>'[8]TOD Billing Determinants'!$D$39+'[8]TOD Billing Determinants'!$D$52</f>
        <v>34712761</v>
      </c>
      <c r="F8" s="94">
        <f>'[8]TOD Billing Determinants'!$D$41+'[8]TOD Billing Determinants'!$D$54</f>
        <v>42959306</v>
      </c>
      <c r="G8" s="91">
        <f>E8+F8</f>
        <v>77672067</v>
      </c>
    </row>
    <row r="9" spans="1:14" x14ac:dyDescent="0.25">
      <c r="A9" t="s">
        <v>168</v>
      </c>
      <c r="B9" s="94">
        <f>[9]SC8M!$B$25</f>
        <v>25285140</v>
      </c>
      <c r="C9" s="94">
        <f>[9]SC8M!$B$27</f>
        <v>32881363</v>
      </c>
      <c r="D9" s="91">
        <f>B9+C9</f>
        <v>58166503</v>
      </c>
      <c r="E9" s="94">
        <f>[9]SC8M!$C$25</f>
        <v>38078045</v>
      </c>
      <c r="F9" s="94">
        <f>[9]SC8M!$C$27</f>
        <v>48105202</v>
      </c>
      <c r="G9" s="91">
        <f>E9+F9</f>
        <v>86183247</v>
      </c>
    </row>
    <row r="10" spans="1:14" x14ac:dyDescent="0.25">
      <c r="A10" t="s">
        <v>169</v>
      </c>
      <c r="B10" s="94">
        <f>'[4]SC 8 LT Energy'!$H$12*'[12]2017 DATA'!$B$14</f>
        <v>258350148.26801017</v>
      </c>
      <c r="C10" s="94">
        <f>'[4]SC 8 LT Energy'!$H$12*'[12]2017 DATA'!$C$14</f>
        <v>343944727.73198986</v>
      </c>
      <c r="D10" s="91">
        <f>B10+C10</f>
        <v>602294876</v>
      </c>
      <c r="E10" s="94">
        <f>'[4]SC 8 LT Energy'!$H$10*'[12]2017 DATA'!$F$14</f>
        <v>394362614.29481542</v>
      </c>
      <c r="F10" s="94">
        <f>'[4]SC 8 LT Energy'!$H$10*'[12]2017 DATA'!$G$14</f>
        <v>517438364.71518457</v>
      </c>
      <c r="G10" s="91">
        <f>E10+F10</f>
        <v>911800979.00999999</v>
      </c>
      <c r="H10" s="91"/>
    </row>
    <row r="11" spans="1:14" x14ac:dyDescent="0.25">
      <c r="A11" t="s">
        <v>170</v>
      </c>
      <c r="B11" s="102">
        <f t="shared" ref="B11:G11" si="0">B9+B10</f>
        <v>283635288.26801014</v>
      </c>
      <c r="C11" s="102">
        <f t="shared" si="0"/>
        <v>376826090.73198986</v>
      </c>
      <c r="D11" s="91">
        <f t="shared" si="0"/>
        <v>660461379</v>
      </c>
      <c r="E11" s="102">
        <f t="shared" si="0"/>
        <v>432440659.29481542</v>
      </c>
      <c r="F11" s="102">
        <f t="shared" si="0"/>
        <v>565543566.71518457</v>
      </c>
      <c r="G11" s="91">
        <f t="shared" si="0"/>
        <v>997984226.00999999</v>
      </c>
    </row>
    <row r="12" spans="1:14" x14ac:dyDescent="0.25">
      <c r="B12" s="91"/>
      <c r="C12" s="91"/>
      <c r="D12" s="91"/>
      <c r="E12" s="91"/>
      <c r="F12" s="91"/>
      <c r="G12" s="91"/>
    </row>
    <row r="13" spans="1:14" x14ac:dyDescent="0.25">
      <c r="D13" s="91"/>
      <c r="G13" s="91"/>
    </row>
    <row r="14" spans="1:14" x14ac:dyDescent="0.25">
      <c r="A14" t="s">
        <v>171</v>
      </c>
      <c r="B14" s="94">
        <f>'[9]SC9 TODL'!$B$23+'[9]SC9 TODL'!$B$24</f>
        <v>1603297812.2</v>
      </c>
      <c r="C14" s="94">
        <f>'[9]SC9 TODL'!$B$25+'[9]SC9 TODL'!$B$26</f>
        <v>1596890070.5</v>
      </c>
      <c r="D14" s="91">
        <f>B14+C14</f>
        <v>3200187882.6999998</v>
      </c>
      <c r="E14" s="94">
        <f>'[9]SC9 TODL'!$C$23+'[9]SC9 TODL'!$C$24</f>
        <v>2796690421.5499997</v>
      </c>
      <c r="F14" s="94">
        <f>'[9]SC9 TODL'!$C$25+'[9]SC9 TODL'!$C$26</f>
        <v>2878019817.6500001</v>
      </c>
      <c r="G14" s="91">
        <f>E14+F14</f>
        <v>5674710239.1999998</v>
      </c>
    </row>
    <row r="15" spans="1:14" x14ac:dyDescent="0.25">
      <c r="A15" t="s">
        <v>172</v>
      </c>
      <c r="B15" s="94">
        <f>[9]SC9M!$B$25+[9]SC9M!$B$26</f>
        <v>285809935.10000002</v>
      </c>
      <c r="C15" s="94">
        <f>[9]SC9M!$B$27+[9]SC9M!$B$28</f>
        <v>346406503.89999998</v>
      </c>
      <c r="D15" s="91">
        <f>B15+C15</f>
        <v>632216439</v>
      </c>
      <c r="E15" s="94">
        <f>[9]SC9M!$C$25+[9]SC9M!$C$26</f>
        <v>513870134.4000001</v>
      </c>
      <c r="F15" s="94">
        <f>[9]SC9M!$C$27+[9]SC9M!$C$28</f>
        <v>632347815.79999995</v>
      </c>
      <c r="G15" s="91">
        <f>F15+E15</f>
        <v>1146217950.2</v>
      </c>
    </row>
    <row r="16" spans="1:14" x14ac:dyDescent="0.25">
      <c r="A16" t="s">
        <v>173</v>
      </c>
      <c r="B16" s="94">
        <f>('[4]SC 9 LT Energy'!$H$12+'[4]SC 9 HT Energy'!$H$12)*'[12]2017 DATA'!$B$15</f>
        <v>2865137932.1199861</v>
      </c>
      <c r="C16" s="94">
        <f>('[4]SC 9 LT Energy'!$H$12+'[4]SC 9 HT Energy'!$H$12)*'[12]2017 DATA'!$C$15</f>
        <v>3120996964.8800139</v>
      </c>
      <c r="D16" s="91">
        <f>B16+C16</f>
        <v>5986134897</v>
      </c>
      <c r="E16" s="94">
        <f>('[4]SC 9 LT Energy'!$H$10+'[4]SC 9 HT Energy'!$H$10)*'[12]2017 DATA'!$F$15</f>
        <v>4785822173.9086065</v>
      </c>
      <c r="F16" s="94">
        <f>('[4]SC 9 LT Energy'!$H$10+'[4]SC 9 HT Energy'!$H$10)*'[12]2017 DATA'!$G$15</f>
        <v>5567240690.0913954</v>
      </c>
      <c r="G16" s="91">
        <f>F16+E16</f>
        <v>10353062864.000002</v>
      </c>
      <c r="I16" s="91"/>
      <c r="K16" s="91"/>
    </row>
    <row r="17" spans="1:8" x14ac:dyDescent="0.25">
      <c r="A17" t="s">
        <v>174</v>
      </c>
      <c r="B17" s="102">
        <f t="shared" ref="B17:G17" si="1">B15+B16</f>
        <v>3150947867.219986</v>
      </c>
      <c r="C17" s="102">
        <f t="shared" si="1"/>
        <v>3467403468.780014</v>
      </c>
      <c r="D17" s="91">
        <f t="shared" si="1"/>
        <v>6618351336</v>
      </c>
      <c r="E17" s="102">
        <f t="shared" si="1"/>
        <v>5299692308.3086071</v>
      </c>
      <c r="F17" s="102">
        <f t="shared" si="1"/>
        <v>6199588505.8913956</v>
      </c>
      <c r="G17" s="91">
        <f t="shared" si="1"/>
        <v>11499280814.200003</v>
      </c>
    </row>
    <row r="18" spans="1:8" x14ac:dyDescent="0.25">
      <c r="B18" s="98"/>
      <c r="C18" s="98"/>
      <c r="D18" s="91"/>
      <c r="E18" s="98"/>
      <c r="F18" s="98"/>
      <c r="G18" s="91"/>
    </row>
    <row r="19" spans="1:8" x14ac:dyDescent="0.25">
      <c r="A19" t="s">
        <v>175</v>
      </c>
      <c r="B19" s="94">
        <f>'[9]SC12 TODL'!$B$25</f>
        <v>18828511</v>
      </c>
      <c r="C19" s="94">
        <f>'[9]SC12 TODL'!$B$27</f>
        <v>24303489</v>
      </c>
      <c r="D19" s="91">
        <f>B19+C19</f>
        <v>43132000</v>
      </c>
      <c r="E19" s="94">
        <f>'[9]SC12 TODL'!$C$25</f>
        <v>58453024</v>
      </c>
      <c r="F19" s="94">
        <f>'[9]SC12 TODL'!$C$27</f>
        <v>81288576</v>
      </c>
      <c r="G19" s="91">
        <f>E19+F19</f>
        <v>139741600</v>
      </c>
    </row>
    <row r="20" spans="1:8" x14ac:dyDescent="0.25">
      <c r="A20" t="s">
        <v>176</v>
      </c>
      <c r="B20" s="94">
        <v>0</v>
      </c>
      <c r="C20" s="94">
        <v>0</v>
      </c>
      <c r="D20" s="91">
        <f>B20+C20</f>
        <v>0</v>
      </c>
      <c r="E20" s="94">
        <v>0</v>
      </c>
      <c r="F20" s="94">
        <v>0</v>
      </c>
      <c r="G20" s="91">
        <f>E20+F20</f>
        <v>0</v>
      </c>
    </row>
    <row r="21" spans="1:8" x14ac:dyDescent="0.25">
      <c r="A21" t="s">
        <v>177</v>
      </c>
      <c r="B21" s="94">
        <f>'[4]SC 12 LT Energy'!$H$12*'[12]2017 DATA'!$B$16</f>
        <v>16644682.247582113</v>
      </c>
      <c r="C21" s="94">
        <f>'[4]SC 12 LT Energy'!$H$12+'[12]2017 DATA'!$C$16</f>
        <v>39321291.576700516</v>
      </c>
      <c r="D21" s="91">
        <f>B21+C21</f>
        <v>55965973.824282631</v>
      </c>
      <c r="E21" s="94">
        <f>'[4]SC 12 LT Energy'!$H$10*'[12]2017 DATA'!$F$16</f>
        <v>47487978.942851834</v>
      </c>
      <c r="F21" s="94">
        <f>'[4]SC 12 LT Energy'!$H$10*'[12]2017 DATA'!$G$16</f>
        <v>67804067.057148188</v>
      </c>
      <c r="G21" s="91">
        <f>E21+F21</f>
        <v>115292046.00000003</v>
      </c>
      <c r="H21" s="91"/>
    </row>
    <row r="22" spans="1:8" x14ac:dyDescent="0.25">
      <c r="A22" t="s">
        <v>178</v>
      </c>
      <c r="B22" s="102">
        <f t="shared" ref="B22:G22" si="2">B20+B21</f>
        <v>16644682.247582113</v>
      </c>
      <c r="C22" s="102">
        <f t="shared" si="2"/>
        <v>39321291.576700516</v>
      </c>
      <c r="D22" s="91">
        <f t="shared" si="2"/>
        <v>55965973.824282631</v>
      </c>
      <c r="E22" s="102">
        <f t="shared" si="2"/>
        <v>47487978.942851834</v>
      </c>
      <c r="F22" s="102">
        <f t="shared" si="2"/>
        <v>67804067.057148188</v>
      </c>
      <c r="G22" s="91">
        <f t="shared" si="2"/>
        <v>115292046.00000003</v>
      </c>
    </row>
    <row r="23" spans="1:8" x14ac:dyDescent="0.25">
      <c r="B23" s="98"/>
      <c r="C23" s="98"/>
      <c r="D23" s="91"/>
      <c r="E23" s="98"/>
      <c r="F23" s="98"/>
      <c r="G23" s="91"/>
    </row>
    <row r="24" spans="1:8" x14ac:dyDescent="0.25">
      <c r="A24" t="s">
        <v>179</v>
      </c>
      <c r="B24" s="94">
        <f>'[9]SC13 TODL'!$B$26</f>
        <v>2922041</v>
      </c>
      <c r="C24" s="94">
        <f>'[9]SC13 TODL'!$B$28</f>
        <v>3586859</v>
      </c>
      <c r="D24" s="91">
        <f>B24+C24</f>
        <v>6508900</v>
      </c>
      <c r="E24" s="94">
        <f>'[9]SC13 TODL'!$C$26</f>
        <v>7883342</v>
      </c>
      <c r="F24" s="94">
        <f>'[9]SC13 TODL'!$C$28</f>
        <v>8957958</v>
      </c>
      <c r="G24" s="91">
        <f>E24+F24</f>
        <v>16841300</v>
      </c>
    </row>
    <row r="25" spans="1:8" x14ac:dyDescent="0.25">
      <c r="B25" s="103"/>
      <c r="C25" s="103"/>
      <c r="D25" s="91"/>
      <c r="E25" s="103"/>
      <c r="F25" s="103"/>
      <c r="G25" s="103"/>
    </row>
    <row r="26" spans="1:8" x14ac:dyDescent="0.25">
      <c r="A26" s="97" t="s">
        <v>139</v>
      </c>
      <c r="B26" s="103"/>
      <c r="C26" s="91"/>
      <c r="D26" s="91"/>
      <c r="E26" s="91"/>
      <c r="F26" s="91"/>
      <c r="G26" s="91"/>
    </row>
    <row r="27" spans="1:8" x14ac:dyDescent="0.25">
      <c r="A27" s="29" t="s">
        <v>180</v>
      </c>
      <c r="B27" s="103"/>
      <c r="C27" s="91"/>
      <c r="D27" s="91"/>
      <c r="E27" s="91"/>
      <c r="F27" s="91"/>
      <c r="G27" s="91"/>
    </row>
    <row r="28" spans="1:8" s="29" customFormat="1" x14ac:dyDescent="0.25">
      <c r="A28" s="29" t="s">
        <v>181</v>
      </c>
      <c r="B28" s="104"/>
      <c r="C28" s="105"/>
      <c r="D28" s="105"/>
      <c r="E28" s="105"/>
      <c r="F28" s="105"/>
      <c r="G28" s="105"/>
    </row>
    <row r="29" spans="1:8" x14ac:dyDescent="0.25">
      <c r="A29" s="29" t="s">
        <v>182</v>
      </c>
      <c r="B29" s="103"/>
      <c r="C29" s="91"/>
      <c r="D29" s="91"/>
      <c r="E29" s="91"/>
      <c r="F29" s="91"/>
      <c r="G29" s="91"/>
    </row>
    <row r="30" spans="1:8" x14ac:dyDescent="0.25">
      <c r="A30" s="98"/>
      <c r="B30" s="103"/>
    </row>
    <row r="31" spans="1:8" x14ac:dyDescent="0.25">
      <c r="A31" t="s">
        <v>166</v>
      </c>
      <c r="B31" s="95">
        <f>ROUND(B6/D6,4)</f>
        <v>0.4355</v>
      </c>
      <c r="C31" s="95">
        <f>1-B31</f>
        <v>0.5645</v>
      </c>
      <c r="E31" s="95">
        <f>ROUND(E6/G6,4)</f>
        <v>0.434</v>
      </c>
      <c r="F31" s="95">
        <f>1-E31</f>
        <v>0.56600000000000006</v>
      </c>
    </row>
    <row r="32" spans="1:8" x14ac:dyDescent="0.25">
      <c r="B32" s="95"/>
      <c r="C32" s="95"/>
      <c r="E32" s="95"/>
      <c r="F32" s="95"/>
    </row>
    <row r="33" spans="1:7" x14ac:dyDescent="0.25">
      <c r="A33" t="s">
        <v>167</v>
      </c>
      <c r="B33" s="95">
        <f>ROUND(B8/D8,4)</f>
        <v>0.437</v>
      </c>
      <c r="C33" s="95">
        <f>1-B33</f>
        <v>0.56299999999999994</v>
      </c>
      <c r="E33" s="95">
        <f>ROUND(E8/G8,4)</f>
        <v>0.44690000000000002</v>
      </c>
      <c r="F33" s="95">
        <f>1-E33</f>
        <v>0.55309999999999993</v>
      </c>
    </row>
    <row r="34" spans="1:7" x14ac:dyDescent="0.25">
      <c r="A34" t="s">
        <v>168</v>
      </c>
      <c r="B34" s="95">
        <f>ROUND(B9/D9,4)</f>
        <v>0.43469999999999998</v>
      </c>
      <c r="C34" s="95">
        <f>1-B34</f>
        <v>0.56530000000000002</v>
      </c>
      <c r="E34" s="95">
        <f>ROUND(E9/G9,4)</f>
        <v>0.44180000000000003</v>
      </c>
      <c r="F34" s="95">
        <f>1-E34</f>
        <v>0.55820000000000003</v>
      </c>
    </row>
    <row r="35" spans="1:7" x14ac:dyDescent="0.25">
      <c r="A35" t="s">
        <v>170</v>
      </c>
      <c r="B35" s="95">
        <f>ROUND(B11/D11,4)</f>
        <v>0.42949999999999999</v>
      </c>
      <c r="C35" s="95">
        <f>1-B35</f>
        <v>0.57050000000000001</v>
      </c>
      <c r="E35" s="95">
        <f>ROUND(E11/G11,4)</f>
        <v>0.43330000000000002</v>
      </c>
      <c r="F35" s="95">
        <f>1-E35</f>
        <v>0.56669999999999998</v>
      </c>
    </row>
    <row r="36" spans="1:7" x14ac:dyDescent="0.25">
      <c r="B36" s="95"/>
      <c r="C36" s="95"/>
      <c r="E36" s="95"/>
      <c r="F36" s="95"/>
    </row>
    <row r="37" spans="1:7" x14ac:dyDescent="0.25">
      <c r="A37" t="s">
        <v>171</v>
      </c>
      <c r="B37" s="95">
        <f>ROUND(B14/D14,4)</f>
        <v>0.501</v>
      </c>
      <c r="C37" s="95">
        <f>1-B37</f>
        <v>0.499</v>
      </c>
      <c r="E37" s="95">
        <f>ROUND(E14/G14,4)</f>
        <v>0.49280000000000002</v>
      </c>
      <c r="F37" s="95">
        <f>1-E37</f>
        <v>0.50719999999999998</v>
      </c>
    </row>
    <row r="38" spans="1:7" x14ac:dyDescent="0.25">
      <c r="A38" t="s">
        <v>172</v>
      </c>
      <c r="B38" s="95">
        <f>ROUND(B15/D15,4)</f>
        <v>0.4521</v>
      </c>
      <c r="C38" s="95">
        <f>1-B38</f>
        <v>0.54790000000000005</v>
      </c>
      <c r="E38" s="95">
        <f>ROUND(E15/G15,4)</f>
        <v>0.44829999999999998</v>
      </c>
      <c r="F38" s="95">
        <f>1-E38</f>
        <v>0.55170000000000008</v>
      </c>
    </row>
    <row r="39" spans="1:7" x14ac:dyDescent="0.25">
      <c r="A39" t="s">
        <v>174</v>
      </c>
      <c r="B39" s="95">
        <f>ROUND(B17/D17,4)</f>
        <v>0.47610000000000002</v>
      </c>
      <c r="C39" s="95">
        <f>1-B39</f>
        <v>0.52390000000000003</v>
      </c>
      <c r="E39" s="95">
        <f>ROUND(E17/G17,4)</f>
        <v>0.46089999999999998</v>
      </c>
      <c r="F39" s="95">
        <f>1-E39</f>
        <v>0.53910000000000002</v>
      </c>
    </row>
    <row r="40" spans="1:7" x14ac:dyDescent="0.25">
      <c r="B40" s="95"/>
      <c r="C40" s="95"/>
      <c r="E40" s="95"/>
      <c r="F40" s="95"/>
    </row>
    <row r="41" spans="1:7" x14ac:dyDescent="0.25">
      <c r="A41" t="s">
        <v>175</v>
      </c>
      <c r="B41" s="95">
        <f>ROUND(B19/D19,4)</f>
        <v>0.4365</v>
      </c>
      <c r="C41" s="95">
        <f>1-B41</f>
        <v>0.5635</v>
      </c>
      <c r="E41" s="95">
        <f>ROUND(E19/G19,4)</f>
        <v>0.41830000000000001</v>
      </c>
      <c r="F41" s="95">
        <f>1-E41</f>
        <v>0.58169999999999999</v>
      </c>
    </row>
    <row r="42" spans="1:7" x14ac:dyDescent="0.25">
      <c r="A42" t="s">
        <v>178</v>
      </c>
      <c r="B42" s="95">
        <f>ROUND(B22/D22,4)</f>
        <v>0.2974</v>
      </c>
      <c r="C42" s="95">
        <f>1-B42</f>
        <v>0.7026</v>
      </c>
      <c r="E42" s="95">
        <f>ROUND(E22/G22,4)</f>
        <v>0.41189999999999999</v>
      </c>
      <c r="F42" s="95">
        <f>1-E42</f>
        <v>0.58810000000000007</v>
      </c>
    </row>
    <row r="44" spans="1:7" x14ac:dyDescent="0.25">
      <c r="A44" t="s">
        <v>179</v>
      </c>
      <c r="B44" s="95">
        <f>ROUND(B24/D24,4)</f>
        <v>0.44890000000000002</v>
      </c>
      <c r="C44" s="95">
        <f>1-B44</f>
        <v>0.55109999999999992</v>
      </c>
      <c r="E44" s="95">
        <f>ROUND(E24/G24,4)</f>
        <v>0.46810000000000002</v>
      </c>
      <c r="F44" s="95">
        <f>1-E44</f>
        <v>0.53190000000000004</v>
      </c>
    </row>
    <row r="46" spans="1:7" x14ac:dyDescent="0.25">
      <c r="A46" t="s">
        <v>183</v>
      </c>
      <c r="B46" s="91">
        <f t="shared" ref="B46:G46" si="3">B6+B8+B14+B19+B24</f>
        <v>1664265944.2</v>
      </c>
      <c r="C46" s="91">
        <f t="shared" si="3"/>
        <v>1675432571.5</v>
      </c>
      <c r="D46" s="91">
        <f t="shared" si="3"/>
        <v>3339698515.6999998</v>
      </c>
      <c r="E46" s="91">
        <f t="shared" si="3"/>
        <v>2929944801.5499997</v>
      </c>
      <c r="F46" s="91">
        <f t="shared" si="3"/>
        <v>3053229604.6500001</v>
      </c>
      <c r="G46" s="91">
        <f t="shared" si="3"/>
        <v>5983174406.1999998</v>
      </c>
    </row>
    <row r="47" spans="1:7" x14ac:dyDescent="0.25">
      <c r="A47" t="s">
        <v>184</v>
      </c>
      <c r="B47" s="91">
        <f t="shared" ref="B47:G47" si="4">B9+B15+B20</f>
        <v>311095075.10000002</v>
      </c>
      <c r="C47" s="91">
        <f t="shared" si="4"/>
        <v>379287866.89999998</v>
      </c>
      <c r="D47" s="91">
        <f t="shared" si="4"/>
        <v>690382942</v>
      </c>
      <c r="E47" s="91">
        <f t="shared" si="4"/>
        <v>551948179.4000001</v>
      </c>
      <c r="F47" s="91">
        <f t="shared" si="4"/>
        <v>680453017.79999995</v>
      </c>
      <c r="G47" s="91">
        <f t="shared" si="4"/>
        <v>1232401197.2</v>
      </c>
    </row>
    <row r="48" spans="1:7" x14ac:dyDescent="0.25">
      <c r="A48" t="s">
        <v>185</v>
      </c>
      <c r="B48" s="91">
        <f t="shared" ref="B48:G48" si="5">B11+B17+B22</f>
        <v>3451227837.7355781</v>
      </c>
      <c r="C48" s="91">
        <f t="shared" si="5"/>
        <v>3883550851.0887046</v>
      </c>
      <c r="D48" s="91">
        <f t="shared" si="5"/>
        <v>7334778688.8242826</v>
      </c>
      <c r="E48" s="91">
        <f t="shared" si="5"/>
        <v>5779620946.5462742</v>
      </c>
      <c r="F48" s="91">
        <f t="shared" si="5"/>
        <v>6832936139.6637278</v>
      </c>
      <c r="G48" s="91">
        <f t="shared" si="5"/>
        <v>12612557086.210003</v>
      </c>
    </row>
    <row r="50" spans="1:9" x14ac:dyDescent="0.25">
      <c r="A50" t="s">
        <v>183</v>
      </c>
      <c r="B50" s="95">
        <f>ROUND(B46/D46,4)</f>
        <v>0.49830000000000002</v>
      </c>
      <c r="C50" s="95">
        <f>ROUND(C46/D46,4)</f>
        <v>0.50170000000000003</v>
      </c>
      <c r="D50" s="95"/>
      <c r="E50" s="95">
        <f>ROUND(E46/G46,4)</f>
        <v>0.48970000000000002</v>
      </c>
      <c r="F50" s="95">
        <f>ROUND(F46/G46,4)</f>
        <v>0.51029999999999998</v>
      </c>
    </row>
    <row r="51" spans="1:9" x14ac:dyDescent="0.25">
      <c r="A51" t="s">
        <v>186</v>
      </c>
      <c r="B51" s="95">
        <f>ROUND(B47/D47,4)</f>
        <v>0.4506</v>
      </c>
      <c r="C51" s="95">
        <f>ROUND(C47/D47,4)</f>
        <v>0.5494</v>
      </c>
      <c r="D51" s="95"/>
      <c r="E51" s="95">
        <f>ROUND(E47/G47,4)</f>
        <v>0.44790000000000002</v>
      </c>
      <c r="F51" s="95">
        <f>ROUND(F47/G47,4)</f>
        <v>0.55210000000000004</v>
      </c>
    </row>
    <row r="52" spans="1:9" x14ac:dyDescent="0.25">
      <c r="A52" t="s">
        <v>187</v>
      </c>
      <c r="B52" s="95">
        <f>ROUND(B48/D48,4)</f>
        <v>0.47049999999999997</v>
      </c>
      <c r="C52" s="95">
        <f>ROUND(C48/D48,4)</f>
        <v>0.52949999999999997</v>
      </c>
      <c r="D52" s="95"/>
      <c r="E52" s="95">
        <f>ROUND(E48/G48,4)</f>
        <v>0.4582</v>
      </c>
      <c r="F52" s="95">
        <f>ROUND(F48/G48,4)</f>
        <v>0.54179999999999995</v>
      </c>
    </row>
    <row r="59" spans="1:9" x14ac:dyDescent="0.25">
      <c r="B59" s="98"/>
    </row>
    <row r="60" spans="1:9" x14ac:dyDescent="0.25">
      <c r="B60" s="106"/>
      <c r="C60" s="106"/>
      <c r="D60" s="106"/>
    </row>
    <row r="61" spans="1:9" x14ac:dyDescent="0.25">
      <c r="B61" s="107"/>
      <c r="C61" s="107"/>
      <c r="D61" s="107"/>
      <c r="F61" s="91"/>
      <c r="G61" s="91"/>
      <c r="H61" s="108"/>
      <c r="I61" s="108"/>
    </row>
    <row r="62" spans="1:9" x14ac:dyDescent="0.25">
      <c r="B62" s="109"/>
      <c r="C62" s="109"/>
      <c r="D62" s="98"/>
      <c r="F62" s="91"/>
      <c r="G62" s="91"/>
    </row>
    <row r="63" spans="1:9" x14ac:dyDescent="0.25">
      <c r="B63" s="107"/>
      <c r="C63" s="107"/>
      <c r="D63" s="98"/>
      <c r="F63" s="91"/>
      <c r="G63" s="91"/>
      <c r="H63" s="108"/>
      <c r="I63" s="108"/>
    </row>
    <row r="64" spans="1:9" x14ac:dyDescent="0.25">
      <c r="B64" s="110"/>
      <c r="C64" s="110"/>
      <c r="D64" s="98"/>
      <c r="F64" s="91"/>
      <c r="G64" s="91"/>
      <c r="H64" s="108"/>
      <c r="I64" s="108"/>
    </row>
    <row r="66" spans="2:9" x14ac:dyDescent="0.25">
      <c r="B66" s="98"/>
    </row>
    <row r="67" spans="2:9" x14ac:dyDescent="0.25">
      <c r="B67" s="106"/>
      <c r="C67" s="106"/>
      <c r="D67" s="106"/>
    </row>
    <row r="68" spans="2:9" x14ac:dyDescent="0.25">
      <c r="B68" s="107"/>
      <c r="C68" s="107"/>
      <c r="D68" s="107"/>
      <c r="F68" s="91"/>
      <c r="G68" s="91"/>
      <c r="H68" s="108"/>
      <c r="I68" s="108"/>
    </row>
    <row r="69" spans="2:9" x14ac:dyDescent="0.25">
      <c r="B69" s="109"/>
      <c r="C69" s="109"/>
      <c r="D69" s="98"/>
      <c r="F69" s="91"/>
      <c r="G69" s="91"/>
    </row>
    <row r="70" spans="2:9" x14ac:dyDescent="0.25">
      <c r="B70" s="107"/>
      <c r="C70" s="107"/>
      <c r="D70" s="98"/>
      <c r="F70" s="91"/>
      <c r="G70" s="91"/>
      <c r="H70" s="108"/>
      <c r="I70" s="108"/>
    </row>
    <row r="71" spans="2:9" x14ac:dyDescent="0.25">
      <c r="B71" s="110"/>
      <c r="C71" s="110"/>
      <c r="D71" s="98"/>
      <c r="F71" s="91"/>
      <c r="G71" s="91"/>
      <c r="H71" s="108"/>
      <c r="I71" s="108"/>
    </row>
    <row r="73" spans="2:9" x14ac:dyDescent="0.25">
      <c r="B73" s="98"/>
    </row>
    <row r="74" spans="2:9" x14ac:dyDescent="0.25">
      <c r="B74" s="106"/>
      <c r="C74" s="106"/>
      <c r="D74" s="106"/>
    </row>
    <row r="75" spans="2:9" x14ac:dyDescent="0.25">
      <c r="B75" s="107"/>
      <c r="C75" s="107"/>
      <c r="D75" s="107"/>
      <c r="F75" s="91"/>
      <c r="G75" s="91"/>
      <c r="H75" s="108"/>
      <c r="I75" s="108"/>
    </row>
    <row r="76" spans="2:9" x14ac:dyDescent="0.25">
      <c r="B76" s="109"/>
      <c r="C76" s="109"/>
      <c r="D76" s="98"/>
      <c r="F76" s="91"/>
      <c r="G76" s="91"/>
    </row>
    <row r="77" spans="2:9" x14ac:dyDescent="0.25">
      <c r="B77" s="107"/>
      <c r="C77" s="107"/>
      <c r="D77" s="98"/>
      <c r="F77" s="91"/>
      <c r="G77" s="91"/>
      <c r="H77" s="108"/>
      <c r="I77" s="108"/>
    </row>
    <row r="78" spans="2:9" x14ac:dyDescent="0.25">
      <c r="B78" s="110"/>
      <c r="C78" s="110"/>
      <c r="D78" s="98"/>
      <c r="F78" s="91"/>
      <c r="G78" s="91"/>
      <c r="H78" s="108"/>
      <c r="I78" s="108"/>
    </row>
  </sheetData>
  <mergeCells count="1">
    <mergeCell ref="A1:G1"/>
  </mergeCells>
  <hyperlinks>
    <hyperlink ref="A27" r:id="rId1" xr:uid="{00000000-0004-0000-0800-000000000000}"/>
    <hyperlink ref="A29" r:id="rId2" xr:uid="{00000000-0004-0000-0800-000001000000}"/>
    <hyperlink ref="A28" r:id="rId3" xr:uid="{00000000-0004-0000-0800-000002000000}"/>
  </hyperlinks>
  <pageMargins left="0.75" right="0.75" top="1" bottom="1" header="0.5" footer="0.5"/>
  <pageSetup scale="75" orientation="portrait" r:id="rId4"/>
  <headerFooter alignWithMargins="0"/>
  <legacyDrawing r:id="rId5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indexed="8"/>
  </sheetPr>
  <dimension ref="A1:W58"/>
  <sheetViews>
    <sheetView zoomScaleNormal="100" zoomScaleSheetLayoutView="120" workbookViewId="0">
      <selection sqref="A1:F1"/>
    </sheetView>
  </sheetViews>
  <sheetFormatPr defaultRowHeight="12.5" x14ac:dyDescent="0.25"/>
  <cols>
    <col min="1" max="1" width="7.26953125" customWidth="1"/>
    <col min="2" max="2" width="5.1796875" customWidth="1"/>
    <col min="3" max="3" width="15" bestFit="1" customWidth="1"/>
    <col min="4" max="4" width="5.54296875" customWidth="1"/>
    <col min="5" max="5" width="9.54296875" bestFit="1" customWidth="1"/>
    <col min="6" max="6" width="25.26953125" customWidth="1"/>
    <col min="7" max="7" width="2.26953125" customWidth="1"/>
    <col min="8" max="8" width="8.453125" bestFit="1" customWidth="1"/>
    <col min="9" max="9" width="4.1796875" bestFit="1" customWidth="1"/>
    <col min="10" max="10" width="14.81640625" bestFit="1" customWidth="1"/>
    <col min="11" max="11" width="1.26953125" customWidth="1"/>
    <col min="12" max="12" width="9.26953125" bestFit="1" customWidth="1"/>
    <col min="13" max="13" width="5.26953125" customWidth="1"/>
    <col min="15" max="15" width="1.453125" customWidth="1"/>
    <col min="17" max="17" width="16.54296875" bestFit="1" customWidth="1"/>
    <col min="20" max="20" width="12.81640625" bestFit="1" customWidth="1"/>
  </cols>
  <sheetData>
    <row r="1" spans="1:23" ht="13" x14ac:dyDescent="0.3">
      <c r="A1" s="777" t="s">
        <v>188</v>
      </c>
      <c r="B1" s="778"/>
      <c r="C1" s="778"/>
      <c r="D1" s="778"/>
      <c r="E1" s="778"/>
      <c r="F1" s="779"/>
    </row>
    <row r="2" spans="1:23" ht="13.5" thickBot="1" x14ac:dyDescent="0.35">
      <c r="A2" s="780" t="s">
        <v>189</v>
      </c>
      <c r="B2" s="773"/>
      <c r="C2" s="773"/>
      <c r="D2" s="773"/>
      <c r="E2" s="773"/>
      <c r="F2" s="781"/>
      <c r="S2" s="191" t="s">
        <v>337</v>
      </c>
      <c r="T2" s="191"/>
      <c r="U2" s="191"/>
      <c r="V2" s="191"/>
      <c r="W2" s="191"/>
    </row>
    <row r="3" spans="1:23" ht="13.5" thickBot="1" x14ac:dyDescent="0.35">
      <c r="A3" s="111"/>
      <c r="B3" s="112"/>
      <c r="C3" s="113">
        <v>2017</v>
      </c>
      <c r="D3" s="113" t="s">
        <v>190</v>
      </c>
      <c r="E3" s="112"/>
      <c r="F3" s="114"/>
      <c r="H3" s="782" t="s">
        <v>336</v>
      </c>
      <c r="I3" s="783"/>
      <c r="J3" s="783"/>
      <c r="K3" s="783"/>
      <c r="L3" s="784"/>
      <c r="S3" s="621" t="s">
        <v>552</v>
      </c>
      <c r="T3" s="624"/>
      <c r="U3" s="621"/>
      <c r="V3" s="621"/>
      <c r="W3" s="621"/>
    </row>
    <row r="4" spans="1:23" ht="13" x14ac:dyDescent="0.3">
      <c r="A4" s="115" t="s">
        <v>191</v>
      </c>
      <c r="F4" s="49"/>
      <c r="H4" s="41"/>
      <c r="L4" s="49"/>
    </row>
    <row r="5" spans="1:23" ht="13" x14ac:dyDescent="0.3">
      <c r="A5" s="115"/>
      <c r="C5" s="84" t="s">
        <v>192</v>
      </c>
      <c r="F5" s="49"/>
      <c r="H5" s="41" t="s">
        <v>193</v>
      </c>
      <c r="I5" t="s">
        <v>194</v>
      </c>
      <c r="J5" s="94">
        <f>+'[5]Standby - Rider Q'!$J$17</f>
        <v>1409060096.8998499</v>
      </c>
      <c r="L5" s="686">
        <f>ROUND(J5/J7,4)</f>
        <v>0.24660000000000001</v>
      </c>
    </row>
    <row r="6" spans="1:23" x14ac:dyDescent="0.25">
      <c r="A6" s="41"/>
      <c r="C6" s="117" t="s">
        <v>195</v>
      </c>
      <c r="F6" s="118"/>
      <c r="H6" s="41"/>
      <c r="I6" t="s">
        <v>196</v>
      </c>
      <c r="J6" s="94">
        <f>+'[5]Standby - Rider Q'!$L$17</f>
        <v>4304415044.3892899</v>
      </c>
      <c r="L6" s="684">
        <f>ROUND(J6/J7,4)</f>
        <v>0.75339999999999996</v>
      </c>
    </row>
    <row r="7" spans="1:23" ht="30.5" x14ac:dyDescent="0.25">
      <c r="A7" s="41" t="s">
        <v>193</v>
      </c>
      <c r="B7" t="s">
        <v>194</v>
      </c>
      <c r="C7" s="94">
        <f>(('[4]SC 1&amp;7 Non Low Income'!$H$16+'[4]SC 1&amp;7 Low Income'!$H$16)*'[12]2017 DATA'!$B$8)+'[4]SC 1&amp;7 TODS Rate II'!$H$14</f>
        <v>2461988147.4748554</v>
      </c>
      <c r="E7" s="120">
        <f>ROUND(C7/C9,4)</f>
        <v>0.44840000000000002</v>
      </c>
      <c r="F7" s="121" t="s">
        <v>197</v>
      </c>
      <c r="G7" s="98"/>
      <c r="H7" s="41"/>
      <c r="J7" s="91">
        <f>SUM(J5:J6)</f>
        <v>5713475141.2891397</v>
      </c>
      <c r="L7" s="683">
        <f>SUM(L5:L6)</f>
        <v>1</v>
      </c>
      <c r="Q7" s="194"/>
      <c r="R7" s="195"/>
      <c r="S7" s="195"/>
      <c r="T7" s="195"/>
      <c r="U7" s="195"/>
      <c r="V7" s="195"/>
    </row>
    <row r="8" spans="1:23" x14ac:dyDescent="0.25">
      <c r="A8" s="41"/>
      <c r="B8" t="s">
        <v>196</v>
      </c>
      <c r="C8" s="193">
        <f>(('[4]SC 1&amp;7 Non Low Income'!$H$16+'[4]SC 1&amp;7 Low Income'!$H$16)*'[12]2017 DATA'!$C$8+'[4]SC 1&amp;7 TODS Rate II'!$H$15)</f>
        <v>3028805717.1751451</v>
      </c>
      <c r="E8" s="122">
        <f>ROUND(C8/C9,4)</f>
        <v>0.55159999999999998</v>
      </c>
      <c r="F8" s="123"/>
      <c r="G8" s="98"/>
      <c r="H8" s="41"/>
      <c r="J8" s="91"/>
      <c r="L8" s="685"/>
      <c r="Q8" s="194"/>
      <c r="R8" s="195"/>
      <c r="S8" s="195"/>
      <c r="T8" s="195"/>
      <c r="U8" s="195"/>
      <c r="V8" s="195"/>
    </row>
    <row r="9" spans="1:23" x14ac:dyDescent="0.25">
      <c r="A9" s="41"/>
      <c r="C9" s="91">
        <f>SUM(C7:C8)</f>
        <v>5490793864.6500006</v>
      </c>
      <c r="E9" s="120">
        <f>SUM(E7:E8)</f>
        <v>1</v>
      </c>
      <c r="F9" s="124"/>
      <c r="G9" s="98"/>
      <c r="H9" s="41" t="s">
        <v>198</v>
      </c>
      <c r="I9" t="s">
        <v>194</v>
      </c>
      <c r="J9" s="94">
        <f>+'[5]Standby - Rider Q'!$D$17</f>
        <v>1944331791.19607</v>
      </c>
      <c r="L9" s="686">
        <f>ROUND(J9/J11,4)</f>
        <v>0.2429</v>
      </c>
      <c r="Q9" s="196"/>
      <c r="R9" s="195"/>
      <c r="S9" s="195"/>
      <c r="T9" s="195"/>
      <c r="U9" s="195"/>
      <c r="V9" s="195"/>
    </row>
    <row r="10" spans="1:23" x14ac:dyDescent="0.25">
      <c r="A10" s="41"/>
      <c r="C10" s="91"/>
      <c r="F10" s="49"/>
      <c r="H10" s="41"/>
      <c r="I10" t="s">
        <v>196</v>
      </c>
      <c r="J10" s="94">
        <f>+'[5]Standby - Rider Q'!$E$17</f>
        <v>6058811536.9281502</v>
      </c>
      <c r="L10" s="119">
        <f>ROUND(J10/J11,4)</f>
        <v>0.7571</v>
      </c>
      <c r="Q10" s="194"/>
      <c r="R10" s="195"/>
      <c r="S10" s="195"/>
      <c r="T10" s="195"/>
      <c r="U10" s="195"/>
      <c r="V10" s="195"/>
    </row>
    <row r="11" spans="1:23" x14ac:dyDescent="0.25">
      <c r="A11" s="41" t="s">
        <v>198</v>
      </c>
      <c r="B11" t="s">
        <v>194</v>
      </c>
      <c r="C11" s="193">
        <f>(('[4]SC 1&amp;7 Non Low Income'!$H$10+'[4]SC 1&amp;7 Low Income'!$H$10)*'[12]2017 DATA'!$F$8)+'[4]SC 1&amp;7 TODS Rate II'!$H$10</f>
        <v>3386549743.1698236</v>
      </c>
      <c r="E11" s="120">
        <f>ROUND(C11/C13,4)</f>
        <v>0.43630000000000002</v>
      </c>
      <c r="F11" s="124"/>
      <c r="H11" s="41"/>
      <c r="J11" s="91">
        <f>SUM(J9:J10)</f>
        <v>8003143328.1242199</v>
      </c>
      <c r="L11" s="116">
        <f>SUM(L9:L10)</f>
        <v>1</v>
      </c>
      <c r="Q11" s="195"/>
      <c r="R11" s="195"/>
      <c r="S11" s="195"/>
      <c r="T11" s="193"/>
      <c r="U11" s="195"/>
      <c r="V11" s="195"/>
    </row>
    <row r="12" spans="1:23" x14ac:dyDescent="0.25">
      <c r="A12" s="41"/>
      <c r="B12" t="s">
        <v>196</v>
      </c>
      <c r="C12" s="193">
        <f>(('[4]SC 1&amp;7 Non Low Income'!$H$10+'[4]SC 1&amp;7 Low Income'!$H$10)*'[13]2013 DATA'!$G$8)+'[4]SC 1&amp;7 TODS Rate II'!$H$11</f>
        <v>4374604620.0170155</v>
      </c>
      <c r="E12" s="122">
        <f>ROUND(C12/C13,4)</f>
        <v>0.56369999999999998</v>
      </c>
      <c r="F12" s="124"/>
      <c r="H12" s="41"/>
      <c r="L12" s="49"/>
      <c r="Q12" s="195"/>
      <c r="R12" s="195"/>
      <c r="S12" s="195"/>
      <c r="T12" s="193"/>
      <c r="U12" s="195"/>
      <c r="V12" s="195"/>
    </row>
    <row r="13" spans="1:23" x14ac:dyDescent="0.25">
      <c r="A13" s="41"/>
      <c r="C13" s="91">
        <f>SUM(C11:C12)</f>
        <v>7761154363.1868391</v>
      </c>
      <c r="E13" s="120">
        <f>SUM(E11:E12)</f>
        <v>1</v>
      </c>
      <c r="F13" s="124"/>
      <c r="H13" s="41" t="s">
        <v>199</v>
      </c>
      <c r="I13" t="s">
        <v>194</v>
      </c>
      <c r="J13" s="91">
        <f>+J5+J9</f>
        <v>3353391888.0959196</v>
      </c>
      <c r="L13" s="116">
        <f>ROUND(J13/J15,4)</f>
        <v>0.2445</v>
      </c>
      <c r="Q13" s="195"/>
      <c r="R13" s="195"/>
      <c r="S13" s="195"/>
      <c r="T13" s="197"/>
      <c r="U13" s="195"/>
      <c r="V13" s="195"/>
    </row>
    <row r="14" spans="1:23" x14ac:dyDescent="0.25">
      <c r="A14" s="41"/>
      <c r="F14" s="49"/>
      <c r="H14" s="41"/>
      <c r="I14" t="s">
        <v>196</v>
      </c>
      <c r="J14" s="125">
        <f>+J6+J10</f>
        <v>10363226581.31744</v>
      </c>
      <c r="L14" s="119">
        <f>ROUND(J14/J15,4)</f>
        <v>0.75549999999999995</v>
      </c>
      <c r="Q14" s="195"/>
      <c r="R14" s="195"/>
      <c r="S14" s="195"/>
      <c r="T14" s="195"/>
      <c r="U14" s="195"/>
      <c r="V14" s="195"/>
    </row>
    <row r="15" spans="1:23" x14ac:dyDescent="0.25">
      <c r="A15" s="41" t="s">
        <v>199</v>
      </c>
      <c r="B15" t="s">
        <v>194</v>
      </c>
      <c r="C15" s="91">
        <f>+C7+C11</f>
        <v>5848537890.6446791</v>
      </c>
      <c r="E15" s="120">
        <f>ROUND(C15/C17,4)</f>
        <v>0.44130000000000003</v>
      </c>
      <c r="F15" s="123"/>
      <c r="H15" s="41"/>
      <c r="J15" s="91">
        <f>SUM(J13:J14)</f>
        <v>13716618469.413361</v>
      </c>
      <c r="L15" s="116">
        <f>SUM(L13:L14)</f>
        <v>1</v>
      </c>
      <c r="Q15" s="198"/>
      <c r="R15" s="195"/>
      <c r="S15" s="195"/>
      <c r="T15" s="197"/>
      <c r="U15" s="195"/>
      <c r="V15" s="195"/>
    </row>
    <row r="16" spans="1:23" ht="13" thickBot="1" x14ac:dyDescent="0.3">
      <c r="A16" s="41"/>
      <c r="B16" t="s">
        <v>196</v>
      </c>
      <c r="C16" s="125">
        <f>+C8+C12</f>
        <v>7403410337.1921606</v>
      </c>
      <c r="E16" s="122">
        <f>ROUND(C16/C17,4)</f>
        <v>0.55869999999999997</v>
      </c>
      <c r="F16" s="123"/>
      <c r="H16" s="126"/>
      <c r="I16" s="47"/>
      <c r="J16" s="47"/>
      <c r="K16" s="47"/>
      <c r="L16" s="127"/>
      <c r="Q16" s="195"/>
      <c r="R16" s="195"/>
      <c r="S16" s="195"/>
      <c r="T16" s="199"/>
      <c r="U16" s="195"/>
      <c r="V16" s="195"/>
    </row>
    <row r="17" spans="1:22" x14ac:dyDescent="0.25">
      <c r="A17" s="41"/>
      <c r="C17" s="91">
        <f>SUM(C15:C16)</f>
        <v>13251948227.83684</v>
      </c>
      <c r="E17" s="120">
        <f>SUM(E15:E16)</f>
        <v>1</v>
      </c>
      <c r="F17" s="123"/>
      <c r="H17" s="109"/>
      <c r="Q17" s="195"/>
      <c r="R17" s="195"/>
      <c r="S17" s="195"/>
      <c r="T17" s="197"/>
      <c r="U17" s="195"/>
      <c r="V17" s="195"/>
    </row>
    <row r="18" spans="1:22" x14ac:dyDescent="0.25">
      <c r="A18" s="41"/>
      <c r="F18" s="49"/>
      <c r="Q18" s="195"/>
      <c r="R18" s="195"/>
      <c r="S18" s="195"/>
      <c r="T18" s="195"/>
      <c r="U18" s="195"/>
      <c r="V18" s="195"/>
    </row>
    <row r="19" spans="1:22" x14ac:dyDescent="0.25">
      <c r="A19" s="41"/>
      <c r="F19" s="49"/>
      <c r="Q19" s="195"/>
      <c r="R19" s="195"/>
      <c r="S19" s="195"/>
      <c r="T19" s="195"/>
      <c r="U19" s="195"/>
      <c r="V19" s="195"/>
    </row>
    <row r="20" spans="1:22" ht="13" x14ac:dyDescent="0.3">
      <c r="A20" s="115" t="s">
        <v>200</v>
      </c>
      <c r="F20" s="49"/>
      <c r="Q20" s="195"/>
      <c r="R20" s="195"/>
      <c r="S20" s="195"/>
      <c r="T20" s="195"/>
      <c r="U20" s="195"/>
      <c r="V20" s="195"/>
    </row>
    <row r="21" spans="1:22" ht="13" x14ac:dyDescent="0.3">
      <c r="A21" s="115"/>
      <c r="C21" s="84" t="s">
        <v>201</v>
      </c>
      <c r="F21" s="49"/>
      <c r="Q21" s="195"/>
      <c r="R21" s="195"/>
      <c r="S21" s="195"/>
      <c r="T21" s="200"/>
      <c r="U21" s="195"/>
      <c r="V21" s="195"/>
    </row>
    <row r="22" spans="1:22" x14ac:dyDescent="0.25">
      <c r="A22" s="41"/>
      <c r="C22" s="117" t="s">
        <v>195</v>
      </c>
      <c r="F22" s="118"/>
      <c r="Q22" s="195"/>
      <c r="R22" s="195"/>
      <c r="S22" s="195"/>
      <c r="T22" s="201"/>
      <c r="U22" s="195"/>
      <c r="V22" s="195"/>
    </row>
    <row r="23" spans="1:22" x14ac:dyDescent="0.25">
      <c r="A23" s="41" t="s">
        <v>193</v>
      </c>
      <c r="B23" t="s">
        <v>194</v>
      </c>
      <c r="C23" s="193">
        <f>('[4]SC 2'!$H$16*'[12]2017 DATA'!$B$11)+'[4]SC 2 TODS'!$H$14</f>
        <v>372755319.06523937</v>
      </c>
      <c r="E23" s="120">
        <f>ROUND(C23/C25,4)</f>
        <v>0.49159999999999998</v>
      </c>
      <c r="F23" s="124"/>
      <c r="G23" s="98"/>
      <c r="H23" s="109"/>
      <c r="Q23" s="195"/>
      <c r="R23" s="195"/>
      <c r="S23" s="195"/>
      <c r="T23" s="193"/>
      <c r="U23" s="195"/>
      <c r="V23" s="195"/>
    </row>
    <row r="24" spans="1:22" x14ac:dyDescent="0.25">
      <c r="A24" s="41"/>
      <c r="B24" t="s">
        <v>196</v>
      </c>
      <c r="C24" s="193">
        <f>('[4]SC 2'!$H$16*'[12]2017 DATA'!$C$11)+'[4]SC 2 TODS'!$H$15</f>
        <v>385425447.93476069</v>
      </c>
      <c r="E24" s="122">
        <f>ROUND(C24/C25,4)</f>
        <v>0.50839999999999996</v>
      </c>
      <c r="F24" s="123"/>
      <c r="G24" s="98"/>
      <c r="H24" s="128"/>
      <c r="Q24" s="195"/>
      <c r="R24" s="195"/>
      <c r="S24" s="195"/>
      <c r="T24" s="193"/>
      <c r="U24" s="195"/>
      <c r="V24" s="195"/>
    </row>
    <row r="25" spans="1:22" x14ac:dyDescent="0.25">
      <c r="A25" s="41"/>
      <c r="C25" s="91">
        <f>SUM(C23:C24)</f>
        <v>758180767</v>
      </c>
      <c r="E25" s="120">
        <f>SUM(E23:E24)</f>
        <v>1</v>
      </c>
      <c r="F25" s="124"/>
      <c r="G25" s="98"/>
      <c r="H25" s="109"/>
      <c r="Q25" s="195"/>
      <c r="R25" s="195"/>
      <c r="S25" s="195"/>
      <c r="T25" s="197"/>
      <c r="U25" s="195"/>
      <c r="V25" s="195"/>
    </row>
    <row r="26" spans="1:22" x14ac:dyDescent="0.25">
      <c r="A26" s="41"/>
      <c r="C26" s="91"/>
      <c r="F26" s="49"/>
      <c r="Q26" s="195"/>
      <c r="R26" s="195"/>
      <c r="S26" s="195"/>
      <c r="T26" s="197"/>
      <c r="U26" s="195"/>
      <c r="V26" s="195"/>
    </row>
    <row r="27" spans="1:22" x14ac:dyDescent="0.25">
      <c r="A27" s="41" t="s">
        <v>198</v>
      </c>
      <c r="B27" t="s">
        <v>194</v>
      </c>
      <c r="C27" s="193">
        <f>('[4]SC 2'!$H$12*'[12]2017 DATA'!$F$11)+'[4]SC 2 TODS'!$H$10</f>
        <v>682564273.15643811</v>
      </c>
      <c r="E27" s="120">
        <f>ROUND(C27/C29,4)</f>
        <v>0.47349999999999998</v>
      </c>
      <c r="F27" s="124"/>
      <c r="H27" s="109"/>
      <c r="Q27" s="195"/>
      <c r="R27" s="195"/>
      <c r="S27" s="195"/>
      <c r="T27" s="193"/>
      <c r="U27" s="195"/>
      <c r="V27" s="195"/>
    </row>
    <row r="28" spans="1:22" x14ac:dyDescent="0.25">
      <c r="A28" s="41"/>
      <c r="B28" t="s">
        <v>196</v>
      </c>
      <c r="C28" s="193">
        <f>('[4]SC 2'!$H$12*'[12]2017 DATA'!$G$11)+'[4]SC 2 TODS'!$H$11</f>
        <v>759039100.84356177</v>
      </c>
      <c r="E28" s="122">
        <f>ROUND(C28/C29,4)</f>
        <v>0.52649999999999997</v>
      </c>
      <c r="F28" s="124"/>
      <c r="H28" s="128"/>
      <c r="Q28" s="195"/>
      <c r="R28" s="195"/>
      <c r="S28" s="195"/>
      <c r="T28" s="193"/>
      <c r="U28" s="195"/>
      <c r="V28" s="195"/>
    </row>
    <row r="29" spans="1:22" x14ac:dyDescent="0.25">
      <c r="A29" s="41"/>
      <c r="C29" s="91">
        <f>SUM(C27:C28)</f>
        <v>1441603374</v>
      </c>
      <c r="E29" s="120">
        <f>SUM(E27:E28)</f>
        <v>1</v>
      </c>
      <c r="F29" s="124"/>
      <c r="H29" s="109"/>
      <c r="Q29" s="195"/>
      <c r="R29" s="195"/>
      <c r="S29" s="195"/>
      <c r="T29" s="197"/>
      <c r="U29" s="195"/>
      <c r="V29" s="195"/>
    </row>
    <row r="30" spans="1:22" x14ac:dyDescent="0.25">
      <c r="A30" s="41"/>
      <c r="F30" s="49"/>
      <c r="Q30" s="195"/>
      <c r="R30" s="195"/>
      <c r="S30" s="195"/>
      <c r="T30" s="195"/>
      <c r="U30" s="195"/>
      <c r="V30" s="195"/>
    </row>
    <row r="31" spans="1:22" x14ac:dyDescent="0.25">
      <c r="A31" s="41" t="s">
        <v>199</v>
      </c>
      <c r="B31" t="s">
        <v>194</v>
      </c>
      <c r="C31" s="91">
        <f>+C23+C27</f>
        <v>1055319592.2216775</v>
      </c>
      <c r="E31" s="120">
        <f>ROUND(C31/C33,4)</f>
        <v>0.47970000000000002</v>
      </c>
      <c r="F31" s="123"/>
      <c r="H31" s="109"/>
      <c r="Q31" s="195"/>
      <c r="R31" s="195"/>
      <c r="S31" s="195"/>
      <c r="T31" s="197"/>
      <c r="U31" s="195"/>
      <c r="V31" s="195"/>
    </row>
    <row r="32" spans="1:22" x14ac:dyDescent="0.25">
      <c r="A32" s="41"/>
      <c r="B32" t="s">
        <v>196</v>
      </c>
      <c r="C32" s="125">
        <f>+C24+C28</f>
        <v>1144464548.7783225</v>
      </c>
      <c r="E32" s="122">
        <f>ROUND(C32/C33,4)</f>
        <v>0.52029999999999998</v>
      </c>
      <c r="F32" s="123"/>
      <c r="H32" s="128"/>
      <c r="Q32" s="195"/>
      <c r="R32" s="195"/>
      <c r="S32" s="195"/>
      <c r="T32" s="199"/>
      <c r="U32" s="195"/>
      <c r="V32" s="195"/>
    </row>
    <row r="33" spans="1:22" x14ac:dyDescent="0.25">
      <c r="A33" s="41"/>
      <c r="C33" s="91">
        <f>SUM(C31:C32)</f>
        <v>2199784141</v>
      </c>
      <c r="E33" s="120">
        <f>SUM(E31:E32)</f>
        <v>1</v>
      </c>
      <c r="F33" s="123"/>
      <c r="H33" s="109"/>
      <c r="Q33" s="195"/>
      <c r="R33" s="195"/>
      <c r="S33" s="195"/>
      <c r="T33" s="197"/>
      <c r="U33" s="195"/>
      <c r="V33" s="195"/>
    </row>
    <row r="34" spans="1:22" x14ac:dyDescent="0.25">
      <c r="A34" s="41"/>
      <c r="F34" s="49"/>
      <c r="Q34" s="195"/>
      <c r="R34" s="195"/>
      <c r="S34" s="195"/>
      <c r="T34" s="195"/>
      <c r="U34" s="195"/>
      <c r="V34" s="195"/>
    </row>
    <row r="35" spans="1:22" hidden="1" x14ac:dyDescent="0.25">
      <c r="A35" s="41"/>
      <c r="F35" s="49"/>
      <c r="Q35" s="195"/>
      <c r="R35" s="195"/>
      <c r="S35" s="195"/>
      <c r="T35" s="195"/>
      <c r="U35" s="195"/>
      <c r="V35" s="195"/>
    </row>
    <row r="36" spans="1:22" ht="13" hidden="1" x14ac:dyDescent="0.3">
      <c r="A36" s="115" t="s">
        <v>92</v>
      </c>
      <c r="F36" s="49"/>
      <c r="Q36" s="195"/>
      <c r="R36" s="195"/>
      <c r="S36" s="195"/>
      <c r="T36" s="195"/>
      <c r="U36" s="195"/>
      <c r="V36" s="195"/>
    </row>
    <row r="37" spans="1:22" ht="13" hidden="1" x14ac:dyDescent="0.3">
      <c r="A37" s="115" t="s">
        <v>94</v>
      </c>
      <c r="C37" s="84" t="s">
        <v>202</v>
      </c>
      <c r="F37" s="49"/>
      <c r="Q37" s="195"/>
      <c r="R37" s="195"/>
      <c r="S37" s="195"/>
      <c r="T37" s="195"/>
      <c r="U37" s="195"/>
      <c r="V37" s="195"/>
    </row>
    <row r="38" spans="1:22" hidden="1" x14ac:dyDescent="0.25">
      <c r="A38" s="41"/>
      <c r="C38" s="117" t="s">
        <v>195</v>
      </c>
      <c r="F38" s="49"/>
      <c r="Q38" s="195"/>
      <c r="R38" s="195"/>
      <c r="S38" s="195"/>
      <c r="T38" s="195"/>
      <c r="U38" s="195"/>
      <c r="V38" s="195"/>
    </row>
    <row r="39" spans="1:22" hidden="1" x14ac:dyDescent="0.25">
      <c r="A39" s="41" t="s">
        <v>193</v>
      </c>
      <c r="B39" t="s">
        <v>194</v>
      </c>
      <c r="C39" s="94">
        <v>0</v>
      </c>
      <c r="E39" s="120" t="e">
        <f>ROUND(C39/C41,4)</f>
        <v>#DIV/0!</v>
      </c>
      <c r="F39" s="124"/>
      <c r="G39" s="98"/>
      <c r="H39" s="109"/>
      <c r="Q39" s="195"/>
      <c r="R39" s="195"/>
      <c r="S39" s="195"/>
      <c r="T39" s="195"/>
      <c r="U39" s="195"/>
      <c r="V39" s="195"/>
    </row>
    <row r="40" spans="1:22" hidden="1" x14ac:dyDescent="0.25">
      <c r="A40" s="41"/>
      <c r="B40" t="s">
        <v>196</v>
      </c>
      <c r="C40" s="129">
        <v>0</v>
      </c>
      <c r="E40" s="122" t="e">
        <f>ROUND(C40/C41,4)</f>
        <v>#DIV/0!</v>
      </c>
      <c r="F40" s="123"/>
      <c r="G40" s="98"/>
      <c r="H40" s="128"/>
      <c r="Q40" s="195"/>
      <c r="R40" s="195"/>
      <c r="S40" s="195"/>
      <c r="T40" s="195"/>
      <c r="U40" s="195"/>
      <c r="V40" s="195"/>
    </row>
    <row r="41" spans="1:22" hidden="1" x14ac:dyDescent="0.25">
      <c r="A41" s="41"/>
      <c r="C41" s="91">
        <f>SUM(C39:C40)</f>
        <v>0</v>
      </c>
      <c r="E41" s="120" t="e">
        <f>SUM(E39:E40)</f>
        <v>#DIV/0!</v>
      </c>
      <c r="F41" s="124"/>
      <c r="G41" s="98"/>
      <c r="H41" s="109"/>
      <c r="Q41" s="195"/>
      <c r="R41" s="195"/>
      <c r="S41" s="195"/>
      <c r="T41" s="195"/>
      <c r="U41" s="195"/>
      <c r="V41" s="195"/>
    </row>
    <row r="42" spans="1:22" hidden="1" x14ac:dyDescent="0.25">
      <c r="A42" s="41"/>
      <c r="C42" s="91"/>
      <c r="F42" s="49"/>
      <c r="Q42" s="195"/>
      <c r="R42" s="195"/>
      <c r="S42" s="195"/>
      <c r="T42" s="195"/>
      <c r="U42" s="195"/>
      <c r="V42" s="195"/>
    </row>
    <row r="43" spans="1:22" hidden="1" x14ac:dyDescent="0.25">
      <c r="A43" s="41" t="s">
        <v>198</v>
      </c>
      <c r="B43" t="s">
        <v>194</v>
      </c>
      <c r="C43" s="94">
        <v>0</v>
      </c>
      <c r="E43" s="120" t="e">
        <f>ROUND(C43/C45,4)</f>
        <v>#DIV/0!</v>
      </c>
      <c r="F43" s="124"/>
      <c r="H43" s="109"/>
      <c r="Q43" s="195"/>
      <c r="R43" s="195"/>
      <c r="S43" s="195"/>
      <c r="T43" s="195"/>
      <c r="U43" s="195"/>
      <c r="V43" s="195"/>
    </row>
    <row r="44" spans="1:22" hidden="1" x14ac:dyDescent="0.25">
      <c r="A44" s="41"/>
      <c r="B44" t="s">
        <v>196</v>
      </c>
      <c r="C44" s="129">
        <v>0</v>
      </c>
      <c r="E44" s="122" t="e">
        <f>ROUND(C44/C45,4)</f>
        <v>#DIV/0!</v>
      </c>
      <c r="F44" s="124"/>
      <c r="H44" s="128"/>
      <c r="Q44" s="195"/>
      <c r="R44" s="195"/>
      <c r="S44" s="195"/>
      <c r="T44" s="195"/>
      <c r="U44" s="195"/>
      <c r="V44" s="195"/>
    </row>
    <row r="45" spans="1:22" hidden="1" x14ac:dyDescent="0.25">
      <c r="A45" s="41"/>
      <c r="C45" s="91">
        <f>SUM(C43:C44)</f>
        <v>0</v>
      </c>
      <c r="E45" s="120" t="e">
        <f>SUM(E43:E44)</f>
        <v>#DIV/0!</v>
      </c>
      <c r="F45" s="124"/>
      <c r="H45" s="109"/>
      <c r="Q45" s="195"/>
      <c r="R45" s="195"/>
      <c r="S45" s="195"/>
      <c r="T45" s="195"/>
      <c r="U45" s="195"/>
      <c r="V45" s="195"/>
    </row>
    <row r="46" spans="1:22" hidden="1" x14ac:dyDescent="0.25">
      <c r="A46" s="41"/>
      <c r="F46" s="49"/>
      <c r="Q46" s="195"/>
      <c r="R46" s="195"/>
      <c r="S46" s="195"/>
      <c r="T46" s="195"/>
      <c r="U46" s="195"/>
      <c r="V46" s="195"/>
    </row>
    <row r="47" spans="1:22" hidden="1" x14ac:dyDescent="0.25">
      <c r="A47" s="41" t="s">
        <v>199</v>
      </c>
      <c r="B47" t="s">
        <v>194</v>
      </c>
      <c r="C47" s="91">
        <f>+C39+C43</f>
        <v>0</v>
      </c>
      <c r="E47" s="120" t="e">
        <f>ROUND(C47/C49,4)</f>
        <v>#DIV/0!</v>
      </c>
      <c r="F47" s="123"/>
      <c r="H47" s="109"/>
      <c r="Q47" s="195"/>
      <c r="R47" s="195"/>
      <c r="S47" s="195"/>
      <c r="T47" s="195"/>
      <c r="U47" s="195"/>
      <c r="V47" s="195"/>
    </row>
    <row r="48" spans="1:22" hidden="1" x14ac:dyDescent="0.25">
      <c r="A48" s="41"/>
      <c r="B48" t="s">
        <v>196</v>
      </c>
      <c r="C48" s="125">
        <f>+C40+C44</f>
        <v>0</v>
      </c>
      <c r="E48" s="122" t="e">
        <f>ROUND(C48/C49,4)</f>
        <v>#DIV/0!</v>
      </c>
      <c r="F48" s="123"/>
      <c r="H48" s="128"/>
      <c r="Q48" s="195"/>
      <c r="R48" s="195"/>
      <c r="S48" s="195"/>
      <c r="T48" s="195"/>
      <c r="U48" s="195"/>
      <c r="V48" s="195"/>
    </row>
    <row r="49" spans="1:22" hidden="1" x14ac:dyDescent="0.25">
      <c r="A49" s="41"/>
      <c r="C49" s="91">
        <f>SUM(C47:C48)</f>
        <v>0</v>
      </c>
      <c r="E49" s="120" t="e">
        <f>SUM(E47:E48)</f>
        <v>#DIV/0!</v>
      </c>
      <c r="F49" s="123"/>
      <c r="H49" s="109"/>
      <c r="Q49" s="195"/>
      <c r="R49" s="195"/>
      <c r="S49" s="195"/>
      <c r="T49" s="195"/>
      <c r="U49" s="195"/>
      <c r="V49" s="195"/>
    </row>
    <row r="50" spans="1:22" ht="13" thickBot="1" x14ac:dyDescent="0.3">
      <c r="A50" s="45"/>
      <c r="B50" s="47"/>
      <c r="C50" s="47"/>
      <c r="D50" s="47"/>
      <c r="E50" s="47"/>
      <c r="F50" s="127"/>
      <c r="Q50" s="195"/>
      <c r="R50" s="195"/>
      <c r="S50" s="195"/>
      <c r="T50" s="195"/>
      <c r="U50" s="195"/>
      <c r="V50" s="195"/>
    </row>
    <row r="51" spans="1:22" x14ac:dyDescent="0.25">
      <c r="Q51" s="195"/>
      <c r="R51" s="195"/>
      <c r="S51" s="195"/>
      <c r="T51" s="195"/>
      <c r="U51" s="195"/>
      <c r="V51" s="195"/>
    </row>
    <row r="52" spans="1:22" x14ac:dyDescent="0.25">
      <c r="B52" t="s">
        <v>203</v>
      </c>
      <c r="Q52" s="195"/>
      <c r="R52" s="195"/>
      <c r="S52" s="195"/>
      <c r="T52" s="195"/>
      <c r="U52" s="195"/>
      <c r="V52" s="195"/>
    </row>
    <row r="56" spans="1:22" x14ac:dyDescent="0.25">
      <c r="A56" t="s">
        <v>139</v>
      </c>
    </row>
    <row r="57" spans="1:22" x14ac:dyDescent="0.25">
      <c r="A57" s="29" t="s">
        <v>204</v>
      </c>
    </row>
    <row r="58" spans="1:22" x14ac:dyDescent="0.25">
      <c r="A58" s="29" t="s">
        <v>205</v>
      </c>
    </row>
  </sheetData>
  <mergeCells count="3">
    <mergeCell ref="A1:F1"/>
    <mergeCell ref="A2:F2"/>
    <mergeCell ref="H3:L3"/>
  </mergeCells>
  <hyperlinks>
    <hyperlink ref="A57" r:id="rId1" xr:uid="{00000000-0004-0000-0900-000000000000}"/>
    <hyperlink ref="A58" r:id="rId2" xr:uid="{00000000-0004-0000-0900-000001000000}"/>
  </hyperlinks>
  <pageMargins left="0.7" right="0.7" top="0.75" bottom="0.75" header="0.3" footer="0.3"/>
  <pageSetup scale="84" orientation="landscape" r:id="rId3"/>
  <headerFooter alignWithMargins="0"/>
  <legacyDrawing r:id="rId4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indexed="29"/>
    <pageSetUpPr fitToPage="1"/>
  </sheetPr>
  <dimension ref="A1:E34"/>
  <sheetViews>
    <sheetView zoomScaleNormal="100" zoomScaleSheetLayoutView="80" workbookViewId="0">
      <selection sqref="A1:C1"/>
    </sheetView>
  </sheetViews>
  <sheetFormatPr defaultRowHeight="12.5" x14ac:dyDescent="0.25"/>
  <cols>
    <col min="1" max="1" width="81.81640625" bestFit="1" customWidth="1"/>
    <col min="2" max="2" width="3.54296875" customWidth="1"/>
    <col min="3" max="3" width="10.1796875" customWidth="1"/>
    <col min="4" max="4" width="10.453125" bestFit="1" customWidth="1"/>
  </cols>
  <sheetData>
    <row r="1" spans="1:5" ht="13" x14ac:dyDescent="0.3">
      <c r="A1" s="773" t="s">
        <v>206</v>
      </c>
      <c r="B1" s="773"/>
      <c r="C1" s="773"/>
    </row>
    <row r="2" spans="1:5" x14ac:dyDescent="0.25">
      <c r="A2" s="84"/>
      <c r="B2" s="84"/>
      <c r="C2" s="84"/>
    </row>
    <row r="3" spans="1:5" ht="13" x14ac:dyDescent="0.3">
      <c r="C3" s="130" t="s">
        <v>207</v>
      </c>
      <c r="D3" s="131"/>
    </row>
    <row r="4" spans="1:5" ht="13" x14ac:dyDescent="0.3">
      <c r="A4" s="132" t="s">
        <v>208</v>
      </c>
      <c r="C4" s="2" t="s">
        <v>209</v>
      </c>
      <c r="D4" s="2" t="s">
        <v>210</v>
      </c>
    </row>
    <row r="6" spans="1:5" x14ac:dyDescent="0.25">
      <c r="A6" t="s">
        <v>211</v>
      </c>
      <c r="C6" t="s">
        <v>212</v>
      </c>
      <c r="D6" s="84">
        <v>2</v>
      </c>
    </row>
    <row r="7" spans="1:5" x14ac:dyDescent="0.25">
      <c r="A7" t="s">
        <v>213</v>
      </c>
      <c r="C7" t="s">
        <v>214</v>
      </c>
      <c r="D7" s="84">
        <v>3</v>
      </c>
    </row>
    <row r="8" spans="1:5" x14ac:dyDescent="0.25">
      <c r="A8" t="s">
        <v>215</v>
      </c>
      <c r="C8" t="s">
        <v>216</v>
      </c>
      <c r="D8" s="84">
        <v>4</v>
      </c>
      <c r="E8" s="84"/>
    </row>
    <row r="9" spans="1:5" x14ac:dyDescent="0.25">
      <c r="D9" s="84"/>
      <c r="E9" s="84"/>
    </row>
    <row r="10" spans="1:5" x14ac:dyDescent="0.25">
      <c r="D10" s="84"/>
      <c r="E10" s="84"/>
    </row>
    <row r="11" spans="1:5" ht="13" x14ac:dyDescent="0.3">
      <c r="A11" s="133" t="s">
        <v>217</v>
      </c>
      <c r="B11" s="84"/>
      <c r="C11" s="84"/>
      <c r="D11" s="84"/>
      <c r="E11" s="84"/>
    </row>
    <row r="12" spans="1:5" x14ac:dyDescent="0.25">
      <c r="A12" s="84"/>
      <c r="B12" s="84"/>
      <c r="C12" s="84"/>
      <c r="D12" s="84"/>
      <c r="E12" s="84"/>
    </row>
    <row r="13" spans="1:5" x14ac:dyDescent="0.25">
      <c r="D13" s="84"/>
      <c r="E13" s="84"/>
    </row>
    <row r="14" spans="1:5" x14ac:dyDescent="0.25">
      <c r="A14" t="s">
        <v>218</v>
      </c>
      <c r="C14" t="s">
        <v>219</v>
      </c>
      <c r="D14" s="84">
        <v>5</v>
      </c>
      <c r="E14" s="84"/>
    </row>
    <row r="15" spans="1:5" x14ac:dyDescent="0.25">
      <c r="A15" t="s">
        <v>220</v>
      </c>
      <c r="C15" t="s">
        <v>221</v>
      </c>
      <c r="D15" s="84">
        <v>6</v>
      </c>
      <c r="E15" s="84"/>
    </row>
    <row r="16" spans="1:5" x14ac:dyDescent="0.25">
      <c r="A16" t="s">
        <v>222</v>
      </c>
      <c r="C16" t="s">
        <v>223</v>
      </c>
      <c r="D16" s="84">
        <v>7</v>
      </c>
    </row>
    <row r="17" spans="1:4" x14ac:dyDescent="0.25">
      <c r="A17" t="s">
        <v>224</v>
      </c>
      <c r="C17" t="s">
        <v>225</v>
      </c>
      <c r="D17" s="84">
        <v>8</v>
      </c>
    </row>
    <row r="18" spans="1:4" x14ac:dyDescent="0.25">
      <c r="D18" s="84"/>
    </row>
    <row r="19" spans="1:4" x14ac:dyDescent="0.25">
      <c r="D19" s="84"/>
    </row>
    <row r="20" spans="1:4" x14ac:dyDescent="0.25">
      <c r="D20" s="84"/>
    </row>
    <row r="21" spans="1:4" x14ac:dyDescent="0.25">
      <c r="D21" s="84"/>
    </row>
    <row r="22" spans="1:4" x14ac:dyDescent="0.25">
      <c r="D22" s="84"/>
    </row>
    <row r="23" spans="1:4" x14ac:dyDescent="0.25">
      <c r="D23" s="84"/>
    </row>
    <row r="24" spans="1:4" x14ac:dyDescent="0.25">
      <c r="D24" s="84"/>
    </row>
    <row r="25" spans="1:4" x14ac:dyDescent="0.25">
      <c r="D25" s="84"/>
    </row>
    <row r="26" spans="1:4" x14ac:dyDescent="0.25">
      <c r="D26" s="84"/>
    </row>
    <row r="27" spans="1:4" x14ac:dyDescent="0.25">
      <c r="D27" s="84"/>
    </row>
    <row r="28" spans="1:4" x14ac:dyDescent="0.25">
      <c r="D28" s="84"/>
    </row>
    <row r="29" spans="1:4" x14ac:dyDescent="0.25">
      <c r="D29" s="84"/>
    </row>
    <row r="30" spans="1:4" x14ac:dyDescent="0.25">
      <c r="D30" s="84"/>
    </row>
    <row r="31" spans="1:4" x14ac:dyDescent="0.25">
      <c r="D31" s="84"/>
    </row>
    <row r="32" spans="1:4" x14ac:dyDescent="0.25">
      <c r="D32" s="84"/>
    </row>
    <row r="33" spans="4:4" x14ac:dyDescent="0.25">
      <c r="D33" s="84"/>
    </row>
    <row r="34" spans="4:4" x14ac:dyDescent="0.25">
      <c r="D34" s="84"/>
    </row>
  </sheetData>
  <mergeCells count="1">
    <mergeCell ref="A1:C1"/>
  </mergeCells>
  <pageMargins left="0.75" right="0.75" top="1" bottom="1" header="0.5" footer="0.5"/>
  <pageSetup scale="85"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>
    <tabColor indexed="29"/>
    <pageSetUpPr fitToPage="1"/>
  </sheetPr>
  <dimension ref="A1:BB76"/>
  <sheetViews>
    <sheetView zoomScale="70" zoomScaleNormal="70" zoomScaleSheetLayoutView="115" workbookViewId="0">
      <pane xSplit="1" ySplit="1" topLeftCell="W23" activePane="bottomRight" state="frozen"/>
      <selection pane="topRight" activeCell="B1" sqref="B1"/>
      <selection pane="bottomLeft" activeCell="A2" sqref="A2"/>
      <selection pane="bottomRight" activeCell="Y53" sqref="Y53"/>
    </sheetView>
  </sheetViews>
  <sheetFormatPr defaultRowHeight="12.5" outlineLevelCol="1" x14ac:dyDescent="0.25"/>
  <cols>
    <col min="1" max="1" width="35.453125" customWidth="1"/>
    <col min="2" max="2" width="26" customWidth="1" outlineLevel="1"/>
    <col min="3" max="3" width="23.1796875" customWidth="1" outlineLevel="1"/>
    <col min="4" max="4" width="26" customWidth="1" outlineLevel="1"/>
    <col min="5" max="5" width="23.1796875" customWidth="1" outlineLevel="1"/>
    <col min="6" max="6" width="26" customWidth="1" outlineLevel="1"/>
    <col min="7" max="7" width="30.453125" customWidth="1" outlineLevel="1"/>
    <col min="8" max="8" width="29.453125" customWidth="1" outlineLevel="1"/>
    <col min="9" max="9" width="24.81640625" customWidth="1" outlineLevel="1"/>
    <col min="10" max="10" width="30.453125" customWidth="1" outlineLevel="1"/>
    <col min="11" max="11" width="26.453125" customWidth="1" outlineLevel="1"/>
    <col min="12" max="12" width="28.1796875" customWidth="1" outlineLevel="1"/>
    <col min="13" max="13" width="25" customWidth="1" outlineLevel="1"/>
    <col min="14" max="14" width="28.1796875" customWidth="1" outlineLevel="1"/>
    <col min="15" max="15" width="25" customWidth="1" outlineLevel="1"/>
    <col min="16" max="16" width="30.54296875" customWidth="1" outlineLevel="1"/>
    <col min="17" max="17" width="23.54296875" bestFit="1" customWidth="1"/>
    <col min="18" max="18" width="26" bestFit="1" customWidth="1"/>
    <col min="19" max="19" width="23.1796875" bestFit="1" customWidth="1"/>
    <col min="20" max="20" width="26" bestFit="1" customWidth="1"/>
    <col min="21" max="21" width="23.1796875" bestFit="1" customWidth="1"/>
    <col min="22" max="22" width="23.1796875" hidden="1" customWidth="1"/>
    <col min="23" max="23" width="26.1796875" bestFit="1" customWidth="1"/>
    <col min="24" max="24" width="30.54296875" customWidth="1"/>
    <col min="25" max="25" width="26.1796875" bestFit="1" customWidth="1"/>
    <col min="29" max="29" width="11" bestFit="1" customWidth="1"/>
    <col min="45" max="45" width="30.54296875" bestFit="1" customWidth="1"/>
    <col min="46" max="52" width="22.453125" style="599" bestFit="1" customWidth="1"/>
  </cols>
  <sheetData>
    <row r="1" spans="1:54" ht="13" x14ac:dyDescent="0.3">
      <c r="A1" s="769" t="s">
        <v>212</v>
      </c>
      <c r="B1" s="769"/>
      <c r="C1" s="769"/>
    </row>
    <row r="2" spans="1:54" ht="13" x14ac:dyDescent="0.3">
      <c r="A2" s="2"/>
      <c r="B2" s="2"/>
      <c r="W2" s="154"/>
      <c r="X2" s="191" t="s">
        <v>595</v>
      </c>
      <c r="Y2" s="154"/>
    </row>
    <row r="3" spans="1:54" ht="12.75" customHeight="1" x14ac:dyDescent="0.3">
      <c r="A3" s="131" t="s">
        <v>211</v>
      </c>
      <c r="B3" s="131"/>
      <c r="P3" s="84"/>
      <c r="Q3" s="134"/>
      <c r="R3" s="134"/>
      <c r="S3" s="134"/>
      <c r="T3" s="134"/>
      <c r="U3" s="195"/>
      <c r="V3" s="134"/>
      <c r="W3" s="195"/>
      <c r="X3" s="469"/>
      <c r="Y3" s="637" t="s">
        <v>559</v>
      </c>
    </row>
    <row r="4" spans="1:54" ht="13" x14ac:dyDescent="0.3">
      <c r="A4" s="135" t="str">
        <f>+U11</f>
        <v>May 2020 - October 2020</v>
      </c>
      <c r="B4" s="131"/>
      <c r="C4" s="131"/>
      <c r="S4" s="136"/>
      <c r="T4" s="136"/>
      <c r="U4" s="466"/>
      <c r="V4" t="s">
        <v>553</v>
      </c>
      <c r="W4" s="616"/>
      <c r="Y4" s="487" t="s">
        <v>226</v>
      </c>
    </row>
    <row r="5" spans="1:54" ht="12.75" hidden="1" customHeight="1" x14ac:dyDescent="0.3">
      <c r="A5" s="131" t="s">
        <v>227</v>
      </c>
      <c r="B5" s="130"/>
      <c r="U5" s="195"/>
    </row>
    <row r="6" spans="1:54" ht="12.75" hidden="1" customHeight="1" x14ac:dyDescent="0.3">
      <c r="A6" s="137" t="s">
        <v>228</v>
      </c>
      <c r="B6" s="130"/>
      <c r="U6" s="195"/>
    </row>
    <row r="7" spans="1:54" ht="12.75" hidden="1" customHeight="1" x14ac:dyDescent="0.3">
      <c r="A7" s="131" t="s">
        <v>229</v>
      </c>
      <c r="B7" s="131"/>
      <c r="U7" s="195"/>
    </row>
    <row r="8" spans="1:54" ht="12.75" hidden="1" customHeight="1" x14ac:dyDescent="0.3">
      <c r="A8" s="131" t="s">
        <v>230</v>
      </c>
      <c r="B8" s="131"/>
      <c r="U8" s="195"/>
    </row>
    <row r="9" spans="1:54" ht="12.75" hidden="1" customHeight="1" x14ac:dyDescent="0.3">
      <c r="A9" s="131" t="s">
        <v>231</v>
      </c>
      <c r="B9" s="131"/>
      <c r="U9" s="195"/>
    </row>
    <row r="10" spans="1:54" ht="12.75" hidden="1" customHeight="1" x14ac:dyDescent="0.3">
      <c r="A10" s="131" t="s">
        <v>232</v>
      </c>
      <c r="B10" s="27"/>
      <c r="U10" s="195"/>
    </row>
    <row r="11" spans="1:54" ht="18.75" customHeight="1" x14ac:dyDescent="0.3">
      <c r="A11" s="27"/>
      <c r="B11" s="595" t="s">
        <v>482</v>
      </c>
      <c r="C11" s="596" t="str">
        <f>A5</f>
        <v>May 2011 - October 2011</v>
      </c>
      <c r="D11" s="89" t="str">
        <f>A6</f>
        <v>November 2011 - April 2012</v>
      </c>
      <c r="E11" s="596" t="str">
        <f>A7</f>
        <v>May 2012 - October 2012</v>
      </c>
      <c r="F11" s="138" t="str">
        <f>A8</f>
        <v>November 2012 - April 2013</v>
      </c>
      <c r="G11" s="597" t="str">
        <f>A9</f>
        <v>May 2013 - October 2013</v>
      </c>
      <c r="H11" s="138" t="str">
        <f>+A10</f>
        <v>November 2013 - April 2014</v>
      </c>
      <c r="I11" s="597" t="s">
        <v>233</v>
      </c>
      <c r="J11" s="138" t="s">
        <v>234</v>
      </c>
      <c r="K11" s="597" t="s">
        <v>235</v>
      </c>
      <c r="L11" s="138" t="s">
        <v>236</v>
      </c>
      <c r="M11" s="597" t="s">
        <v>237</v>
      </c>
      <c r="N11" s="138" t="s">
        <v>238</v>
      </c>
      <c r="O11" s="597" t="s">
        <v>239</v>
      </c>
      <c r="P11" s="138" t="s">
        <v>240</v>
      </c>
      <c r="Q11" s="597" t="s">
        <v>241</v>
      </c>
      <c r="R11" s="138" t="s">
        <v>242</v>
      </c>
      <c r="S11" s="597" t="s">
        <v>243</v>
      </c>
      <c r="T11" s="138" t="s">
        <v>244</v>
      </c>
      <c r="U11" s="467" t="s">
        <v>245</v>
      </c>
      <c r="V11" s="467" t="s">
        <v>245</v>
      </c>
      <c r="W11" s="138" t="s">
        <v>246</v>
      </c>
      <c r="X11" s="138" t="s">
        <v>493</v>
      </c>
      <c r="Y11" s="138" t="s">
        <v>570</v>
      </c>
      <c r="AA11" s="138" t="s">
        <v>247</v>
      </c>
    </row>
    <row r="12" spans="1:54" ht="13" x14ac:dyDescent="0.3">
      <c r="A12" s="27"/>
      <c r="B12" s="2"/>
      <c r="AA12" s="27" t="s">
        <v>248</v>
      </c>
    </row>
    <row r="13" spans="1:54" ht="13" x14ac:dyDescent="0.3">
      <c r="A13" s="89" t="s">
        <v>249</v>
      </c>
      <c r="B13" s="2"/>
      <c r="AA13" s="27" t="s">
        <v>250</v>
      </c>
    </row>
    <row r="14" spans="1:54" ht="12.75" customHeight="1" x14ac:dyDescent="0.3">
      <c r="A14" s="27"/>
      <c r="B14" s="2"/>
      <c r="AA14" s="27" t="s">
        <v>251</v>
      </c>
      <c r="BA14" s="598"/>
      <c r="BB14" s="598"/>
    </row>
    <row r="15" spans="1:54" x14ac:dyDescent="0.25">
      <c r="A15" s="27" t="s">
        <v>252</v>
      </c>
      <c r="B15" s="82">
        <v>1.18</v>
      </c>
      <c r="C15" s="120">
        <f>1.155</f>
        <v>1.155</v>
      </c>
      <c r="D15" s="120">
        <v>1</v>
      </c>
      <c r="E15" s="120">
        <f>D15</f>
        <v>1</v>
      </c>
      <c r="F15" s="120">
        <f>D15</f>
        <v>1</v>
      </c>
      <c r="G15" s="120">
        <f>E15</f>
        <v>1</v>
      </c>
      <c r="H15" s="120">
        <f>F15</f>
        <v>1</v>
      </c>
      <c r="I15" s="120">
        <v>1.17</v>
      </c>
      <c r="J15" s="120">
        <f t="shared" ref="J15:N17" si="0">I15</f>
        <v>1.17</v>
      </c>
      <c r="K15" s="120">
        <f t="shared" si="0"/>
        <v>1.17</v>
      </c>
      <c r="L15" s="120">
        <f t="shared" si="0"/>
        <v>1.17</v>
      </c>
      <c r="M15" s="139">
        <v>1.175</v>
      </c>
      <c r="N15" s="120">
        <f t="shared" si="0"/>
        <v>1.175</v>
      </c>
      <c r="O15" s="139">
        <v>1.18</v>
      </c>
      <c r="P15" s="139">
        <f>O15</f>
        <v>1.18</v>
      </c>
      <c r="Q15" s="139">
        <v>1.1819999999999999</v>
      </c>
      <c r="R15" s="139">
        <f>Q15</f>
        <v>1.1819999999999999</v>
      </c>
      <c r="S15" s="139">
        <v>1.17</v>
      </c>
      <c r="T15" s="139">
        <f>S15</f>
        <v>1.17</v>
      </c>
      <c r="U15" s="139">
        <v>1.1890000000000001</v>
      </c>
      <c r="V15" s="139">
        <f>U15</f>
        <v>1.1890000000000001</v>
      </c>
      <c r="W15" s="139">
        <f>+'NYISO Strip Auction Price'!AC61</f>
        <v>1.1890000000000001</v>
      </c>
      <c r="X15" s="679">
        <f>+'NYISO Strip Auction Price'!BI60</f>
        <v>1.2070000000000001</v>
      </c>
      <c r="Y15" s="139">
        <f>+W15</f>
        <v>1.1890000000000001</v>
      </c>
      <c r="AA15" s="27" t="s">
        <v>253</v>
      </c>
      <c r="AT15" s="600"/>
      <c r="AU15" s="600"/>
      <c r="AV15" s="600"/>
      <c r="AW15" s="600"/>
      <c r="AX15" s="600"/>
      <c r="AY15" s="600"/>
      <c r="AZ15" s="600"/>
    </row>
    <row r="16" spans="1:54" ht="13" x14ac:dyDescent="0.3">
      <c r="A16" s="27" t="s">
        <v>254</v>
      </c>
      <c r="B16" s="140">
        <v>0.8</v>
      </c>
      <c r="C16" s="141">
        <f>$B16</f>
        <v>0.8</v>
      </c>
      <c r="D16" s="141">
        <f>$B16</f>
        <v>0.8</v>
      </c>
      <c r="E16" s="141">
        <f>$B16</f>
        <v>0.8</v>
      </c>
      <c r="F16" s="142">
        <v>0.83</v>
      </c>
      <c r="G16" s="142">
        <v>0.86</v>
      </c>
      <c r="H16" s="142">
        <f>G16</f>
        <v>0.86</v>
      </c>
      <c r="I16" s="142">
        <v>0.85</v>
      </c>
      <c r="J16" s="142">
        <f t="shared" si="0"/>
        <v>0.85</v>
      </c>
      <c r="K16" s="143">
        <v>0.83499999999999996</v>
      </c>
      <c r="L16" s="144">
        <f t="shared" si="0"/>
        <v>0.83499999999999996</v>
      </c>
      <c r="M16" s="145">
        <v>0.80500000000000005</v>
      </c>
      <c r="N16" s="144">
        <f t="shared" si="0"/>
        <v>0.80500000000000005</v>
      </c>
      <c r="O16" s="145">
        <v>0.81499999999999995</v>
      </c>
      <c r="P16" s="145">
        <f>O16</f>
        <v>0.81499999999999995</v>
      </c>
      <c r="Q16" s="145">
        <v>0.80500000000000005</v>
      </c>
      <c r="R16" s="145">
        <f>Q16</f>
        <v>0.80500000000000005</v>
      </c>
      <c r="S16" s="145">
        <v>0.82799999999999996</v>
      </c>
      <c r="T16" s="145">
        <f t="shared" ref="Q16:U22" si="1">S16</f>
        <v>0.82799999999999996</v>
      </c>
      <c r="U16" s="145">
        <v>0.86599999999999999</v>
      </c>
      <c r="V16" s="468">
        <f t="shared" ref="V16:V17" si="2">U16</f>
        <v>0.86599999999999999</v>
      </c>
      <c r="W16" s="145">
        <f>+'NYISO Strip Auction Price'!AC60</f>
        <v>0.86599999999999999</v>
      </c>
      <c r="X16" s="145">
        <f>+'NYISO Strip Auction Price'!BI59</f>
        <v>0.80300000000000005</v>
      </c>
      <c r="Y16" s="139">
        <f t="shared" ref="Y16" si="3">+W16</f>
        <v>0.86599999999999999</v>
      </c>
      <c r="AA16" s="27" t="s">
        <v>255</v>
      </c>
      <c r="AT16" s="600"/>
      <c r="AU16" s="600"/>
      <c r="AV16" s="600"/>
      <c r="AW16" s="600"/>
      <c r="AX16" s="600"/>
      <c r="AY16" s="600"/>
      <c r="AZ16" s="600"/>
    </row>
    <row r="17" spans="1:54" ht="13" x14ac:dyDescent="0.3">
      <c r="A17" s="27" t="s">
        <v>256</v>
      </c>
      <c r="B17" s="140"/>
      <c r="C17" s="141"/>
      <c r="D17" s="141"/>
      <c r="E17" s="141"/>
      <c r="F17" s="142"/>
      <c r="G17" s="142"/>
      <c r="H17" s="142"/>
      <c r="I17" s="142">
        <v>0.88</v>
      </c>
      <c r="J17" s="142">
        <f t="shared" si="0"/>
        <v>0.88</v>
      </c>
      <c r="K17" s="143">
        <v>0.90500000000000003</v>
      </c>
      <c r="L17" s="144">
        <f t="shared" si="0"/>
        <v>0.90500000000000003</v>
      </c>
      <c r="M17" s="145">
        <v>0.9</v>
      </c>
      <c r="N17" s="144">
        <f t="shared" si="0"/>
        <v>0.9</v>
      </c>
      <c r="O17" s="145">
        <v>0.91500000000000004</v>
      </c>
      <c r="P17" s="145">
        <f>O17</f>
        <v>0.91500000000000004</v>
      </c>
      <c r="Q17" s="145">
        <v>0.94499999999999995</v>
      </c>
      <c r="R17" s="145">
        <f>Q17</f>
        <v>0.94499999999999995</v>
      </c>
      <c r="S17" s="145">
        <v>0.92300000000000004</v>
      </c>
      <c r="T17" s="145">
        <f t="shared" si="1"/>
        <v>0.92300000000000004</v>
      </c>
      <c r="U17" s="145">
        <v>0.9</v>
      </c>
      <c r="V17" s="468">
        <f t="shared" si="2"/>
        <v>0.9</v>
      </c>
      <c r="W17" s="145">
        <f>+'NYISO Strip Auction Price'!AC59</f>
        <v>0.9</v>
      </c>
      <c r="X17" s="145">
        <f>+'NYISO Strip Auction Price'!BI58</f>
        <v>0.87586799999999998</v>
      </c>
      <c r="Y17" s="139">
        <f>+W17</f>
        <v>0.9</v>
      </c>
      <c r="AA17" s="27" t="s">
        <v>257</v>
      </c>
      <c r="AT17" s="600"/>
      <c r="AU17" s="600"/>
      <c r="AV17" s="600"/>
      <c r="AW17" s="600"/>
      <c r="AX17" s="600"/>
      <c r="AY17" s="600"/>
      <c r="AZ17" s="600"/>
    </row>
    <row r="18" spans="1:54" hidden="1" x14ac:dyDescent="0.25">
      <c r="A18" s="27"/>
      <c r="B18" s="140"/>
      <c r="Q18" s="120">
        <f t="shared" si="1"/>
        <v>0</v>
      </c>
      <c r="R18" s="120"/>
      <c r="S18" s="120">
        <f t="shared" si="1"/>
        <v>0</v>
      </c>
      <c r="T18" s="120">
        <f t="shared" si="1"/>
        <v>0</v>
      </c>
      <c r="U18" s="120">
        <f t="shared" si="1"/>
        <v>0</v>
      </c>
      <c r="V18" s="120"/>
      <c r="X18" s="120">
        <f>T18</f>
        <v>0</v>
      </c>
    </row>
    <row r="19" spans="1:54" ht="13" hidden="1" x14ac:dyDescent="0.3">
      <c r="A19" s="89" t="s">
        <v>258</v>
      </c>
      <c r="B19" s="27"/>
      <c r="Q19" s="120">
        <f t="shared" si="1"/>
        <v>0</v>
      </c>
      <c r="R19" s="120"/>
      <c r="S19" s="120">
        <f t="shared" si="1"/>
        <v>0</v>
      </c>
      <c r="T19" s="120">
        <f t="shared" si="1"/>
        <v>0</v>
      </c>
      <c r="U19" s="120">
        <f t="shared" si="1"/>
        <v>0</v>
      </c>
      <c r="V19" s="120"/>
      <c r="X19" s="120">
        <f>T19</f>
        <v>0</v>
      </c>
    </row>
    <row r="20" spans="1:54" ht="13" hidden="1" x14ac:dyDescent="0.3">
      <c r="A20" s="89"/>
      <c r="B20" s="27"/>
      <c r="Q20" s="120">
        <f t="shared" si="1"/>
        <v>0</v>
      </c>
      <c r="R20" s="120"/>
      <c r="S20" s="120">
        <f t="shared" si="1"/>
        <v>0</v>
      </c>
      <c r="T20" s="120">
        <f t="shared" si="1"/>
        <v>0</v>
      </c>
      <c r="U20" s="120">
        <f t="shared" si="1"/>
        <v>0</v>
      </c>
      <c r="V20" s="120"/>
      <c r="X20" s="120">
        <f>T20</f>
        <v>0</v>
      </c>
    </row>
    <row r="21" spans="1:54" hidden="1" x14ac:dyDescent="0.25">
      <c r="A21" s="27" t="s">
        <v>259</v>
      </c>
      <c r="B21" s="140">
        <v>0.88</v>
      </c>
      <c r="C21" s="120">
        <f t="shared" ref="C21:M22" si="4">$B21</f>
        <v>0.88</v>
      </c>
      <c r="D21" s="120">
        <f t="shared" si="4"/>
        <v>0.88</v>
      </c>
      <c r="E21" s="120">
        <f t="shared" si="4"/>
        <v>0.88</v>
      </c>
      <c r="F21" s="120">
        <f t="shared" si="4"/>
        <v>0.88</v>
      </c>
      <c r="G21" s="120">
        <f t="shared" si="4"/>
        <v>0.88</v>
      </c>
      <c r="H21" s="120">
        <f t="shared" si="4"/>
        <v>0.88</v>
      </c>
      <c r="I21" s="120">
        <f t="shared" si="4"/>
        <v>0.88</v>
      </c>
      <c r="J21" s="120">
        <f t="shared" si="4"/>
        <v>0.88</v>
      </c>
      <c r="K21" s="120">
        <f t="shared" si="4"/>
        <v>0.88</v>
      </c>
      <c r="L21" s="120">
        <f t="shared" si="4"/>
        <v>0.88</v>
      </c>
      <c r="M21" s="120">
        <f t="shared" si="4"/>
        <v>0.88</v>
      </c>
      <c r="Q21" s="120">
        <f t="shared" si="1"/>
        <v>0</v>
      </c>
      <c r="R21" s="120"/>
      <c r="S21" s="120">
        <f t="shared" si="1"/>
        <v>0</v>
      </c>
      <c r="T21" s="120">
        <f t="shared" si="1"/>
        <v>0</v>
      </c>
      <c r="U21" s="120">
        <f t="shared" si="1"/>
        <v>0</v>
      </c>
      <c r="V21" s="120"/>
      <c r="X21" s="120">
        <f>T21</f>
        <v>0</v>
      </c>
    </row>
    <row r="22" spans="1:54" hidden="1" x14ac:dyDescent="0.25">
      <c r="A22" s="27" t="s">
        <v>260</v>
      </c>
      <c r="B22" s="140">
        <v>0.12</v>
      </c>
      <c r="C22" s="141">
        <f t="shared" si="4"/>
        <v>0.12</v>
      </c>
      <c r="D22" s="141">
        <f t="shared" si="4"/>
        <v>0.12</v>
      </c>
      <c r="E22" s="141">
        <f t="shared" si="4"/>
        <v>0.12</v>
      </c>
      <c r="F22" s="141">
        <f t="shared" si="4"/>
        <v>0.12</v>
      </c>
      <c r="G22" s="141">
        <f t="shared" si="4"/>
        <v>0.12</v>
      </c>
      <c r="H22" s="141">
        <f t="shared" si="4"/>
        <v>0.12</v>
      </c>
      <c r="I22" s="141">
        <f t="shared" si="4"/>
        <v>0.12</v>
      </c>
      <c r="J22" s="141">
        <f t="shared" si="4"/>
        <v>0.12</v>
      </c>
      <c r="K22" s="141">
        <f t="shared" si="4"/>
        <v>0.12</v>
      </c>
      <c r="L22" s="141">
        <f t="shared" si="4"/>
        <v>0.12</v>
      </c>
      <c r="M22" s="141">
        <f t="shared" si="4"/>
        <v>0.12</v>
      </c>
      <c r="Q22" s="120">
        <f t="shared" si="1"/>
        <v>0</v>
      </c>
      <c r="R22" s="120"/>
      <c r="S22" s="120">
        <f t="shared" si="1"/>
        <v>0</v>
      </c>
      <c r="T22" s="120">
        <f t="shared" si="1"/>
        <v>0</v>
      </c>
      <c r="U22" s="120">
        <f t="shared" si="1"/>
        <v>0</v>
      </c>
      <c r="V22" s="120"/>
      <c r="X22" s="120">
        <f>T22</f>
        <v>0</v>
      </c>
    </row>
    <row r="23" spans="1:54" x14ac:dyDescent="0.25">
      <c r="AA23" t="s">
        <v>480</v>
      </c>
    </row>
    <row r="24" spans="1:54" ht="13" x14ac:dyDescent="0.3">
      <c r="A24" s="89" t="s">
        <v>261</v>
      </c>
      <c r="AA24" s="462" t="s">
        <v>481</v>
      </c>
      <c r="AB24" s="462"/>
      <c r="AC24" s="462"/>
      <c r="AD24" s="462"/>
      <c r="AE24" s="462"/>
      <c r="AF24" s="462"/>
    </row>
    <row r="25" spans="1:54" x14ac:dyDescent="0.25">
      <c r="A25" s="27" t="s">
        <v>262</v>
      </c>
      <c r="B25" s="146">
        <v>15.39</v>
      </c>
      <c r="C25" s="147">
        <v>16.84</v>
      </c>
      <c r="D25" s="147">
        <v>4.1647117210007263</v>
      </c>
      <c r="E25" s="148">
        <f>'[14]NYC Forecast 04 05 12'!$K$9</f>
        <v>15.18017022234269</v>
      </c>
      <c r="F25" s="148">
        <f>AVERAGE('[15]NYC Forecast 10 01 12'!$K$9:$K$14)</f>
        <v>6.0739138893316822</v>
      </c>
      <c r="G25" s="148">
        <f>AVERAGE('[16]NYC Forecast 04 01 13'!$K$9:$K$14)</f>
        <v>16.456162610000003</v>
      </c>
      <c r="H25" s="148">
        <f>AVERAGE('[17]NYC Forecast 10 01 13'!$K$9:$K$14)</f>
        <v>10.755770945919393</v>
      </c>
      <c r="I25" s="148">
        <f>ROUND(AVERAGE('[18]NYC Forecast 04 03 14'!$K$8:$K$13),2)</f>
        <v>17.690000000000001</v>
      </c>
      <c r="J25" s="148">
        <f>ROUND(AVERAGE('[19]NYC Forecast 10 01 14'!$K$9:$K$14),2)</f>
        <v>9.7799999999999994</v>
      </c>
      <c r="K25" s="148">
        <f>ROUND(AVERAGE('[20]NYC Forecast 04 02 15'!$K$9:$K$14),2)</f>
        <v>16.54</v>
      </c>
      <c r="L25" s="148">
        <f>ROUND(AVERAGE('[21]NYC Forecast 10 01 15'!$K$9:$K$14),2)</f>
        <v>8.0299999999999994</v>
      </c>
      <c r="M25" s="149">
        <f>ROUND(AVERAGE('[22]NYC Forecast 04 01 16'!$K$9:$K$14),2)</f>
        <v>12.85</v>
      </c>
      <c r="N25" s="149">
        <f>ROUND(AVERAGE('[23]NYC Forecast 10 04 16'!$K$9:$K$14),2)</f>
        <v>4.59</v>
      </c>
      <c r="O25" s="149">
        <f>ROUND(AVERAGE('[24]NYC Forecast 04 05 17'!$L$9:$L$14),2)</f>
        <v>13.87</v>
      </c>
      <c r="P25" s="149">
        <f>ROUND(AVERAGE('[25]NYC Forecast 10 03 17'!$L$9:$L$14),2)</f>
        <v>3.39</v>
      </c>
      <c r="Q25" s="149">
        <f>ROUND(AVERAGE('[26]Forecast CAPACITY 02 06 18'!$D$11:$D$16),2)</f>
        <v>13.32</v>
      </c>
      <c r="R25" s="149">
        <f>ROUND(AVERAGE('[27]Forecast CAPACITY 10 04 18'!$D$7:$D$12),2)</f>
        <v>3.7</v>
      </c>
      <c r="S25" s="473">
        <f>13.1*(1-4.09%)</f>
        <v>12.564209999999999</v>
      </c>
      <c r="T25" s="150">
        <f>3.5*(1-4.42%)</f>
        <v>3.3452999999999999</v>
      </c>
      <c r="U25" s="473">
        <f>18.36*(1-3.51%)</f>
        <v>17.715564000000001</v>
      </c>
      <c r="V25" s="149">
        <v>18.36</v>
      </c>
      <c r="W25" s="567">
        <f>'NYISO Strip Auction Price'!AA19*(1-'NYISO Strip Auction Price'!AA60)</f>
        <v>7.5893999999999995</v>
      </c>
      <c r="X25" s="473">
        <f>'NYISO Strip Auction Price'!AV19*(1-'NYISO Strip Auction Price'!BG59)</f>
        <v>5.3909739999999999</v>
      </c>
      <c r="Y25" s="567">
        <f>AVERAGE([28]Sheet1!$C$9:$C$14)*(1-'NYISO Strip Auction Price'!AA60)</f>
        <v>1.3913899999999999</v>
      </c>
      <c r="AA25" t="s">
        <v>486</v>
      </c>
      <c r="AT25" s="601"/>
      <c r="AU25" s="601"/>
      <c r="AV25" s="601"/>
      <c r="AW25" s="601"/>
      <c r="AX25" s="601"/>
      <c r="AY25" s="601"/>
      <c r="AZ25" s="601"/>
      <c r="BA25" s="158"/>
      <c r="BB25" s="414"/>
    </row>
    <row r="26" spans="1:54" x14ac:dyDescent="0.25">
      <c r="A26" s="27" t="s">
        <v>263</v>
      </c>
      <c r="B26" s="146"/>
      <c r="C26" s="147"/>
      <c r="D26" s="147"/>
      <c r="E26" s="148"/>
      <c r="F26" s="148"/>
      <c r="G26" s="148"/>
      <c r="H26" s="148"/>
      <c r="I26" s="148">
        <f>ROUND(AVERAGE('[18]NYC Forecast 04 03 14'!$L$8:$L$13),2)</f>
        <v>11.87</v>
      </c>
      <c r="J26" s="148">
        <f>ROUND(AVERAGE('[19]NYC Forecast 10 01 14'!$L$9:$L$14),2)</f>
        <v>6.34</v>
      </c>
      <c r="K26" s="148">
        <f>ROUND(AVERAGE('[20]NYC Forecast 04 02 15'!$L$9:$L$14),2)</f>
        <v>9.0299999999999994</v>
      </c>
      <c r="L26" s="148">
        <f>ROUND(AVERAGE('[21]NYC Forecast 10 01 15'!$L$9:$L$14),2)</f>
        <v>4.3600000000000003</v>
      </c>
      <c r="M26" s="149">
        <f>ROUND(AVERAGE('[22]NYC Forecast 04 01 16'!$L$9:$L$14),2)</f>
        <v>9.64</v>
      </c>
      <c r="N26" s="149">
        <f>ROUND(AVERAGE('[23]NYC Forecast 10 04 16'!$L$9:$L$14),2)</f>
        <v>4.17</v>
      </c>
      <c r="O26" s="149">
        <f>ROUND(AVERAGE('[24]NYC Forecast 04 05 17'!$M$9:$M$14),2)</f>
        <v>11.21</v>
      </c>
      <c r="P26" s="149">
        <f>ROUND(AVERAGE('[25]NYC Forecast 10 03 17'!$M$9:$M$14),2)</f>
        <v>2.65</v>
      </c>
      <c r="Q26" s="149">
        <f>ROUND(AVERAGE('[26]Forecast CAPACITY 02 06 18'!$E$11:$E$16),2)</f>
        <v>10.67</v>
      </c>
      <c r="R26" s="149">
        <f>ROUND(AVERAGE('[27]Forecast CAPACITY 10 04 18'!$E$7:$E$12),2)</f>
        <v>2.61</v>
      </c>
      <c r="S26" s="150">
        <f>4.63*(1-5.14%)</f>
        <v>4.3920180000000002</v>
      </c>
      <c r="T26" s="569">
        <f>0.65*(1-5.26%)</f>
        <v>0.61581000000000008</v>
      </c>
      <c r="U26" s="150">
        <f>3.07*(1-4.18%)</f>
        <v>2.9416739999999999</v>
      </c>
      <c r="V26" s="149">
        <v>3.07</v>
      </c>
      <c r="W26" s="567">
        <f>'NYISO Strip Auction Price'!AA16*(1-'NYISO Strip Auction Price'!AA59)</f>
        <v>0.223445</v>
      </c>
      <c r="X26" s="150">
        <f>'NYISO Strip Auction Price'!AV16*(1-'NYISO Strip Auction Price'!BG58)</f>
        <v>4.395384</v>
      </c>
      <c r="Y26" s="567">
        <f>AVERAGE([28]Sheet1!$H$9:$H$14)*(1-'NYISO Strip Auction Price'!AA59)</f>
        <v>1.0686499999999999</v>
      </c>
      <c r="Z26" s="98" t="s">
        <v>628</v>
      </c>
      <c r="AT26" s="601"/>
      <c r="AU26" s="601"/>
      <c r="AV26" s="601"/>
      <c r="AW26" s="601"/>
      <c r="AX26" s="601"/>
      <c r="AY26" s="601"/>
      <c r="AZ26" s="601"/>
      <c r="BA26" s="158"/>
      <c r="BB26" s="414"/>
    </row>
    <row r="27" spans="1:54" x14ac:dyDescent="0.25">
      <c r="A27" s="27" t="s">
        <v>264</v>
      </c>
      <c r="B27" s="146">
        <v>3.28</v>
      </c>
      <c r="C27" s="147">
        <v>0.9</v>
      </c>
      <c r="D27" s="147">
        <v>0.65726601893919467</v>
      </c>
      <c r="E27" s="148">
        <f>'[14]NYC Forecast 04 05 12'!$L$9</f>
        <v>3.4628085477342787</v>
      </c>
      <c r="F27" s="148">
        <f>AVERAGE('[15]NYC Forecast 10 01 12'!$L$9:$L$14)</f>
        <v>2.7484833859520541</v>
      </c>
      <c r="G27" s="148">
        <f>AVERAGE('[16]NYC Forecast 04 01 13'!$L$9:$L$14)</f>
        <v>5.5194234389999997</v>
      </c>
      <c r="H27" s="148">
        <f>AVERAGE('[17]NYC Forecast 10 01 13'!$L$9:$L$14)</f>
        <v>5.4349681497596682</v>
      </c>
      <c r="I27" s="148">
        <f>ROUND(AVERAGE('[18]NYC Forecast 04 03 14'!$M$8:$M$13),2)</f>
        <v>6.67</v>
      </c>
      <c r="J27" s="148">
        <f>ROUND(AVERAGE('[19]NYC Forecast 10 01 14'!$M$9:$M$14),2)</f>
        <v>3.63</v>
      </c>
      <c r="K27" s="148">
        <f>ROUND(AVERAGE('[20]NYC Forecast 04 02 15'!$M$9:$M$14),2)</f>
        <v>4.6900000000000004</v>
      </c>
      <c r="L27" s="148">
        <f>ROUND(AVERAGE('[21]NYC Forecast 10 01 15'!$M$9:$M$14),2)</f>
        <v>1.76</v>
      </c>
      <c r="M27" s="149">
        <f>ROUND(AVERAGE('[22]NYC Forecast 04 01 16'!$M$9:$M$14),2)</f>
        <v>4.5199999999999996</v>
      </c>
      <c r="N27" s="149">
        <f>ROUND(AVERAGE('[23]NYC Forecast 10 04 16'!$M$9:$M$14),2)</f>
        <v>0.83</v>
      </c>
      <c r="O27" s="149">
        <f>ROUND(AVERAGE('[24]NYC Forecast 04 05 17'!$N$9:$N$14),2)</f>
        <v>4.1399999999999997</v>
      </c>
      <c r="P27" s="149">
        <f>ROUND(AVERAGE('[25]NYC Forecast 10 03 17'!$N$9:$N$14),2)</f>
        <v>0.49</v>
      </c>
      <c r="Q27" s="149">
        <f>ROUND(AVERAGE('[26]Forecast CAPACITY 02 06 18'!$F$11:$F$16),2)</f>
        <v>2.23</v>
      </c>
      <c r="R27" s="149">
        <f>ROUND(AVERAGE('[27]Forecast CAPACITY 10 04 18'!$F$7:$F$12),2)</f>
        <v>0.66</v>
      </c>
      <c r="S27" s="150">
        <f>1.3*(1-8.79%)</f>
        <v>1.1857300000000002</v>
      </c>
      <c r="T27" s="150">
        <f>0.18*(1-8%)</f>
        <v>0.1656</v>
      </c>
      <c r="U27" s="150">
        <f>2.71*(1-8.3%)</f>
        <v>2.4850699999999999</v>
      </c>
      <c r="V27" s="149">
        <v>2.71</v>
      </c>
      <c r="W27" s="567">
        <f>'NYISO Strip Auction Price'!AA21*(1-'NYISO Strip Auction Price'!AA61)</f>
        <v>9.3390000000000001E-2</v>
      </c>
      <c r="X27" s="150">
        <f>'NYISO Strip Auction Price'!AV21*(1-'NYISO Strip Auction Price'!BG60)</f>
        <v>3.7313069999999997</v>
      </c>
      <c r="Y27" s="567">
        <f>AVERAGE([28]Sheet1!$I$9:$I$14)*(1-'NYISO Strip Auction Price'!AA61)</f>
        <v>0.95257799999999992</v>
      </c>
      <c r="AT27" s="601"/>
      <c r="AU27" s="601"/>
      <c r="AV27" s="601"/>
      <c r="AW27" s="601"/>
      <c r="AX27" s="601"/>
      <c r="AY27" s="601"/>
      <c r="AZ27" s="601"/>
      <c r="BA27" s="158"/>
      <c r="BB27" s="414"/>
    </row>
    <row r="28" spans="1:54" ht="13" x14ac:dyDescent="0.3">
      <c r="A28" s="27"/>
      <c r="B28" s="27"/>
      <c r="AA28" s="131" t="s">
        <v>494</v>
      </c>
    </row>
    <row r="29" spans="1:54" ht="13" x14ac:dyDescent="0.3">
      <c r="A29" s="89" t="s">
        <v>265</v>
      </c>
      <c r="B29" s="27"/>
      <c r="AA29">
        <v>2019</v>
      </c>
      <c r="AB29">
        <v>2020</v>
      </c>
      <c r="AC29" t="s">
        <v>483</v>
      </c>
      <c r="AD29" t="s">
        <v>484</v>
      </c>
    </row>
    <row r="30" spans="1:54" ht="12.75" customHeight="1" x14ac:dyDescent="0.25">
      <c r="A30" s="27" t="s">
        <v>259</v>
      </c>
      <c r="B30" s="147">
        <f>ROUND(B25*6,2)</f>
        <v>92.34</v>
      </c>
      <c r="C30" s="147">
        <f>ROUND(C25*6,2)</f>
        <v>101.04</v>
      </c>
      <c r="D30" s="147">
        <v>26.96</v>
      </c>
      <c r="E30" s="147">
        <f t="shared" ref="E30:Q32" si="5">ROUND(E25*6,2)</f>
        <v>91.08</v>
      </c>
      <c r="F30" s="147">
        <f t="shared" si="5"/>
        <v>36.44</v>
      </c>
      <c r="G30" s="147">
        <f t="shared" si="5"/>
        <v>98.74</v>
      </c>
      <c r="H30" s="147">
        <f t="shared" si="5"/>
        <v>64.53</v>
      </c>
      <c r="I30" s="151">
        <f t="shared" si="5"/>
        <v>106.14</v>
      </c>
      <c r="J30" s="147">
        <f t="shared" si="5"/>
        <v>58.68</v>
      </c>
      <c r="K30" s="147">
        <f t="shared" si="5"/>
        <v>99.24</v>
      </c>
      <c r="L30" s="147">
        <f t="shared" si="5"/>
        <v>48.18</v>
      </c>
      <c r="M30" s="147">
        <f t="shared" si="5"/>
        <v>77.099999999999994</v>
      </c>
      <c r="N30" s="147">
        <f t="shared" si="5"/>
        <v>27.54</v>
      </c>
      <c r="O30" s="147">
        <f t="shared" si="5"/>
        <v>83.22</v>
      </c>
      <c r="P30" s="147">
        <f t="shared" si="5"/>
        <v>20.34</v>
      </c>
      <c r="Q30" s="147">
        <f>ROUND(Q25*6,2)</f>
        <v>79.92</v>
      </c>
      <c r="R30" s="147">
        <f>ROUND(R25*6,2)</f>
        <v>22.2</v>
      </c>
      <c r="S30" s="147">
        <f>ROUND(S25*6,2)</f>
        <v>75.39</v>
      </c>
      <c r="T30" s="147">
        <f t="shared" ref="S30:T32" si="6">ROUND(T25*6,2)</f>
        <v>20.07</v>
      </c>
      <c r="U30" s="147">
        <f>ROUND(U25*6,2)</f>
        <v>106.29</v>
      </c>
      <c r="V30" s="147">
        <f>ROUND(V25*6,2)</f>
        <v>110.16</v>
      </c>
      <c r="W30" s="147">
        <f>ROUND(W25*6,2)</f>
        <v>45.54</v>
      </c>
      <c r="X30" s="147">
        <f t="shared" ref="X30:X32" si="7">ROUND(X25*6,2)</f>
        <v>32.35</v>
      </c>
      <c r="Y30" s="147">
        <f>ROUND(Y25*6,2)</f>
        <v>8.35</v>
      </c>
      <c r="AA30" s="158">
        <f>+S30</f>
        <v>75.39</v>
      </c>
      <c r="AB30" s="158">
        <f>+U30</f>
        <v>106.29</v>
      </c>
      <c r="AC30" s="158">
        <f>+AB30-AA30</f>
        <v>30.900000000000006</v>
      </c>
      <c r="AD30" s="414">
        <f>+AC30/AA30</f>
        <v>0.40986868284918432</v>
      </c>
      <c r="AE30" s="785" t="s">
        <v>489</v>
      </c>
      <c r="AF30" s="785"/>
      <c r="AG30" s="785"/>
      <c r="AH30" s="785"/>
      <c r="AI30" s="785"/>
      <c r="AJ30" s="785"/>
      <c r="AK30" s="785"/>
    </row>
    <row r="31" spans="1:54" x14ac:dyDescent="0.25">
      <c r="A31" s="27" t="s">
        <v>263</v>
      </c>
      <c r="B31" s="147"/>
      <c r="C31" s="147"/>
      <c r="D31" s="147"/>
      <c r="E31" s="147"/>
      <c r="F31" s="147"/>
      <c r="G31" s="147"/>
      <c r="H31" s="147"/>
      <c r="I31" s="147">
        <f t="shared" si="5"/>
        <v>71.22</v>
      </c>
      <c r="J31" s="147">
        <f t="shared" si="5"/>
        <v>38.04</v>
      </c>
      <c r="K31" s="147">
        <f t="shared" si="5"/>
        <v>54.18</v>
      </c>
      <c r="L31" s="147">
        <f t="shared" si="5"/>
        <v>26.16</v>
      </c>
      <c r="M31" s="147">
        <f t="shared" si="5"/>
        <v>57.84</v>
      </c>
      <c r="N31" s="147">
        <f t="shared" si="5"/>
        <v>25.02</v>
      </c>
      <c r="O31" s="147">
        <f t="shared" si="5"/>
        <v>67.260000000000005</v>
      </c>
      <c r="P31" s="147">
        <f t="shared" si="5"/>
        <v>15.9</v>
      </c>
      <c r="Q31" s="147">
        <f t="shared" si="5"/>
        <v>64.02</v>
      </c>
      <c r="R31" s="147">
        <f>ROUND(R26*6,2)</f>
        <v>15.66</v>
      </c>
      <c r="S31" s="147">
        <f t="shared" si="6"/>
        <v>26.35</v>
      </c>
      <c r="T31" s="147">
        <f t="shared" si="6"/>
        <v>3.69</v>
      </c>
      <c r="U31" s="147">
        <f t="shared" ref="U31" si="8">ROUND(U26*6,2)</f>
        <v>17.649999999999999</v>
      </c>
      <c r="V31" s="147">
        <f>ROUND(V26*6,2)</f>
        <v>18.420000000000002</v>
      </c>
      <c r="W31" s="147">
        <f>ROUND(W26*6,2)</f>
        <v>1.34</v>
      </c>
      <c r="X31" s="147">
        <f>ROUND(X26*6,2)</f>
        <v>26.37</v>
      </c>
      <c r="Y31" s="147">
        <f>ROUND(Y26*6,2)</f>
        <v>6.41</v>
      </c>
      <c r="AA31" s="158">
        <f>+S31</f>
        <v>26.35</v>
      </c>
      <c r="AB31" s="158">
        <f>+U31</f>
        <v>17.649999999999999</v>
      </c>
      <c r="AC31" s="158">
        <f t="shared" ref="AC31:AC32" si="9">+AB31-AA31</f>
        <v>-8.7000000000000028</v>
      </c>
      <c r="AD31" s="414">
        <f t="shared" ref="AD31:AD32" si="10">+AC31/AA31</f>
        <v>-0.33017077798861488</v>
      </c>
      <c r="AE31" s="786" t="s">
        <v>490</v>
      </c>
      <c r="AF31" s="786"/>
      <c r="AG31" s="474"/>
      <c r="AH31" s="474"/>
      <c r="AI31" s="474"/>
      <c r="AJ31" s="474"/>
    </row>
    <row r="32" spans="1:54" x14ac:dyDescent="0.25">
      <c r="A32" s="27" t="s">
        <v>264</v>
      </c>
      <c r="B32" s="147">
        <f>ROUND(B27*6,2)</f>
        <v>19.68</v>
      </c>
      <c r="C32" s="147">
        <f>ROUND(C27*6,2)</f>
        <v>5.4</v>
      </c>
      <c r="D32" s="147">
        <v>4.03</v>
      </c>
      <c r="E32" s="147">
        <f>ROUND(E27*6,2)</f>
        <v>20.78</v>
      </c>
      <c r="F32" s="147">
        <f>ROUND(F27*6,2)</f>
        <v>16.489999999999998</v>
      </c>
      <c r="G32" s="147">
        <f>ROUND(G27*6,2)</f>
        <v>33.119999999999997</v>
      </c>
      <c r="H32" s="147">
        <f>ROUND(H27*6,2)</f>
        <v>32.61</v>
      </c>
      <c r="I32" s="147">
        <f t="shared" si="5"/>
        <v>40.020000000000003</v>
      </c>
      <c r="J32" s="147">
        <f t="shared" si="5"/>
        <v>21.78</v>
      </c>
      <c r="K32" s="147">
        <f t="shared" si="5"/>
        <v>28.14</v>
      </c>
      <c r="L32" s="147">
        <f t="shared" si="5"/>
        <v>10.56</v>
      </c>
      <c r="M32" s="147">
        <f t="shared" si="5"/>
        <v>27.12</v>
      </c>
      <c r="N32" s="147">
        <f t="shared" si="5"/>
        <v>4.9800000000000004</v>
      </c>
      <c r="O32" s="147">
        <f t="shared" si="5"/>
        <v>24.84</v>
      </c>
      <c r="P32" s="147">
        <f t="shared" si="5"/>
        <v>2.94</v>
      </c>
      <c r="Q32" s="147">
        <f t="shared" si="5"/>
        <v>13.38</v>
      </c>
      <c r="R32" s="147">
        <f>ROUND(R27*6,2)</f>
        <v>3.96</v>
      </c>
      <c r="S32" s="147">
        <f t="shared" si="6"/>
        <v>7.11</v>
      </c>
      <c r="T32" s="147">
        <f t="shared" si="6"/>
        <v>0.99</v>
      </c>
      <c r="U32" s="147">
        <f t="shared" ref="U32" si="11">ROUND(U27*6,2)</f>
        <v>14.91</v>
      </c>
      <c r="V32" s="147">
        <f>ROUND(V27*6,2)</f>
        <v>16.260000000000002</v>
      </c>
      <c r="W32" s="147">
        <f>ROUND(W27*6,2)</f>
        <v>0.56000000000000005</v>
      </c>
      <c r="X32" s="147">
        <f t="shared" si="7"/>
        <v>22.39</v>
      </c>
      <c r="Y32" s="147">
        <f>ROUND(Y27*6,2)</f>
        <v>5.72</v>
      </c>
      <c r="AA32" s="158">
        <f>+S32</f>
        <v>7.11</v>
      </c>
      <c r="AB32" s="158">
        <f>+U32</f>
        <v>14.91</v>
      </c>
      <c r="AC32" s="158">
        <f t="shared" si="9"/>
        <v>7.8</v>
      </c>
      <c r="AD32" s="414">
        <f t="shared" si="10"/>
        <v>1.0970464135021096</v>
      </c>
      <c r="AE32" t="s">
        <v>491</v>
      </c>
      <c r="AF32" s="474"/>
      <c r="AG32" s="474"/>
      <c r="AH32" s="474"/>
      <c r="AI32" s="474"/>
      <c r="AJ32" s="474"/>
    </row>
    <row r="33" spans="1:36" x14ac:dyDescent="0.25">
      <c r="C33" s="152"/>
      <c r="AE33" s="474"/>
      <c r="AF33" s="474"/>
      <c r="AG33" s="474"/>
      <c r="AH33" s="474"/>
      <c r="AI33" s="474"/>
      <c r="AJ33" s="474"/>
    </row>
    <row r="34" spans="1:36" ht="13" x14ac:dyDescent="0.3">
      <c r="A34" s="89" t="s">
        <v>266</v>
      </c>
      <c r="AA34" t="s">
        <v>485</v>
      </c>
    </row>
    <row r="35" spans="1:36" x14ac:dyDescent="0.25">
      <c r="AA35" s="470">
        <f>+S36</f>
        <v>0.82799999999999996</v>
      </c>
      <c r="AB35" s="120">
        <f>+U36</f>
        <v>0.86599999999999999</v>
      </c>
      <c r="AC35" s="471">
        <f>+AB35-AA35</f>
        <v>3.8000000000000034E-2</v>
      </c>
    </row>
    <row r="36" spans="1:36" x14ac:dyDescent="0.25">
      <c r="A36" t="s">
        <v>267</v>
      </c>
      <c r="B36" s="95">
        <v>0.8</v>
      </c>
      <c r="C36" s="120">
        <f>$B36</f>
        <v>0.8</v>
      </c>
      <c r="D36" s="120">
        <f>$B36</f>
        <v>0.8</v>
      </c>
      <c r="E36" s="120">
        <f>$B36</f>
        <v>0.8</v>
      </c>
      <c r="F36" s="120">
        <f t="shared" ref="F36:P36" si="12">F16</f>
        <v>0.83</v>
      </c>
      <c r="G36" s="120">
        <f t="shared" si="12"/>
        <v>0.86</v>
      </c>
      <c r="H36" s="120">
        <f t="shared" si="12"/>
        <v>0.86</v>
      </c>
      <c r="I36" s="120">
        <f t="shared" si="12"/>
        <v>0.85</v>
      </c>
      <c r="J36" s="120">
        <f t="shared" si="12"/>
        <v>0.85</v>
      </c>
      <c r="K36" s="120">
        <f t="shared" si="12"/>
        <v>0.83499999999999996</v>
      </c>
      <c r="L36" s="120">
        <f t="shared" si="12"/>
        <v>0.83499999999999996</v>
      </c>
      <c r="M36" s="120">
        <f t="shared" si="12"/>
        <v>0.80500000000000005</v>
      </c>
      <c r="N36" s="120">
        <f t="shared" si="12"/>
        <v>0.80500000000000005</v>
      </c>
      <c r="O36" s="120">
        <f t="shared" si="12"/>
        <v>0.81499999999999995</v>
      </c>
      <c r="P36" s="120">
        <f t="shared" si="12"/>
        <v>0.81499999999999995</v>
      </c>
      <c r="Q36" s="120">
        <f>Q16</f>
        <v>0.80500000000000005</v>
      </c>
      <c r="R36" s="120">
        <f>R16</f>
        <v>0.80500000000000005</v>
      </c>
      <c r="S36" s="120">
        <f t="shared" ref="S36:T36" si="13">S16</f>
        <v>0.82799999999999996</v>
      </c>
      <c r="T36" s="120">
        <f t="shared" si="13"/>
        <v>0.82799999999999996</v>
      </c>
      <c r="U36" s="120">
        <f>U16</f>
        <v>0.86599999999999999</v>
      </c>
      <c r="V36" s="120">
        <f>V16</f>
        <v>0.86599999999999999</v>
      </c>
      <c r="W36" s="120">
        <f>W16</f>
        <v>0.86599999999999999</v>
      </c>
      <c r="X36" s="120">
        <f>X16</f>
        <v>0.80300000000000005</v>
      </c>
      <c r="Y36" s="120">
        <f>Y16</f>
        <v>0.86599999999999999</v>
      </c>
    </row>
    <row r="37" spans="1:36" x14ac:dyDescent="0.25">
      <c r="A37" t="s">
        <v>268</v>
      </c>
      <c r="B37" s="95"/>
      <c r="C37" s="120"/>
      <c r="D37" s="120"/>
      <c r="E37" s="120"/>
      <c r="F37" s="120"/>
      <c r="G37" s="120"/>
      <c r="H37" s="120"/>
      <c r="I37" s="120">
        <f t="shared" ref="I37:T37" si="14">I17-I16</f>
        <v>3.0000000000000027E-2</v>
      </c>
      <c r="J37" s="120">
        <f t="shared" si="14"/>
        <v>3.0000000000000027E-2</v>
      </c>
      <c r="K37" s="120">
        <f t="shared" si="14"/>
        <v>7.0000000000000062E-2</v>
      </c>
      <c r="L37" s="120">
        <f t="shared" si="14"/>
        <v>7.0000000000000062E-2</v>
      </c>
      <c r="M37" s="120">
        <f t="shared" si="14"/>
        <v>9.4999999999999973E-2</v>
      </c>
      <c r="N37" s="120">
        <f t="shared" si="14"/>
        <v>9.4999999999999973E-2</v>
      </c>
      <c r="O37" s="120">
        <f t="shared" si="14"/>
        <v>0.10000000000000009</v>
      </c>
      <c r="P37" s="120">
        <f t="shared" si="14"/>
        <v>0.10000000000000009</v>
      </c>
      <c r="Q37" s="120">
        <f t="shared" si="14"/>
        <v>0.1399999999999999</v>
      </c>
      <c r="R37" s="120">
        <f t="shared" si="14"/>
        <v>0.1399999999999999</v>
      </c>
      <c r="S37" s="120">
        <f t="shared" si="14"/>
        <v>9.5000000000000084E-2</v>
      </c>
      <c r="T37" s="120">
        <f t="shared" si="14"/>
        <v>9.5000000000000084E-2</v>
      </c>
      <c r="U37" s="120">
        <f>U17-U16</f>
        <v>3.400000000000003E-2</v>
      </c>
      <c r="V37" s="120">
        <f>V17-V16</f>
        <v>3.400000000000003E-2</v>
      </c>
      <c r="W37" s="120">
        <f>W17-W16</f>
        <v>3.400000000000003E-2</v>
      </c>
      <c r="X37" s="120">
        <f>X17-X16</f>
        <v>7.2867999999999933E-2</v>
      </c>
      <c r="Y37" s="120">
        <f>Y17-Y16</f>
        <v>3.400000000000003E-2</v>
      </c>
    </row>
    <row r="38" spans="1:36" x14ac:dyDescent="0.25">
      <c r="A38" t="s">
        <v>269</v>
      </c>
      <c r="B38" s="120">
        <f t="shared" ref="B38:H38" si="15">B15-B16</f>
        <v>0.37999999999999989</v>
      </c>
      <c r="C38" s="120">
        <f t="shared" si="15"/>
        <v>0.35499999999999998</v>
      </c>
      <c r="D38" s="120">
        <f t="shared" si="15"/>
        <v>0.19999999999999996</v>
      </c>
      <c r="E38" s="120">
        <f t="shared" si="15"/>
        <v>0.19999999999999996</v>
      </c>
      <c r="F38" s="120">
        <f t="shared" si="15"/>
        <v>0.17000000000000004</v>
      </c>
      <c r="G38" s="120">
        <f t="shared" si="15"/>
        <v>0.14000000000000001</v>
      </c>
      <c r="H38" s="120">
        <f t="shared" si="15"/>
        <v>0.14000000000000001</v>
      </c>
      <c r="I38" s="120">
        <f t="shared" ref="I38:X38" si="16">I15-I17</f>
        <v>0.28999999999999992</v>
      </c>
      <c r="J38" s="120">
        <f t="shared" si="16"/>
        <v>0.28999999999999992</v>
      </c>
      <c r="K38" s="120">
        <f t="shared" si="16"/>
        <v>0.2649999999999999</v>
      </c>
      <c r="L38" s="120">
        <f t="shared" si="16"/>
        <v>0.2649999999999999</v>
      </c>
      <c r="M38" s="120">
        <f t="shared" si="16"/>
        <v>0.27500000000000002</v>
      </c>
      <c r="N38" s="120">
        <f t="shared" si="16"/>
        <v>0.27500000000000002</v>
      </c>
      <c r="O38" s="120">
        <f t="shared" si="16"/>
        <v>0.2649999999999999</v>
      </c>
      <c r="P38" s="120">
        <f t="shared" si="16"/>
        <v>0.2649999999999999</v>
      </c>
      <c r="Q38" s="120">
        <f t="shared" si="16"/>
        <v>0.23699999999999999</v>
      </c>
      <c r="R38" s="120">
        <f t="shared" si="16"/>
        <v>0.23699999999999999</v>
      </c>
      <c r="S38" s="120">
        <f t="shared" si="16"/>
        <v>0.24699999999999989</v>
      </c>
      <c r="T38" s="120">
        <f t="shared" si="16"/>
        <v>0.24699999999999989</v>
      </c>
      <c r="U38" s="120">
        <f t="shared" ref="U38" si="17">U15-U17</f>
        <v>0.28900000000000003</v>
      </c>
      <c r="V38" s="120">
        <f>V15-V17</f>
        <v>0.28900000000000003</v>
      </c>
      <c r="W38" s="120">
        <f>W15-W17</f>
        <v>0.28900000000000003</v>
      </c>
      <c r="X38" s="120">
        <f t="shared" si="16"/>
        <v>0.33113200000000009</v>
      </c>
      <c r="Y38" s="120">
        <f>Y15-Y17</f>
        <v>0.28900000000000003</v>
      </c>
    </row>
    <row r="39" spans="1:36" x14ac:dyDescent="0.25">
      <c r="B39" s="120"/>
      <c r="C39" s="120"/>
      <c r="D39" s="120"/>
      <c r="E39" s="120"/>
      <c r="F39" s="120"/>
      <c r="G39" s="120"/>
      <c r="H39" s="120"/>
      <c r="I39" s="120"/>
      <c r="J39" s="120"/>
      <c r="K39" s="120"/>
      <c r="L39" s="120"/>
      <c r="M39" s="120"/>
      <c r="N39" s="120"/>
      <c r="O39" s="120"/>
      <c r="P39" s="120"/>
    </row>
    <row r="40" spans="1:36" x14ac:dyDescent="0.25">
      <c r="A40" s="153" t="s">
        <v>270</v>
      </c>
      <c r="B40" s="120"/>
      <c r="C40" s="120"/>
      <c r="D40" s="120"/>
      <c r="E40" s="120"/>
      <c r="F40" s="120"/>
      <c r="G40" s="120"/>
      <c r="H40" s="120"/>
      <c r="I40" s="120"/>
      <c r="J40" s="120"/>
      <c r="K40" s="120"/>
      <c r="L40" s="120"/>
      <c r="M40" s="120"/>
      <c r="N40" s="120"/>
      <c r="O40" s="120"/>
      <c r="P40" s="120"/>
    </row>
    <row r="41" spans="1:36" x14ac:dyDescent="0.25">
      <c r="A41" t="s">
        <v>267</v>
      </c>
      <c r="B41" s="120"/>
      <c r="C41" s="120"/>
      <c r="D41" s="120"/>
      <c r="E41" s="120"/>
      <c r="F41" s="120"/>
      <c r="G41" s="120"/>
      <c r="H41" s="120"/>
      <c r="I41" s="154">
        <f t="shared" ref="I41:P43" si="18">ROUND(I32*I26,2)</f>
        <v>475.04</v>
      </c>
      <c r="J41" s="154">
        <f t="shared" si="18"/>
        <v>138.09</v>
      </c>
      <c r="K41" s="154">
        <f t="shared" si="18"/>
        <v>254.1</v>
      </c>
      <c r="L41" s="154">
        <f t="shared" si="18"/>
        <v>46.04</v>
      </c>
      <c r="M41" s="154">
        <f t="shared" si="18"/>
        <v>261.44</v>
      </c>
      <c r="N41" s="154">
        <f t="shared" si="18"/>
        <v>20.77</v>
      </c>
      <c r="O41" s="154">
        <f t="shared" si="18"/>
        <v>278.45999999999998</v>
      </c>
      <c r="P41" s="154">
        <f t="shared" si="18"/>
        <v>7.79</v>
      </c>
      <c r="Q41" s="154">
        <v>0</v>
      </c>
      <c r="R41" s="154">
        <v>0</v>
      </c>
      <c r="S41" s="96">
        <v>0.11070000000000001</v>
      </c>
      <c r="T41" s="155">
        <f>'[29]ICAP Market Report'!$J$21</f>
        <v>0.1799</v>
      </c>
      <c r="U41" s="96">
        <f>+'[30]ICAP Market Report'!$J$21</f>
        <v>7.7100000000000002E-2</v>
      </c>
      <c r="V41" s="154">
        <v>0</v>
      </c>
      <c r="W41" s="96">
        <f>+'[31]ICAP Market Report'!$J$21</f>
        <v>0.1527</v>
      </c>
      <c r="X41" s="96">
        <f>+'[32]ICAP Market Report'!$J$21</f>
        <v>4.48E-2</v>
      </c>
      <c r="Y41" s="96">
        <f>'[33]ICAP Market Report'!$J$21</f>
        <v>4.48E-2</v>
      </c>
      <c r="Z41" s="706" t="s">
        <v>634</v>
      </c>
      <c r="AB41" s="154"/>
    </row>
    <row r="42" spans="1:36" x14ac:dyDescent="0.25">
      <c r="A42" t="s">
        <v>268</v>
      </c>
      <c r="B42" s="120"/>
      <c r="C42" s="120"/>
      <c r="D42" s="120"/>
      <c r="E42" s="120"/>
      <c r="F42" s="120"/>
      <c r="G42" s="120"/>
      <c r="H42" s="120"/>
      <c r="I42" s="154">
        <f t="shared" si="18"/>
        <v>0</v>
      </c>
      <c r="J42" s="154">
        <f t="shared" si="18"/>
        <v>0</v>
      </c>
      <c r="K42" s="154">
        <f t="shared" si="18"/>
        <v>0</v>
      </c>
      <c r="L42" s="154">
        <f t="shared" si="18"/>
        <v>0</v>
      </c>
      <c r="M42" s="154">
        <f t="shared" si="18"/>
        <v>0</v>
      </c>
      <c r="N42" s="154">
        <f t="shared" si="18"/>
        <v>0</v>
      </c>
      <c r="O42" s="154">
        <f t="shared" si="18"/>
        <v>0</v>
      </c>
      <c r="P42" s="154">
        <f t="shared" si="18"/>
        <v>0</v>
      </c>
      <c r="Q42" s="154">
        <v>0</v>
      </c>
      <c r="R42" s="154">
        <v>0</v>
      </c>
      <c r="S42" s="96">
        <v>7.4300000000000005E-2</v>
      </c>
      <c r="T42" s="155">
        <f>'[29]ICAP Market Report'!$G$21</f>
        <v>0.13750000000000001</v>
      </c>
      <c r="U42" s="96">
        <f>+'[30]ICAP Market Report'!$G$21</f>
        <v>0.1113</v>
      </c>
      <c r="V42" s="154">
        <v>0</v>
      </c>
      <c r="W42" s="96">
        <f>+'[31]ICAP Market Report'!$G$21</f>
        <v>0.14990000000000001</v>
      </c>
      <c r="X42" s="96">
        <f>+'[32]ICAP Market Report'!$G$21</f>
        <v>0.14990000000000001</v>
      </c>
      <c r="Y42" s="96">
        <f>'[33]ICAP Market Report'!$G$21</f>
        <v>0.14990000000000001</v>
      </c>
      <c r="Z42" s="706" t="str">
        <f>Z41</f>
        <v>Data not available in the NYISO website for October 2021, use prior year October 2020 for periods for Nov 21 - Apr 22</v>
      </c>
      <c r="AB42" s="158"/>
    </row>
    <row r="43" spans="1:36" x14ac:dyDescent="0.25">
      <c r="A43" t="s">
        <v>269</v>
      </c>
      <c r="B43" s="120"/>
      <c r="C43" s="120"/>
      <c r="D43" s="120"/>
      <c r="E43" s="120"/>
      <c r="F43" s="120"/>
      <c r="G43" s="120"/>
      <c r="H43" s="120"/>
      <c r="I43" s="154">
        <f t="shared" si="18"/>
        <v>0</v>
      </c>
      <c r="J43" s="154">
        <f t="shared" si="18"/>
        <v>0</v>
      </c>
      <c r="K43" s="154">
        <f t="shared" si="18"/>
        <v>0</v>
      </c>
      <c r="L43" s="154">
        <f t="shared" si="18"/>
        <v>0</v>
      </c>
      <c r="M43" s="154">
        <f t="shared" si="18"/>
        <v>0</v>
      </c>
      <c r="N43" s="154">
        <f t="shared" si="18"/>
        <v>0</v>
      </c>
      <c r="O43" s="154">
        <f t="shared" si="18"/>
        <v>0</v>
      </c>
      <c r="P43" s="154">
        <f t="shared" si="18"/>
        <v>0</v>
      </c>
      <c r="Q43" s="154">
        <v>0</v>
      </c>
      <c r="R43" s="154">
        <v>0</v>
      </c>
      <c r="S43" s="96">
        <v>9.2399999999999996E-2</v>
      </c>
      <c r="T43" s="155">
        <f>'[29]ICAP Market Report'!$D$21</f>
        <v>0.1171</v>
      </c>
      <c r="U43" s="96">
        <f>+'[30]ICAP Market Report'!$D$21</f>
        <v>0.11169999999999999</v>
      </c>
      <c r="V43" s="154">
        <v>0</v>
      </c>
      <c r="W43" s="96">
        <f>+'[31]ICAP Market Report'!$D$21</f>
        <v>0.11890000000000001</v>
      </c>
      <c r="X43" s="96">
        <f>+'[32]ICAP Market Report'!$D$21</f>
        <v>9.9000000000000005E-2</v>
      </c>
      <c r="Y43" s="96">
        <f>'[33]ICAP Market Report'!$D$21</f>
        <v>9.9000000000000005E-2</v>
      </c>
      <c r="Z43" s="706" t="str">
        <f>Z41</f>
        <v>Data not available in the NYISO website for October 2021, use prior year October 2020 for periods for Nov 21 - Apr 22</v>
      </c>
      <c r="AB43" s="158"/>
    </row>
    <row r="44" spans="1:36" x14ac:dyDescent="0.25">
      <c r="B44" s="95"/>
    </row>
    <row r="45" spans="1:36" x14ac:dyDescent="0.25">
      <c r="A45" t="s">
        <v>271</v>
      </c>
      <c r="B45" s="120"/>
      <c r="C45" s="120"/>
      <c r="D45" s="120"/>
      <c r="E45" s="120"/>
      <c r="F45" s="120"/>
      <c r="G45" s="120"/>
      <c r="H45" s="120"/>
      <c r="I45" s="154">
        <f t="shared" ref="I45:R47" si="19">ROUND(I36*I30,2)</f>
        <v>90.22</v>
      </c>
      <c r="J45" s="154">
        <f t="shared" si="19"/>
        <v>49.88</v>
      </c>
      <c r="K45" s="154">
        <f t="shared" si="19"/>
        <v>82.87</v>
      </c>
      <c r="L45" s="154">
        <f t="shared" si="19"/>
        <v>40.229999999999997</v>
      </c>
      <c r="M45" s="154">
        <f t="shared" si="19"/>
        <v>62.07</v>
      </c>
      <c r="N45" s="154">
        <f t="shared" si="19"/>
        <v>22.17</v>
      </c>
      <c r="O45" s="154">
        <f t="shared" si="19"/>
        <v>67.819999999999993</v>
      </c>
      <c r="P45" s="154">
        <f t="shared" si="19"/>
        <v>16.579999999999998</v>
      </c>
      <c r="Q45" s="154">
        <f t="shared" si="19"/>
        <v>64.34</v>
      </c>
      <c r="R45" s="154">
        <f t="shared" si="19"/>
        <v>17.87</v>
      </c>
      <c r="S45" s="154">
        <f t="shared" ref="S45:S47" si="20">ROUND(S36*S30*(1+S41),2)</f>
        <v>69.33</v>
      </c>
      <c r="T45" s="154">
        <f t="shared" ref="T45:U47" si="21">ROUND(T36*T30*(1+T41),2)</f>
        <v>19.61</v>
      </c>
      <c r="U45" s="154">
        <f t="shared" si="21"/>
        <v>99.14</v>
      </c>
      <c r="V45" s="154">
        <f t="shared" ref="V45:V47" si="22">ROUND(V36*V30,2)</f>
        <v>95.4</v>
      </c>
      <c r="W45" s="154">
        <f t="shared" ref="W45:X46" si="23">ROUND(W36*W30*(1+W41),2)</f>
        <v>45.46</v>
      </c>
      <c r="X45" s="154">
        <f>ROUND(X36*X30*(1+X41),2)</f>
        <v>27.14</v>
      </c>
      <c r="Y45" s="154">
        <f>ROUND(Y36*Y30*(1+Y41),2)</f>
        <v>7.56</v>
      </c>
      <c r="Z45" s="154"/>
      <c r="AA45" s="158">
        <f>Y30*Y36</f>
        <v>7.2310999999999996</v>
      </c>
    </row>
    <row r="46" spans="1:36" x14ac:dyDescent="0.25">
      <c r="A46" t="s">
        <v>272</v>
      </c>
      <c r="B46" s="120"/>
      <c r="C46" s="120"/>
      <c r="D46" s="120"/>
      <c r="E46" s="120"/>
      <c r="F46" s="120"/>
      <c r="G46" s="120"/>
      <c r="H46" s="120"/>
      <c r="I46" s="154">
        <f t="shared" si="19"/>
        <v>2.14</v>
      </c>
      <c r="J46" s="154">
        <f t="shared" si="19"/>
        <v>1.1399999999999999</v>
      </c>
      <c r="K46" s="154">
        <f t="shared" si="19"/>
        <v>3.79</v>
      </c>
      <c r="L46" s="154">
        <f t="shared" si="19"/>
        <v>1.83</v>
      </c>
      <c r="M46" s="154">
        <f t="shared" si="19"/>
        <v>5.49</v>
      </c>
      <c r="N46" s="154">
        <f t="shared" si="19"/>
        <v>2.38</v>
      </c>
      <c r="O46" s="154">
        <f t="shared" si="19"/>
        <v>6.73</v>
      </c>
      <c r="P46" s="154">
        <f t="shared" si="19"/>
        <v>1.59</v>
      </c>
      <c r="Q46" s="154">
        <f t="shared" si="19"/>
        <v>8.9600000000000009</v>
      </c>
      <c r="R46" s="154">
        <f t="shared" si="19"/>
        <v>2.19</v>
      </c>
      <c r="S46" s="154">
        <f t="shared" si="20"/>
        <v>2.69</v>
      </c>
      <c r="T46" s="154">
        <f t="shared" si="21"/>
        <v>0.4</v>
      </c>
      <c r="U46" s="154">
        <f t="shared" si="21"/>
        <v>0.67</v>
      </c>
      <c r="V46" s="154">
        <f t="shared" si="22"/>
        <v>0.63</v>
      </c>
      <c r="W46" s="154">
        <f t="shared" si="23"/>
        <v>0.05</v>
      </c>
      <c r="X46" s="154">
        <f t="shared" si="23"/>
        <v>2.21</v>
      </c>
      <c r="Y46" s="154">
        <f>ROUND(Y37*Y31*(1+Y42),2)</f>
        <v>0.25</v>
      </c>
      <c r="Z46" s="154"/>
      <c r="AA46" s="158">
        <f t="shared" ref="AA46:AA47" si="24">Y31*Y37</f>
        <v>0.21794000000000019</v>
      </c>
    </row>
    <row r="47" spans="1:36" x14ac:dyDescent="0.25">
      <c r="A47" t="s">
        <v>273</v>
      </c>
      <c r="B47" s="120"/>
      <c r="C47" s="120"/>
      <c r="D47" s="120"/>
      <c r="E47" s="120"/>
      <c r="F47" s="120"/>
      <c r="G47" s="120"/>
      <c r="H47" s="120"/>
      <c r="I47" s="154">
        <f t="shared" si="19"/>
        <v>11.61</v>
      </c>
      <c r="J47" s="154">
        <f t="shared" si="19"/>
        <v>6.32</v>
      </c>
      <c r="K47" s="154">
        <f t="shared" si="19"/>
        <v>7.46</v>
      </c>
      <c r="L47" s="154">
        <f t="shared" si="19"/>
        <v>2.8</v>
      </c>
      <c r="M47" s="154">
        <f t="shared" si="19"/>
        <v>7.46</v>
      </c>
      <c r="N47" s="154">
        <f t="shared" si="19"/>
        <v>1.37</v>
      </c>
      <c r="O47" s="154">
        <f t="shared" si="19"/>
        <v>6.58</v>
      </c>
      <c r="P47" s="154">
        <f t="shared" si="19"/>
        <v>0.78</v>
      </c>
      <c r="Q47" s="154">
        <f t="shared" si="19"/>
        <v>3.17</v>
      </c>
      <c r="R47" s="154">
        <f t="shared" si="19"/>
        <v>0.94</v>
      </c>
      <c r="S47" s="154">
        <f t="shared" si="20"/>
        <v>1.92</v>
      </c>
      <c r="T47" s="154">
        <f t="shared" si="21"/>
        <v>0.27</v>
      </c>
      <c r="U47" s="154">
        <f t="shared" si="21"/>
        <v>4.79</v>
      </c>
      <c r="V47" s="154">
        <f t="shared" si="22"/>
        <v>4.7</v>
      </c>
      <c r="W47" s="154">
        <f t="shared" ref="W47" si="25">ROUND(W38*W32*(1+W43),2)</f>
        <v>0.18</v>
      </c>
      <c r="X47" s="154">
        <f>ROUND(X38*X32*(1+X43),2)</f>
        <v>8.15</v>
      </c>
      <c r="Y47" s="154">
        <f>ROUND(Y38*Y32*(1+Y43),2)</f>
        <v>1.82</v>
      </c>
      <c r="Z47" s="154"/>
      <c r="AA47" s="158">
        <f t="shared" si="24"/>
        <v>1.6530800000000001</v>
      </c>
    </row>
    <row r="48" spans="1:36" x14ac:dyDescent="0.25">
      <c r="B48" s="95"/>
    </row>
    <row r="49" spans="1:29" x14ac:dyDescent="0.25">
      <c r="A49" t="s">
        <v>274</v>
      </c>
      <c r="B49" s="154">
        <f t="shared" ref="B49:H49" si="26">ROUND((B30*B36)+(B32*B38),2)</f>
        <v>81.349999999999994</v>
      </c>
      <c r="C49" s="154">
        <f t="shared" si="26"/>
        <v>82.75</v>
      </c>
      <c r="D49" s="154">
        <f t="shared" si="26"/>
        <v>22.37</v>
      </c>
      <c r="E49" s="154">
        <f t="shared" si="26"/>
        <v>77.02</v>
      </c>
      <c r="F49" s="154">
        <f t="shared" si="26"/>
        <v>33.049999999999997</v>
      </c>
      <c r="G49" s="154">
        <f t="shared" si="26"/>
        <v>89.55</v>
      </c>
      <c r="H49" s="154">
        <f t="shared" si="26"/>
        <v>60.06</v>
      </c>
      <c r="I49" s="154">
        <f t="shared" ref="I49:Q49" si="27">SUM(I45:I47)</f>
        <v>103.97</v>
      </c>
      <c r="J49" s="154">
        <f t="shared" si="27"/>
        <v>57.34</v>
      </c>
      <c r="K49" s="154">
        <f t="shared" si="27"/>
        <v>94.12</v>
      </c>
      <c r="L49" s="154">
        <f t="shared" si="27"/>
        <v>44.859999999999992</v>
      </c>
      <c r="M49" s="154">
        <f t="shared" si="27"/>
        <v>75.02</v>
      </c>
      <c r="N49" s="154">
        <f t="shared" si="27"/>
        <v>25.92</v>
      </c>
      <c r="O49" s="154">
        <f t="shared" si="27"/>
        <v>81.13</v>
      </c>
      <c r="P49" s="154">
        <f t="shared" si="27"/>
        <v>18.95</v>
      </c>
      <c r="Q49" s="154">
        <f t="shared" si="27"/>
        <v>76.470000000000013</v>
      </c>
      <c r="R49" s="154">
        <f>SUM(R45:R47)</f>
        <v>21.000000000000004</v>
      </c>
      <c r="S49" s="154">
        <f t="shared" ref="S49:T49" si="28">SUM(S45:S47)</f>
        <v>73.94</v>
      </c>
      <c r="T49" s="154">
        <f t="shared" si="28"/>
        <v>20.279999999999998</v>
      </c>
      <c r="U49" s="154">
        <f>SUM(U45:U47)</f>
        <v>104.60000000000001</v>
      </c>
      <c r="V49" s="154">
        <f>SUM(V45:V47)</f>
        <v>100.73</v>
      </c>
      <c r="W49" s="154">
        <f>SUM(W45:W47)</f>
        <v>45.69</v>
      </c>
      <c r="X49" s="154">
        <f t="shared" ref="X49" si="29">SUM(X45:X47)</f>
        <v>37.5</v>
      </c>
      <c r="Y49" s="154">
        <f>SUM(Y45:Y47)</f>
        <v>9.629999999999999</v>
      </c>
      <c r="Z49" s="154"/>
      <c r="AA49" s="158">
        <f>AA45*(1+Y41)</f>
        <v>7.5550532799999992</v>
      </c>
    </row>
    <row r="50" spans="1:29" x14ac:dyDescent="0.25">
      <c r="B50" s="92"/>
      <c r="AA50" s="158">
        <f t="shared" ref="AA50:AA51" si="30">AA46*(1+Y42)</f>
        <v>0.2506092060000002</v>
      </c>
      <c r="AB50" s="158"/>
    </row>
    <row r="51" spans="1:29" x14ac:dyDescent="0.25">
      <c r="A51" t="s">
        <v>275</v>
      </c>
      <c r="B51">
        <v>1.079</v>
      </c>
      <c r="C51">
        <f t="shared" ref="C51:H51" si="31">$B51</f>
        <v>1.079</v>
      </c>
      <c r="D51">
        <f t="shared" si="31"/>
        <v>1.079</v>
      </c>
      <c r="E51">
        <f t="shared" si="31"/>
        <v>1.079</v>
      </c>
      <c r="F51">
        <f t="shared" si="31"/>
        <v>1.079</v>
      </c>
      <c r="G51">
        <f t="shared" si="31"/>
        <v>1.079</v>
      </c>
      <c r="H51">
        <f t="shared" si="31"/>
        <v>1.079</v>
      </c>
      <c r="I51">
        <v>1.0629999999999999</v>
      </c>
      <c r="J51">
        <f t="shared" ref="J51:Y51" si="32">$I51</f>
        <v>1.0629999999999999</v>
      </c>
      <c r="K51">
        <f t="shared" si="32"/>
        <v>1.0629999999999999</v>
      </c>
      <c r="L51">
        <f t="shared" si="32"/>
        <v>1.0629999999999999</v>
      </c>
      <c r="M51">
        <f t="shared" si="32"/>
        <v>1.0629999999999999</v>
      </c>
      <c r="N51">
        <f t="shared" si="32"/>
        <v>1.0629999999999999</v>
      </c>
      <c r="O51">
        <f t="shared" si="32"/>
        <v>1.0629999999999999</v>
      </c>
      <c r="P51">
        <f t="shared" si="32"/>
        <v>1.0629999999999999</v>
      </c>
      <c r="Q51">
        <f>$I51</f>
        <v>1.0629999999999999</v>
      </c>
      <c r="R51">
        <f t="shared" si="32"/>
        <v>1.0629999999999999</v>
      </c>
      <c r="S51">
        <f t="shared" si="32"/>
        <v>1.0629999999999999</v>
      </c>
      <c r="T51">
        <f t="shared" si="32"/>
        <v>1.0629999999999999</v>
      </c>
      <c r="U51">
        <f t="shared" si="32"/>
        <v>1.0629999999999999</v>
      </c>
      <c r="V51">
        <f t="shared" si="32"/>
        <v>1.0629999999999999</v>
      </c>
      <c r="W51">
        <f t="shared" si="32"/>
        <v>1.0629999999999999</v>
      </c>
      <c r="X51">
        <f t="shared" si="32"/>
        <v>1.0629999999999999</v>
      </c>
      <c r="Y51">
        <f t="shared" si="32"/>
        <v>1.0629999999999999</v>
      </c>
      <c r="AA51" s="158">
        <f t="shared" si="30"/>
        <v>1.81673492</v>
      </c>
    </row>
    <row r="52" spans="1:29" x14ac:dyDescent="0.25">
      <c r="AC52" s="86" t="s">
        <v>594</v>
      </c>
    </row>
    <row r="53" spans="1:29" ht="13" x14ac:dyDescent="0.3">
      <c r="A53" s="156" t="s">
        <v>276</v>
      </c>
      <c r="B53" s="157">
        <f t="shared" ref="B53:Q53" si="33">ROUND(B49*B51,2)</f>
        <v>87.78</v>
      </c>
      <c r="C53" s="157">
        <f t="shared" si="33"/>
        <v>89.29</v>
      </c>
      <c r="D53" s="157">
        <f t="shared" si="33"/>
        <v>24.14</v>
      </c>
      <c r="E53" s="157">
        <f t="shared" si="33"/>
        <v>83.1</v>
      </c>
      <c r="F53" s="157">
        <f t="shared" si="33"/>
        <v>35.659999999999997</v>
      </c>
      <c r="G53" s="157">
        <f t="shared" si="33"/>
        <v>96.62</v>
      </c>
      <c r="H53" s="157">
        <f t="shared" si="33"/>
        <v>64.8</v>
      </c>
      <c r="I53" s="157">
        <f t="shared" si="33"/>
        <v>110.52</v>
      </c>
      <c r="J53" s="157">
        <f t="shared" si="33"/>
        <v>60.95</v>
      </c>
      <c r="K53" s="157">
        <f t="shared" si="33"/>
        <v>100.05</v>
      </c>
      <c r="L53" s="157">
        <f t="shared" si="33"/>
        <v>47.69</v>
      </c>
      <c r="M53" s="157">
        <f t="shared" si="33"/>
        <v>79.75</v>
      </c>
      <c r="N53" s="157">
        <f t="shared" si="33"/>
        <v>27.55</v>
      </c>
      <c r="O53" s="157">
        <f t="shared" si="33"/>
        <v>86.24</v>
      </c>
      <c r="P53" s="157">
        <f t="shared" si="33"/>
        <v>20.14</v>
      </c>
      <c r="Q53" s="157">
        <f t="shared" si="33"/>
        <v>81.290000000000006</v>
      </c>
      <c r="R53" s="157">
        <f>ROUND(R49*R51,2)</f>
        <v>22.32</v>
      </c>
      <c r="S53" s="481">
        <f t="shared" ref="S53:T53" si="34">ROUND(S49*S51,2)</f>
        <v>78.599999999999994</v>
      </c>
      <c r="T53" s="157">
        <f t="shared" si="34"/>
        <v>21.56</v>
      </c>
      <c r="U53" s="481">
        <f>ROUND(U49*U51,2)</f>
        <v>111.19</v>
      </c>
      <c r="V53" s="157">
        <f>ROUND(V49*V51,2)</f>
        <v>107.08</v>
      </c>
      <c r="W53" s="486">
        <f>ROUND(W49*W51,2)</f>
        <v>48.57</v>
      </c>
      <c r="X53" s="486">
        <f t="shared" ref="X53" si="35">ROUND(X49*X51,2)</f>
        <v>39.86</v>
      </c>
      <c r="Y53" s="486">
        <f>ROUND(Y49*Y51,2)</f>
        <v>10.24</v>
      </c>
      <c r="Z53" s="157"/>
      <c r="AB53" s="158">
        <f>+W53-Y53</f>
        <v>38.33</v>
      </c>
      <c r="AC53" s="95">
        <f>Y53/W53-1</f>
        <v>-0.7891702697138151</v>
      </c>
    </row>
    <row r="54" spans="1:29" x14ac:dyDescent="0.25">
      <c r="AC54" s="158"/>
    </row>
    <row r="55" spans="1:29" x14ac:dyDescent="0.25">
      <c r="U55" s="195"/>
      <c r="V55" s="195"/>
      <c r="W55" s="195"/>
      <c r="X55" s="676"/>
      <c r="Y55" s="676">
        <f>+Y53-W53</f>
        <v>-38.33</v>
      </c>
    </row>
    <row r="56" spans="1:29" ht="13" x14ac:dyDescent="0.3">
      <c r="A56" s="89" t="s">
        <v>277</v>
      </c>
      <c r="U56" s="195"/>
      <c r="V56" s="195"/>
      <c r="W56" s="692"/>
      <c r="X56" s="696"/>
      <c r="Y56" s="696">
        <f>+Y55/W53</f>
        <v>-0.7891702697138151</v>
      </c>
    </row>
    <row r="58" spans="1:29" x14ac:dyDescent="0.25">
      <c r="A58" t="s">
        <v>268</v>
      </c>
      <c r="I58" s="141">
        <f t="shared" ref="I58:X58" si="36">I17</f>
        <v>0.88</v>
      </c>
      <c r="J58" s="141">
        <f t="shared" si="36"/>
        <v>0.88</v>
      </c>
      <c r="K58" s="141">
        <f t="shared" si="36"/>
        <v>0.90500000000000003</v>
      </c>
      <c r="L58" s="141">
        <f t="shared" si="36"/>
        <v>0.90500000000000003</v>
      </c>
      <c r="M58" s="141">
        <f t="shared" si="36"/>
        <v>0.9</v>
      </c>
      <c r="N58" s="141">
        <f t="shared" si="36"/>
        <v>0.9</v>
      </c>
      <c r="O58" s="141">
        <f t="shared" si="36"/>
        <v>0.91500000000000004</v>
      </c>
      <c r="P58" s="141">
        <f t="shared" si="36"/>
        <v>0.91500000000000004</v>
      </c>
      <c r="Q58" s="141">
        <f t="shared" si="36"/>
        <v>0.94499999999999995</v>
      </c>
      <c r="R58" s="141">
        <f t="shared" si="36"/>
        <v>0.94499999999999995</v>
      </c>
      <c r="S58" s="141">
        <f t="shared" si="36"/>
        <v>0.92300000000000004</v>
      </c>
      <c r="T58" s="141">
        <f t="shared" si="36"/>
        <v>0.92300000000000004</v>
      </c>
      <c r="U58" s="141">
        <f t="shared" ref="U58" si="37">U17</f>
        <v>0.9</v>
      </c>
      <c r="V58" s="141">
        <f t="shared" si="36"/>
        <v>0.9</v>
      </c>
      <c r="W58" s="141">
        <f>W17</f>
        <v>0.9</v>
      </c>
      <c r="X58" s="470">
        <f t="shared" si="36"/>
        <v>0.87586799999999998</v>
      </c>
      <c r="Y58" s="141">
        <f>Y17</f>
        <v>0.9</v>
      </c>
      <c r="AA58" s="158">
        <f>Y31*Y58</f>
        <v>5.7690000000000001</v>
      </c>
    </row>
    <row r="59" spans="1:29" x14ac:dyDescent="0.25">
      <c r="A59" t="s">
        <v>269</v>
      </c>
      <c r="I59" s="141">
        <f t="shared" ref="I59:X59" si="38">I15-I17</f>
        <v>0.28999999999999992</v>
      </c>
      <c r="J59" s="141">
        <f t="shared" si="38"/>
        <v>0.28999999999999992</v>
      </c>
      <c r="K59" s="141">
        <f t="shared" si="38"/>
        <v>0.2649999999999999</v>
      </c>
      <c r="L59" s="141">
        <f t="shared" si="38"/>
        <v>0.2649999999999999</v>
      </c>
      <c r="M59" s="141">
        <f t="shared" si="38"/>
        <v>0.27500000000000002</v>
      </c>
      <c r="N59" s="141">
        <f t="shared" si="38"/>
        <v>0.27500000000000002</v>
      </c>
      <c r="O59" s="141">
        <f t="shared" si="38"/>
        <v>0.2649999999999999</v>
      </c>
      <c r="P59" s="141">
        <f t="shared" si="38"/>
        <v>0.2649999999999999</v>
      </c>
      <c r="Q59" s="141">
        <f t="shared" si="38"/>
        <v>0.23699999999999999</v>
      </c>
      <c r="R59" s="141">
        <f t="shared" si="38"/>
        <v>0.23699999999999999</v>
      </c>
      <c r="S59" s="141">
        <f t="shared" si="38"/>
        <v>0.24699999999999989</v>
      </c>
      <c r="T59" s="141">
        <f t="shared" si="38"/>
        <v>0.24699999999999989</v>
      </c>
      <c r="U59" s="141">
        <f t="shared" ref="U59" si="39">U15-U17</f>
        <v>0.28900000000000003</v>
      </c>
      <c r="V59" s="141">
        <f t="shared" si="38"/>
        <v>0.28900000000000003</v>
      </c>
      <c r="W59" s="141">
        <f>W15-W17</f>
        <v>0.28900000000000003</v>
      </c>
      <c r="X59" s="470">
        <f t="shared" si="38"/>
        <v>0.33113200000000009</v>
      </c>
      <c r="Y59" s="141">
        <f>Y15-Y17</f>
        <v>0.28900000000000003</v>
      </c>
      <c r="AA59" s="158">
        <f>Y32*Y59</f>
        <v>1.6530800000000001</v>
      </c>
    </row>
    <row r="60" spans="1:29" x14ac:dyDescent="0.25">
      <c r="I60" s="141"/>
      <c r="J60" s="141"/>
      <c r="K60" s="141"/>
      <c r="L60" s="141"/>
      <c r="M60" s="141"/>
      <c r="N60" s="141"/>
      <c r="O60" s="141"/>
      <c r="P60" s="141"/>
    </row>
    <row r="61" spans="1:29" x14ac:dyDescent="0.25">
      <c r="A61" s="153" t="s">
        <v>270</v>
      </c>
      <c r="B61" s="120"/>
      <c r="C61" s="120"/>
      <c r="D61" s="120"/>
      <c r="E61" s="120"/>
      <c r="F61" s="120"/>
      <c r="G61" s="120"/>
      <c r="H61" s="120"/>
      <c r="I61" s="120"/>
      <c r="J61" s="120"/>
      <c r="K61" s="120"/>
      <c r="L61" s="120"/>
      <c r="M61" s="120"/>
      <c r="N61" s="120"/>
      <c r="O61" s="120"/>
      <c r="P61" s="120"/>
    </row>
    <row r="62" spans="1:29" x14ac:dyDescent="0.25">
      <c r="A62" t="s">
        <v>268</v>
      </c>
      <c r="B62" s="120"/>
      <c r="C62" s="120"/>
      <c r="D62" s="120"/>
      <c r="E62" s="120"/>
      <c r="F62" s="120"/>
      <c r="G62" s="120"/>
      <c r="H62" s="120"/>
      <c r="I62" s="154">
        <f t="shared" ref="I62:R63" si="40">ROUND(I53*I47,2)</f>
        <v>1283.1400000000001</v>
      </c>
      <c r="J62" s="154">
        <f t="shared" si="40"/>
        <v>385.2</v>
      </c>
      <c r="K62" s="154">
        <f t="shared" si="40"/>
        <v>746.37</v>
      </c>
      <c r="L62" s="154">
        <f t="shared" si="40"/>
        <v>133.53</v>
      </c>
      <c r="M62" s="154">
        <f t="shared" si="40"/>
        <v>594.94000000000005</v>
      </c>
      <c r="N62" s="154">
        <f t="shared" si="40"/>
        <v>37.74</v>
      </c>
      <c r="O62" s="154">
        <f t="shared" si="40"/>
        <v>567.46</v>
      </c>
      <c r="P62" s="154">
        <f t="shared" si="40"/>
        <v>15.71</v>
      </c>
      <c r="Q62" s="154">
        <f t="shared" si="40"/>
        <v>257.69</v>
      </c>
      <c r="R62" s="154">
        <f t="shared" si="40"/>
        <v>20.98</v>
      </c>
      <c r="S62" s="96">
        <f t="shared" ref="S62:U63" si="41">+S42</f>
        <v>7.4300000000000005E-2</v>
      </c>
      <c r="T62" s="96">
        <f t="shared" si="41"/>
        <v>0.13750000000000001</v>
      </c>
      <c r="U62" s="96">
        <f>+U42</f>
        <v>0.1113</v>
      </c>
      <c r="V62" s="154">
        <f t="shared" ref="V62:V63" si="42">ROUND(V53*V47,2)</f>
        <v>503.28</v>
      </c>
      <c r="W62" s="96">
        <f>W42</f>
        <v>0.14990000000000001</v>
      </c>
      <c r="X62" s="96">
        <f>X42</f>
        <v>0.14990000000000001</v>
      </c>
      <c r="Y62" s="96">
        <f t="shared" ref="W62:Y63" si="43">Y42</f>
        <v>0.14990000000000001</v>
      </c>
      <c r="AA62" s="723">
        <f>AA58*(1+Y62)</f>
        <v>6.6337731</v>
      </c>
    </row>
    <row r="63" spans="1:29" x14ac:dyDescent="0.25">
      <c r="A63" t="s">
        <v>269</v>
      </c>
      <c r="B63" s="120"/>
      <c r="C63" s="120"/>
      <c r="D63" s="120"/>
      <c r="E63" s="120"/>
      <c r="F63" s="120"/>
      <c r="G63" s="120"/>
      <c r="H63" s="120"/>
      <c r="I63" s="154">
        <f t="shared" si="40"/>
        <v>0</v>
      </c>
      <c r="J63" s="154">
        <f t="shared" si="40"/>
        <v>0</v>
      </c>
      <c r="K63" s="154">
        <f t="shared" si="40"/>
        <v>0</v>
      </c>
      <c r="L63" s="154">
        <f t="shared" si="40"/>
        <v>0</v>
      </c>
      <c r="M63" s="154">
        <f t="shared" si="40"/>
        <v>0</v>
      </c>
      <c r="N63" s="154">
        <f t="shared" si="40"/>
        <v>0</v>
      </c>
      <c r="O63" s="154">
        <f t="shared" si="40"/>
        <v>0</v>
      </c>
      <c r="P63" s="154">
        <f t="shared" si="40"/>
        <v>0</v>
      </c>
      <c r="Q63" s="154">
        <f t="shared" si="40"/>
        <v>0</v>
      </c>
      <c r="R63" s="154">
        <f t="shared" si="40"/>
        <v>0</v>
      </c>
      <c r="S63" s="96">
        <f t="shared" si="41"/>
        <v>9.2399999999999996E-2</v>
      </c>
      <c r="T63" s="96">
        <f t="shared" si="41"/>
        <v>0.1171</v>
      </c>
      <c r="U63" s="96">
        <f t="shared" si="41"/>
        <v>0.11169999999999999</v>
      </c>
      <c r="V63" s="154">
        <f t="shared" si="42"/>
        <v>0</v>
      </c>
      <c r="W63" s="96">
        <f t="shared" si="43"/>
        <v>0.11890000000000001</v>
      </c>
      <c r="X63" s="96">
        <f t="shared" si="43"/>
        <v>9.9000000000000005E-2</v>
      </c>
      <c r="Y63" s="96">
        <f t="shared" si="43"/>
        <v>9.9000000000000005E-2</v>
      </c>
      <c r="AA63" s="723">
        <f>AA59*(1+Y63)</f>
        <v>1.81673492</v>
      </c>
    </row>
    <row r="64" spans="1:29" x14ac:dyDescent="0.25">
      <c r="B64" s="120"/>
      <c r="C64" s="120"/>
      <c r="D64" s="120"/>
      <c r="E64" s="120"/>
      <c r="F64" s="120"/>
      <c r="G64" s="120"/>
      <c r="H64" s="120"/>
      <c r="I64" s="154"/>
      <c r="J64" s="154"/>
      <c r="K64" s="154"/>
      <c r="L64" s="154"/>
      <c r="M64" s="154"/>
      <c r="N64" s="154"/>
      <c r="O64" s="154"/>
      <c r="P64" s="154"/>
      <c r="Q64" s="154"/>
      <c r="R64" s="154"/>
      <c r="S64" s="96"/>
      <c r="T64" s="154"/>
      <c r="U64" s="96"/>
      <c r="V64" s="154"/>
      <c r="W64" s="154"/>
      <c r="X64" s="154"/>
      <c r="Y64" s="154"/>
    </row>
    <row r="65" spans="1:26" x14ac:dyDescent="0.25">
      <c r="A65" t="s">
        <v>272</v>
      </c>
      <c r="I65" s="154">
        <f t="shared" ref="I65:R66" si="44">ROUND(I58*I31,2)</f>
        <v>62.67</v>
      </c>
      <c r="J65" s="154">
        <f t="shared" si="44"/>
        <v>33.479999999999997</v>
      </c>
      <c r="K65" s="154">
        <f t="shared" si="44"/>
        <v>49.03</v>
      </c>
      <c r="L65" s="154">
        <f t="shared" si="44"/>
        <v>23.67</v>
      </c>
      <c r="M65" s="154">
        <f t="shared" si="44"/>
        <v>52.06</v>
      </c>
      <c r="N65" s="154">
        <f t="shared" si="44"/>
        <v>22.52</v>
      </c>
      <c r="O65" s="154">
        <f t="shared" si="44"/>
        <v>61.54</v>
      </c>
      <c r="P65" s="154">
        <f t="shared" si="44"/>
        <v>14.55</v>
      </c>
      <c r="Q65" s="154">
        <f t="shared" si="44"/>
        <v>60.5</v>
      </c>
      <c r="R65" s="154">
        <f t="shared" si="44"/>
        <v>14.8</v>
      </c>
      <c r="S65" s="154">
        <f t="shared" ref="S65:U66" si="45">ROUND(S58*S31*(1+S62),2)</f>
        <v>26.13</v>
      </c>
      <c r="T65" s="154">
        <f t="shared" si="45"/>
        <v>3.87</v>
      </c>
      <c r="U65" s="154">
        <f>ROUND(U58*U31*(1+U62),2)</f>
        <v>17.649999999999999</v>
      </c>
      <c r="V65" s="154">
        <f t="shared" ref="V65:V66" si="46">ROUND(V58*V31,2)</f>
        <v>16.579999999999998</v>
      </c>
      <c r="W65" s="154">
        <f>ROUND(W58*W31*(1+W62),2)</f>
        <v>1.39</v>
      </c>
      <c r="X65" s="154">
        <f>ROUND(X58*X31*(1+X62),2)</f>
        <v>26.56</v>
      </c>
      <c r="Y65" s="154">
        <f>ROUND(Y58*Y31,2)</f>
        <v>5.77</v>
      </c>
    </row>
    <row r="66" spans="1:26" x14ac:dyDescent="0.25">
      <c r="A66" t="s">
        <v>273</v>
      </c>
      <c r="I66" s="154">
        <f t="shared" si="44"/>
        <v>11.61</v>
      </c>
      <c r="J66" s="154">
        <f t="shared" si="44"/>
        <v>6.32</v>
      </c>
      <c r="K66" s="154">
        <f t="shared" si="44"/>
        <v>7.46</v>
      </c>
      <c r="L66" s="154">
        <f t="shared" si="44"/>
        <v>2.8</v>
      </c>
      <c r="M66" s="154">
        <f t="shared" si="44"/>
        <v>7.46</v>
      </c>
      <c r="N66" s="154">
        <f t="shared" si="44"/>
        <v>1.37</v>
      </c>
      <c r="O66" s="154">
        <f t="shared" si="44"/>
        <v>6.58</v>
      </c>
      <c r="P66" s="154">
        <f t="shared" si="44"/>
        <v>0.78</v>
      </c>
      <c r="Q66" s="154">
        <f t="shared" si="44"/>
        <v>3.17</v>
      </c>
      <c r="R66" s="154">
        <f t="shared" si="44"/>
        <v>0.94</v>
      </c>
      <c r="S66" s="154">
        <f t="shared" si="45"/>
        <v>1.92</v>
      </c>
      <c r="T66" s="154">
        <f t="shared" si="45"/>
        <v>0.27</v>
      </c>
      <c r="U66" s="154">
        <f t="shared" si="45"/>
        <v>4.79</v>
      </c>
      <c r="V66" s="154">
        <f t="shared" si="46"/>
        <v>4.7</v>
      </c>
      <c r="W66" s="154">
        <f>ROUND(W59*W32*(1+W63),2)</f>
        <v>0.18</v>
      </c>
      <c r="X66" s="154">
        <f>ROUND(X59*X32*(1+X63),2)</f>
        <v>8.15</v>
      </c>
      <c r="Y66" s="154">
        <f>ROUND(Y59*Y32,2)</f>
        <v>1.65</v>
      </c>
    </row>
    <row r="67" spans="1:26" x14ac:dyDescent="0.25">
      <c r="I67" s="158"/>
      <c r="J67" s="158"/>
      <c r="K67" s="158"/>
      <c r="L67" s="158"/>
      <c r="M67" s="158"/>
      <c r="N67" s="158"/>
      <c r="O67" s="158"/>
      <c r="P67" s="158"/>
    </row>
    <row r="68" spans="1:26" x14ac:dyDescent="0.25">
      <c r="A68" t="s">
        <v>278</v>
      </c>
      <c r="B68" s="154" t="e">
        <f>ROUND(#REF!*#REF!,2)</f>
        <v>#REF!</v>
      </c>
      <c r="C68" s="154" t="e">
        <f>ROUND(#REF!*#REF!,2)</f>
        <v>#REF!</v>
      </c>
      <c r="D68" s="154" t="e">
        <f>ROUND(#REF!*#REF!,2)</f>
        <v>#REF!</v>
      </c>
      <c r="E68" s="154" t="e">
        <f>ROUND(#REF!*#REF!,2)</f>
        <v>#REF!</v>
      </c>
      <c r="F68" s="154" t="e">
        <f>ROUND(#REF!*#REF!,2)</f>
        <v>#REF!</v>
      </c>
      <c r="G68" s="154" t="e">
        <f>ROUND(#REF!*#REF!,2)</f>
        <v>#REF!</v>
      </c>
      <c r="H68" s="154" t="e">
        <f>ROUND(#REF!*#REF!,2)</f>
        <v>#REF!</v>
      </c>
      <c r="I68" s="154">
        <f>SUM(I65:I66)</f>
        <v>74.28</v>
      </c>
      <c r="J68" s="154">
        <f t="shared" ref="J68:Q68" si="47">SUM(J65:J66)</f>
        <v>39.799999999999997</v>
      </c>
      <c r="K68" s="154">
        <f t="shared" si="47"/>
        <v>56.49</v>
      </c>
      <c r="L68" s="154">
        <f t="shared" si="47"/>
        <v>26.470000000000002</v>
      </c>
      <c r="M68" s="154">
        <f t="shared" si="47"/>
        <v>59.52</v>
      </c>
      <c r="N68" s="154">
        <f t="shared" si="47"/>
        <v>23.89</v>
      </c>
      <c r="O68" s="154">
        <f t="shared" si="47"/>
        <v>68.12</v>
      </c>
      <c r="P68" s="154">
        <f t="shared" si="47"/>
        <v>15.33</v>
      </c>
      <c r="Q68" s="154">
        <f t="shared" si="47"/>
        <v>63.67</v>
      </c>
      <c r="R68" s="154">
        <f>SUM(R65:R66)</f>
        <v>15.74</v>
      </c>
      <c r="S68" s="154">
        <f t="shared" ref="S68:T68" si="48">SUM(S65:S66)</f>
        <v>28.049999999999997</v>
      </c>
      <c r="T68" s="154">
        <f t="shared" si="48"/>
        <v>4.1400000000000006</v>
      </c>
      <c r="U68" s="154">
        <f t="shared" ref="U68" si="49">SUM(U65:U66)</f>
        <v>22.439999999999998</v>
      </c>
      <c r="V68" s="154">
        <f>SUM(V65:V66)</f>
        <v>21.279999999999998</v>
      </c>
      <c r="W68" s="154">
        <f>SUM(W65:W66)</f>
        <v>1.5699999999999998</v>
      </c>
      <c r="X68" s="154">
        <f>SUM(X65:X66)</f>
        <v>34.71</v>
      </c>
      <c r="Y68" s="154">
        <f>SUM(Y65:Y66)</f>
        <v>7.42</v>
      </c>
    </row>
    <row r="70" spans="1:26" x14ac:dyDescent="0.25">
      <c r="A70" t="s">
        <v>275</v>
      </c>
      <c r="B70">
        <v>1.079</v>
      </c>
      <c r="C70">
        <f t="shared" ref="C70:H70" si="50">$B70</f>
        <v>1.079</v>
      </c>
      <c r="D70">
        <f t="shared" si="50"/>
        <v>1.079</v>
      </c>
      <c r="E70">
        <f t="shared" si="50"/>
        <v>1.079</v>
      </c>
      <c r="F70">
        <f t="shared" si="50"/>
        <v>1.079</v>
      </c>
      <c r="G70">
        <f t="shared" si="50"/>
        <v>1.079</v>
      </c>
      <c r="H70">
        <f t="shared" si="50"/>
        <v>1.079</v>
      </c>
      <c r="I70">
        <f t="shared" ref="I70:Q70" si="51">I51</f>
        <v>1.0629999999999999</v>
      </c>
      <c r="J70">
        <f t="shared" si="51"/>
        <v>1.0629999999999999</v>
      </c>
      <c r="K70">
        <f t="shared" si="51"/>
        <v>1.0629999999999999</v>
      </c>
      <c r="L70">
        <f t="shared" si="51"/>
        <v>1.0629999999999999</v>
      </c>
      <c r="M70">
        <f t="shared" si="51"/>
        <v>1.0629999999999999</v>
      </c>
      <c r="N70">
        <f t="shared" si="51"/>
        <v>1.0629999999999999</v>
      </c>
      <c r="O70">
        <f t="shared" si="51"/>
        <v>1.0629999999999999</v>
      </c>
      <c r="P70">
        <f t="shared" si="51"/>
        <v>1.0629999999999999</v>
      </c>
      <c r="Q70">
        <f t="shared" si="51"/>
        <v>1.0629999999999999</v>
      </c>
      <c r="R70">
        <f>R51</f>
        <v>1.0629999999999999</v>
      </c>
      <c r="S70">
        <f t="shared" ref="S70:T70" si="52">S51</f>
        <v>1.0629999999999999</v>
      </c>
      <c r="T70">
        <f t="shared" si="52"/>
        <v>1.0629999999999999</v>
      </c>
      <c r="U70">
        <f t="shared" ref="U70" si="53">U51</f>
        <v>1.0629999999999999</v>
      </c>
      <c r="V70">
        <f>V51</f>
        <v>1.0629999999999999</v>
      </c>
      <c r="W70">
        <f>W51</f>
        <v>1.0629999999999999</v>
      </c>
      <c r="X70">
        <f t="shared" ref="X70" si="54">X51</f>
        <v>1.0629999999999999</v>
      </c>
      <c r="Y70">
        <f>Y51</f>
        <v>1.0629999999999999</v>
      </c>
    </row>
    <row r="72" spans="1:26" ht="13" x14ac:dyDescent="0.3">
      <c r="A72" s="156" t="s">
        <v>279</v>
      </c>
      <c r="B72" s="157" t="e">
        <f t="shared" ref="B72:Q72" si="55">ROUND(B68*B70,2)</f>
        <v>#REF!</v>
      </c>
      <c r="C72" s="157" t="e">
        <f t="shared" si="55"/>
        <v>#REF!</v>
      </c>
      <c r="D72" s="157" t="e">
        <f t="shared" si="55"/>
        <v>#REF!</v>
      </c>
      <c r="E72" s="157" t="e">
        <f t="shared" si="55"/>
        <v>#REF!</v>
      </c>
      <c r="F72" s="157" t="e">
        <f t="shared" si="55"/>
        <v>#REF!</v>
      </c>
      <c r="G72" s="157" t="e">
        <f t="shared" si="55"/>
        <v>#REF!</v>
      </c>
      <c r="H72" s="157" t="e">
        <f t="shared" si="55"/>
        <v>#REF!</v>
      </c>
      <c r="I72" s="157">
        <f t="shared" si="55"/>
        <v>78.959999999999994</v>
      </c>
      <c r="J72" s="157">
        <f t="shared" si="55"/>
        <v>42.31</v>
      </c>
      <c r="K72" s="157">
        <f t="shared" si="55"/>
        <v>60.05</v>
      </c>
      <c r="L72" s="157">
        <f t="shared" si="55"/>
        <v>28.14</v>
      </c>
      <c r="M72" s="157">
        <f t="shared" si="55"/>
        <v>63.27</v>
      </c>
      <c r="N72" s="157">
        <f t="shared" si="55"/>
        <v>25.4</v>
      </c>
      <c r="O72" s="157">
        <f t="shared" si="55"/>
        <v>72.41</v>
      </c>
      <c r="P72" s="157">
        <f t="shared" si="55"/>
        <v>16.3</v>
      </c>
      <c r="Q72" s="157">
        <f t="shared" si="55"/>
        <v>67.680000000000007</v>
      </c>
      <c r="R72" s="157">
        <f>ROUND(R68*R70,2)</f>
        <v>16.73</v>
      </c>
      <c r="S72" s="481">
        <f t="shared" ref="S72:T72" si="56">ROUND(S68*S70,2)</f>
        <v>29.82</v>
      </c>
      <c r="T72" s="157">
        <f t="shared" si="56"/>
        <v>4.4000000000000004</v>
      </c>
      <c r="U72" s="481">
        <f t="shared" ref="U72" si="57">ROUND(U68*U70,2)</f>
        <v>23.85</v>
      </c>
      <c r="V72" s="157">
        <f>ROUND(V68*V70,2)</f>
        <v>22.62</v>
      </c>
      <c r="W72" s="486">
        <f>ROUND(W68*W70,2)</f>
        <v>1.67</v>
      </c>
      <c r="X72" s="486">
        <f>ROUND(X68*X70,2)</f>
        <v>36.9</v>
      </c>
      <c r="Y72" s="486">
        <f>ROUND(Y68*Y70,2)</f>
        <v>7.89</v>
      </c>
      <c r="Z72" s="98"/>
    </row>
    <row r="74" spans="1:26" hidden="1" x14ac:dyDescent="0.25">
      <c r="A74" t="s">
        <v>280</v>
      </c>
      <c r="B74" s="154" t="e">
        <f t="shared" ref="B74:K74" si="58">ROUND((B21*B53)+(B22*B72),2)</f>
        <v>#REF!</v>
      </c>
      <c r="C74" s="154" t="e">
        <f t="shared" si="58"/>
        <v>#REF!</v>
      </c>
      <c r="D74" s="154" t="e">
        <f t="shared" si="58"/>
        <v>#REF!</v>
      </c>
      <c r="E74" s="154" t="e">
        <f t="shared" si="58"/>
        <v>#REF!</v>
      </c>
      <c r="F74" s="154" t="e">
        <f t="shared" si="58"/>
        <v>#REF!</v>
      </c>
      <c r="G74" s="154" t="e">
        <f t="shared" si="58"/>
        <v>#REF!</v>
      </c>
      <c r="H74" s="154" t="e">
        <f t="shared" si="58"/>
        <v>#REF!</v>
      </c>
      <c r="I74" s="154">
        <f t="shared" si="58"/>
        <v>106.73</v>
      </c>
      <c r="J74" s="154">
        <f t="shared" si="58"/>
        <v>58.71</v>
      </c>
      <c r="K74" s="154">
        <f t="shared" si="58"/>
        <v>95.25</v>
      </c>
    </row>
    <row r="75" spans="1:26" x14ac:dyDescent="0.25">
      <c r="U75" s="195"/>
      <c r="V75" s="195"/>
      <c r="W75" s="692"/>
      <c r="X75" s="676">
        <f>+X72-U72</f>
        <v>13.049999999999997</v>
      </c>
      <c r="Y75" s="676">
        <f>+Y72-W72</f>
        <v>6.22</v>
      </c>
    </row>
    <row r="76" spans="1:26" x14ac:dyDescent="0.25">
      <c r="U76" s="195"/>
      <c r="V76" s="195"/>
      <c r="W76" s="692"/>
      <c r="X76" s="697">
        <f>+X75/U72</f>
        <v>0.5471698113207546</v>
      </c>
      <c r="Y76" s="697">
        <f>Y72/W72-1</f>
        <v>3.7245508982035931</v>
      </c>
    </row>
  </sheetData>
  <mergeCells count="3">
    <mergeCell ref="A1:C1"/>
    <mergeCell ref="AE30:AK30"/>
    <mergeCell ref="AE31:AF31"/>
  </mergeCells>
  <phoneticPr fontId="13" type="noConversion"/>
  <pageMargins left="0.75" right="0.75" top="1" bottom="1" header="0.5" footer="0.5"/>
  <pageSetup scale="58" orientation="landscape" r:id="rId1"/>
  <headerFooter alignWithMargins="0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53D37-099F-4A9A-9BD2-31F56FCC7E04}">
  <sheetPr codeName="Sheet13"/>
  <dimension ref="D3:M6"/>
  <sheetViews>
    <sheetView workbookViewId="0"/>
  </sheetViews>
  <sheetFormatPr defaultColWidth="9.1796875" defaultRowHeight="14.5" x14ac:dyDescent="0.35"/>
  <cols>
    <col min="1" max="3" width="9.1796875" style="744"/>
    <col min="4" max="14" width="13.453125" style="744" customWidth="1"/>
    <col min="15" max="16384" width="9.1796875" style="744"/>
  </cols>
  <sheetData>
    <row r="3" spans="4:13" x14ac:dyDescent="0.35">
      <c r="D3" s="787" t="s">
        <v>625</v>
      </c>
      <c r="E3" s="787"/>
      <c r="F3" s="787"/>
      <c r="J3" s="749" t="s">
        <v>624</v>
      </c>
    </row>
    <row r="4" spans="4:13" x14ac:dyDescent="0.35">
      <c r="E4" s="744">
        <v>2020</v>
      </c>
      <c r="F4" s="744">
        <v>2021</v>
      </c>
      <c r="G4" s="744" t="s">
        <v>623</v>
      </c>
      <c r="H4" s="744" t="s">
        <v>622</v>
      </c>
      <c r="J4" s="744">
        <v>2020</v>
      </c>
      <c r="K4" s="744">
        <v>2021</v>
      </c>
      <c r="L4" s="744" t="s">
        <v>623</v>
      </c>
      <c r="M4" s="744" t="s">
        <v>622</v>
      </c>
    </row>
    <row r="5" spans="4:13" x14ac:dyDescent="0.35">
      <c r="D5" s="744" t="s">
        <v>263</v>
      </c>
      <c r="E5" s="746">
        <v>3.07</v>
      </c>
      <c r="F5" s="746">
        <f>+'NYISO Strip Auction Price'!AV16</f>
        <v>4.5599999999999996</v>
      </c>
      <c r="G5" s="746">
        <f>+F5-E5</f>
        <v>1.4899999999999998</v>
      </c>
      <c r="H5" s="745">
        <f>+G5/E5</f>
        <v>0.48534201954397388</v>
      </c>
      <c r="J5" s="748">
        <f>+'[34]May - Oct Capacity MSC by Class'!$H$20</f>
        <v>1.7170000000000001E-2</v>
      </c>
      <c r="K5" s="748">
        <f>+'May - Oct Capacity MSC by Class'!$H$20</f>
        <v>2.4369999999999999E-2</v>
      </c>
      <c r="L5" s="747">
        <f>+K5-J5</f>
        <v>7.1999999999999981E-3</v>
      </c>
      <c r="M5" s="745">
        <f>+L5/J5</f>
        <v>0.41933605125218387</v>
      </c>
    </row>
    <row r="6" spans="4:13" x14ac:dyDescent="0.35">
      <c r="D6" s="744" t="s">
        <v>264</v>
      </c>
      <c r="E6" s="746">
        <v>2.71</v>
      </c>
      <c r="F6" s="746">
        <f>+'NYISO Strip Auction Price'!AV21</f>
        <v>4.09</v>
      </c>
      <c r="G6" s="746">
        <f>+F6-E6</f>
        <v>1.38</v>
      </c>
      <c r="H6" s="745">
        <f>+G6/E6</f>
        <v>0.5092250922509225</v>
      </c>
    </row>
  </sheetData>
  <mergeCells count="1">
    <mergeCell ref="D3:F3"/>
  </mergeCells>
  <pageMargins left="0.7" right="0.7" top="0.75" bottom="0.75" header="0.3" footer="0.3"/>
  <pageSetup orientation="portrait" horizontalDpi="1200" verticalDpi="12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14">
    <tabColor indexed="29"/>
  </sheetPr>
  <dimension ref="A1:BI68"/>
  <sheetViews>
    <sheetView topLeftCell="A40" zoomScaleNormal="100" workbookViewId="0">
      <selection activeCell="AA60" sqref="AA60"/>
    </sheetView>
  </sheetViews>
  <sheetFormatPr defaultColWidth="9.1796875" defaultRowHeight="12.5" x14ac:dyDescent="0.25"/>
  <cols>
    <col min="1" max="1" width="3" style="195" customWidth="1"/>
    <col min="2" max="2" width="32.81640625" style="195" customWidth="1"/>
    <col min="3" max="9" width="9.1796875" style="195"/>
    <col min="10" max="10" width="2.54296875" style="195" customWidth="1"/>
    <col min="11" max="11" width="9.1796875" style="195"/>
    <col min="12" max="12" width="10.453125" style="195" bestFit="1" customWidth="1"/>
    <col min="13" max="23" width="9.1796875" style="195"/>
    <col min="24" max="24" width="10.26953125" style="195" customWidth="1"/>
    <col min="25" max="25" width="11.1796875" style="195" customWidth="1"/>
    <col min="26" max="26" width="12.26953125" style="195" customWidth="1"/>
    <col min="27" max="27" width="9.1796875" style="650"/>
    <col min="28" max="29" width="9.1796875" style="195"/>
    <col min="30" max="30" width="26.81640625" style="195" bestFit="1" customWidth="1"/>
    <col min="31" max="32" width="13.453125" style="195" bestFit="1" customWidth="1"/>
    <col min="33" max="46" width="9.1796875" style="195"/>
    <col min="47" max="47" width="10.81640625" style="195" bestFit="1" customWidth="1"/>
    <col min="48" max="57" width="9.1796875" style="195"/>
    <col min="58" max="58" width="11" style="195" bestFit="1" customWidth="1"/>
    <col min="59" max="60" width="9.1796875" style="195"/>
    <col min="61" max="61" width="11.26953125" style="195" bestFit="1" customWidth="1"/>
    <col min="62" max="16384" width="9.1796875" style="195"/>
  </cols>
  <sheetData>
    <row r="1" spans="1:50" ht="13" x14ac:dyDescent="0.3">
      <c r="A1" s="645"/>
      <c r="B1" s="645"/>
    </row>
    <row r="2" spans="1:50" ht="13" x14ac:dyDescent="0.3">
      <c r="A2" s="645"/>
      <c r="B2" s="645"/>
    </row>
    <row r="3" spans="1:50" ht="13" x14ac:dyDescent="0.3">
      <c r="A3" s="645"/>
      <c r="B3" s="645"/>
    </row>
    <row r="4" spans="1:50" ht="13" x14ac:dyDescent="0.3">
      <c r="C4" s="645"/>
      <c r="D4" s="645"/>
      <c r="E4" s="645"/>
      <c r="F4" s="645"/>
      <c r="G4" s="645"/>
      <c r="H4" s="645"/>
      <c r="I4" s="645"/>
    </row>
    <row r="5" spans="1:50" ht="13" x14ac:dyDescent="0.3">
      <c r="K5" s="645"/>
      <c r="L5" s="645"/>
    </row>
    <row r="7" spans="1:50" x14ac:dyDescent="0.25">
      <c r="C7" s="479"/>
      <c r="D7" s="479"/>
      <c r="E7" s="479"/>
      <c r="F7" s="479"/>
      <c r="G7" s="479"/>
      <c r="H7" s="479"/>
      <c r="I7" s="479"/>
      <c r="K7" s="479"/>
      <c r="L7" s="646"/>
    </row>
    <row r="8" spans="1:50" hidden="1" x14ac:dyDescent="0.25"/>
    <row r="9" spans="1:50" hidden="1" x14ac:dyDescent="0.25">
      <c r="C9" s="480"/>
      <c r="D9" s="480"/>
      <c r="E9" s="480"/>
      <c r="F9" s="480"/>
      <c r="G9" s="480"/>
      <c r="H9" s="480"/>
      <c r="I9" s="480"/>
    </row>
    <row r="10" spans="1:50" hidden="1" x14ac:dyDescent="0.25">
      <c r="C10" s="479"/>
      <c r="D10" s="479"/>
      <c r="E10" s="479"/>
      <c r="F10" s="479"/>
      <c r="G10" s="479"/>
      <c r="H10" s="479"/>
      <c r="I10" s="479"/>
    </row>
    <row r="13" spans="1:50" x14ac:dyDescent="0.25">
      <c r="C13" s="479"/>
      <c r="D13" s="479"/>
      <c r="E13" s="479"/>
      <c r="F13" s="479"/>
      <c r="G13" s="479"/>
      <c r="H13" s="479"/>
      <c r="I13" s="479"/>
      <c r="K13" s="479"/>
      <c r="L13" s="647"/>
    </row>
    <row r="14" spans="1:50" ht="13" x14ac:dyDescent="0.3">
      <c r="AD14" s="645"/>
      <c r="AE14" s="645"/>
      <c r="AF14" s="645"/>
      <c r="AG14" s="645"/>
    </row>
    <row r="15" spans="1:50" ht="13" x14ac:dyDescent="0.25">
      <c r="Z15" s="788" t="s">
        <v>592</v>
      </c>
      <c r="AA15" s="788"/>
      <c r="AU15" s="788" t="s">
        <v>593</v>
      </c>
      <c r="AV15" s="788"/>
      <c r="AX15" s="195" t="s">
        <v>598</v>
      </c>
    </row>
    <row r="16" spans="1:50" x14ac:dyDescent="0.25">
      <c r="C16" s="479"/>
      <c r="D16" s="479"/>
      <c r="E16" s="479"/>
      <c r="F16" s="479"/>
      <c r="G16" s="479"/>
      <c r="H16" s="479"/>
      <c r="I16" s="479"/>
      <c r="K16" s="479"/>
      <c r="L16" s="647"/>
      <c r="Z16" s="195" t="s">
        <v>487</v>
      </c>
      <c r="AA16" s="650">
        <v>0.23</v>
      </c>
      <c r="AU16" s="195" t="s">
        <v>487</v>
      </c>
      <c r="AV16" s="650">
        <v>4.5599999999999996</v>
      </c>
      <c r="AX16" s="705">
        <f>+AV16*(1-BG58)</f>
        <v>4.395384</v>
      </c>
    </row>
    <row r="17" spans="3:50" x14ac:dyDescent="0.25">
      <c r="AV17" s="650"/>
    </row>
    <row r="18" spans="3:50" x14ac:dyDescent="0.25">
      <c r="AV18" s="650"/>
    </row>
    <row r="19" spans="3:50" x14ac:dyDescent="0.25">
      <c r="C19" s="479"/>
      <c r="D19" s="479"/>
      <c r="E19" s="479"/>
      <c r="F19" s="479"/>
      <c r="G19" s="479"/>
      <c r="H19" s="479"/>
      <c r="I19" s="479"/>
      <c r="Z19" s="195" t="s">
        <v>283</v>
      </c>
      <c r="AA19" s="650">
        <v>7.8</v>
      </c>
      <c r="AU19" s="195" t="s">
        <v>283</v>
      </c>
      <c r="AV19" s="650">
        <v>5.54</v>
      </c>
      <c r="AX19" s="648">
        <f>+AV19*(1-BG59)</f>
        <v>5.3909739999999999</v>
      </c>
    </row>
    <row r="20" spans="3:50" x14ac:dyDescent="0.25">
      <c r="AV20" s="650"/>
    </row>
    <row r="21" spans="3:50" x14ac:dyDescent="0.25">
      <c r="C21" s="648"/>
      <c r="D21" s="648"/>
      <c r="E21" s="648"/>
      <c r="F21" s="648"/>
      <c r="G21" s="648"/>
      <c r="H21" s="648"/>
      <c r="I21" s="648"/>
      <c r="Z21" s="195" t="s">
        <v>264</v>
      </c>
      <c r="AA21" s="650">
        <v>0.1</v>
      </c>
      <c r="AU21" s="195" t="s">
        <v>264</v>
      </c>
      <c r="AV21" s="650">
        <v>4.09</v>
      </c>
      <c r="AX21" s="648">
        <f>+AV21*(1-BG60)</f>
        <v>3.7313069999999997</v>
      </c>
    </row>
    <row r="22" spans="3:50" x14ac:dyDescent="0.25">
      <c r="C22" s="479"/>
      <c r="D22" s="479"/>
      <c r="E22" s="479"/>
      <c r="F22" s="479"/>
      <c r="G22" s="479"/>
      <c r="H22" s="479"/>
      <c r="I22" s="479"/>
    </row>
    <row r="25" spans="3:50" x14ac:dyDescent="0.25">
      <c r="C25" s="649"/>
      <c r="D25" s="649"/>
      <c r="E25" s="649"/>
      <c r="F25" s="649"/>
      <c r="G25" s="649"/>
      <c r="H25" s="649"/>
      <c r="I25" s="649"/>
    </row>
    <row r="28" spans="3:50" x14ac:dyDescent="0.25">
      <c r="C28" s="649"/>
      <c r="D28" s="649"/>
      <c r="E28" s="649"/>
      <c r="F28" s="649"/>
      <c r="G28" s="649"/>
      <c r="H28" s="649"/>
      <c r="I28" s="649"/>
    </row>
    <row r="32" spans="3:50" x14ac:dyDescent="0.25">
      <c r="C32" s="479"/>
      <c r="D32" s="479"/>
      <c r="E32" s="479"/>
      <c r="F32" s="479"/>
      <c r="G32" s="479"/>
      <c r="H32" s="479"/>
      <c r="I32" s="479"/>
    </row>
    <row r="56" spans="26:61" ht="13" x14ac:dyDescent="0.25">
      <c r="BF56" s="788" t="s">
        <v>593</v>
      </c>
      <c r="BG56" s="788"/>
    </row>
    <row r="57" spans="26:61" x14ac:dyDescent="0.25">
      <c r="BG57" s="195" t="s">
        <v>562</v>
      </c>
      <c r="BI57" s="195" t="s">
        <v>564</v>
      </c>
    </row>
    <row r="58" spans="26:61" x14ac:dyDescent="0.25">
      <c r="AA58" s="195" t="s">
        <v>562</v>
      </c>
      <c r="AC58" s="195" t="s">
        <v>564</v>
      </c>
      <c r="BF58" s="195" t="s">
        <v>563</v>
      </c>
      <c r="BG58" s="651">
        <v>3.61E-2</v>
      </c>
      <c r="BI58" s="651">
        <v>0.87586799999999998</v>
      </c>
    </row>
    <row r="59" spans="26:61" x14ac:dyDescent="0.25">
      <c r="Z59" s="195" t="s">
        <v>563</v>
      </c>
      <c r="AA59" s="651">
        <v>2.8500000000000001E-2</v>
      </c>
      <c r="AC59" s="651">
        <v>0.9</v>
      </c>
      <c r="BF59" s="195" t="s">
        <v>283</v>
      </c>
      <c r="BG59" s="651">
        <v>2.69E-2</v>
      </c>
      <c r="BI59" s="651">
        <v>0.80300000000000005</v>
      </c>
    </row>
    <row r="60" spans="26:61" x14ac:dyDescent="0.25">
      <c r="Z60" s="195" t="s">
        <v>283</v>
      </c>
      <c r="AA60" s="651">
        <v>2.7E-2</v>
      </c>
      <c r="AC60" s="651">
        <v>0.86599999999999999</v>
      </c>
      <c r="BF60" s="195" t="s">
        <v>488</v>
      </c>
      <c r="BG60" s="651">
        <v>8.77E-2</v>
      </c>
      <c r="BI60" s="651">
        <v>1.2070000000000001</v>
      </c>
    </row>
    <row r="61" spans="26:61" x14ac:dyDescent="0.25">
      <c r="Z61" s="195" t="s">
        <v>488</v>
      </c>
      <c r="AA61" s="651">
        <v>6.6100000000000006E-2</v>
      </c>
      <c r="AC61" s="651">
        <v>1.1890000000000001</v>
      </c>
    </row>
    <row r="66" spans="27:27" x14ac:dyDescent="0.25">
      <c r="AA66" s="651"/>
    </row>
    <row r="67" spans="27:27" x14ac:dyDescent="0.25">
      <c r="AA67" s="651"/>
    </row>
    <row r="68" spans="27:27" x14ac:dyDescent="0.25">
      <c r="AA68" s="651"/>
    </row>
  </sheetData>
  <mergeCells count="3">
    <mergeCell ref="Z15:AA15"/>
    <mergeCell ref="AU15:AV15"/>
    <mergeCell ref="BF56:BG56"/>
  </mergeCells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5">
    <tabColor theme="5" tint="0.39997558519241921"/>
  </sheetPr>
  <dimension ref="A1:AH176"/>
  <sheetViews>
    <sheetView zoomScaleNormal="100" workbookViewId="0">
      <pane xSplit="1" ySplit="2" topLeftCell="B131" activePane="bottomRight" state="frozen"/>
      <selection activeCell="A109" sqref="A109"/>
      <selection pane="topRight" activeCell="A109" sqref="A109"/>
      <selection pane="bottomLeft" activeCell="A109" sqref="A109"/>
      <selection pane="bottomRight" activeCell="P158" sqref="P158"/>
    </sheetView>
  </sheetViews>
  <sheetFormatPr defaultColWidth="9.1796875" defaultRowHeight="14.5" x14ac:dyDescent="0.35"/>
  <cols>
    <col min="1" max="1" width="18.7265625" style="202" bestFit="1" customWidth="1"/>
    <col min="2" max="4" width="9.1796875" style="202"/>
    <col min="5" max="5" width="9.81640625" style="202" bestFit="1" customWidth="1"/>
    <col min="6" max="6" width="9.26953125" style="202" bestFit="1" customWidth="1"/>
    <col min="7" max="7" width="9.26953125" style="202" customWidth="1"/>
    <col min="8" max="8" width="9.453125" style="202" bestFit="1" customWidth="1"/>
    <col min="9" max="9" width="19.54296875" style="202" bestFit="1" customWidth="1"/>
    <col min="10" max="10" width="14.26953125" style="202" bestFit="1" customWidth="1"/>
    <col min="11" max="11" width="5.1796875" style="202" customWidth="1"/>
    <col min="12" max="12" width="13.26953125" style="202" bestFit="1" customWidth="1"/>
    <col min="13" max="13" width="10.7265625" style="202" hidden="1" customWidth="1"/>
    <col min="14" max="14" width="3" style="202" customWidth="1"/>
    <col min="15" max="15" width="21.453125" style="202" bestFit="1" customWidth="1"/>
    <col min="16" max="16" width="13" style="202" bestFit="1" customWidth="1"/>
    <col min="17" max="17" width="13.1796875" style="202" hidden="1" customWidth="1"/>
    <col min="18" max="18" width="12.54296875" style="202" hidden="1" customWidth="1"/>
    <col min="19" max="19" width="4.1796875" style="202" customWidth="1"/>
    <col min="20" max="20" width="15.453125" style="202" bestFit="1" customWidth="1"/>
    <col min="21" max="21" width="14.26953125" style="202" hidden="1" customWidth="1"/>
    <col min="22" max="22" width="3.81640625" style="202" customWidth="1"/>
    <col min="23" max="23" width="12.453125" style="202" customWidth="1"/>
    <col min="24" max="24" width="3.1796875" style="202" hidden="1" customWidth="1"/>
    <col min="25" max="25" width="2" style="202" customWidth="1"/>
    <col min="26" max="26" width="21.7265625" style="202" bestFit="1" customWidth="1"/>
    <col min="27" max="27" width="12.7265625" style="202" hidden="1" customWidth="1"/>
    <col min="28" max="28" width="2.1796875" style="202" customWidth="1"/>
    <col min="29" max="29" width="12.7265625" style="202" bestFit="1" customWidth="1"/>
    <col min="30" max="30" width="10.54296875" style="202" bestFit="1" customWidth="1"/>
    <col min="31" max="32" width="10.54296875" style="202" hidden="1" customWidth="1"/>
    <col min="33" max="33" width="15.26953125" style="202" bestFit="1" customWidth="1"/>
    <col min="34" max="34" width="22.54296875" style="202" customWidth="1"/>
    <col min="35" max="16384" width="9.1796875" style="202"/>
  </cols>
  <sheetData>
    <row r="1" spans="1:32" x14ac:dyDescent="0.35">
      <c r="A1" s="202" t="s">
        <v>340</v>
      </c>
      <c r="E1" s="202" t="s">
        <v>341</v>
      </c>
      <c r="F1" s="202" t="s">
        <v>342</v>
      </c>
      <c r="G1" s="202" t="s">
        <v>343</v>
      </c>
      <c r="H1" s="202" t="s">
        <v>344</v>
      </c>
      <c r="I1" s="202" t="s">
        <v>345</v>
      </c>
      <c r="J1" s="202" t="s">
        <v>346</v>
      </c>
      <c r="L1" s="202" t="s">
        <v>347</v>
      </c>
      <c r="O1" s="202" t="s">
        <v>348</v>
      </c>
      <c r="T1" s="202" t="s">
        <v>349</v>
      </c>
      <c r="W1" s="202" t="s">
        <v>350</v>
      </c>
      <c r="Z1" s="202" t="s">
        <v>351</v>
      </c>
      <c r="AC1" s="202" t="s">
        <v>352</v>
      </c>
    </row>
    <row r="2" spans="1:32" ht="15" thickBot="1" x14ac:dyDescent="0.4">
      <c r="B2" s="202" t="s">
        <v>262</v>
      </c>
      <c r="C2" s="202" t="s">
        <v>263</v>
      </c>
      <c r="D2" s="202" t="s">
        <v>264</v>
      </c>
      <c r="L2" s="202" t="s">
        <v>353</v>
      </c>
      <c r="M2" s="202" t="s">
        <v>354</v>
      </c>
      <c r="O2" s="202" t="s">
        <v>355</v>
      </c>
      <c r="P2" s="202" t="s">
        <v>356</v>
      </c>
      <c r="Q2" s="202" t="s">
        <v>357</v>
      </c>
      <c r="R2" s="202" t="s">
        <v>358</v>
      </c>
      <c r="T2" s="202" t="s">
        <v>359</v>
      </c>
      <c r="U2" s="202" t="s">
        <v>360</v>
      </c>
      <c r="W2" s="203" t="s">
        <v>353</v>
      </c>
      <c r="X2" s="202" t="s">
        <v>354</v>
      </c>
      <c r="Z2" s="203" t="s">
        <v>353</v>
      </c>
      <c r="AA2" s="202" t="s">
        <v>354</v>
      </c>
      <c r="AC2" s="202" t="s">
        <v>355</v>
      </c>
      <c r="AD2" s="202" t="s">
        <v>356</v>
      </c>
      <c r="AE2" s="202" t="s">
        <v>357</v>
      </c>
      <c r="AF2" s="202" t="s">
        <v>358</v>
      </c>
    </row>
    <row r="3" spans="1:32" ht="15" thickBot="1" x14ac:dyDescent="0.4">
      <c r="A3" s="204">
        <v>39934</v>
      </c>
      <c r="B3" s="205">
        <f>'[35]Capacity Estimates May-July'!$B$21</f>
        <v>9.1999999999999993</v>
      </c>
      <c r="C3" s="205"/>
      <c r="D3" s="205">
        <f>'[35]Capacity Estimates May-July'!$B$22</f>
        <v>5.12</v>
      </c>
      <c r="E3" s="206">
        <f>'[35]Capacity Estimates May-July'!$B$11</f>
        <v>1.165</v>
      </c>
      <c r="F3" s="203">
        <v>0.8</v>
      </c>
      <c r="G3" s="203"/>
      <c r="H3" s="202">
        <v>1.079</v>
      </c>
      <c r="I3" s="202">
        <f>ROUND(((B3*F3)+(D3*(E3-F3)))*H3,2)</f>
        <v>9.9600000000000009</v>
      </c>
      <c r="J3" s="202">
        <f>ROUND(D3*H3,2)</f>
        <v>5.52</v>
      </c>
      <c r="L3" s="207">
        <f>'[35]May - Jul Capacity MSC by Class'!$B$20</f>
        <v>3698290</v>
      </c>
      <c r="M3" s="207">
        <f>'[35]May - Jul Capacity MSC by Class'!$B$21</f>
        <v>808860</v>
      </c>
      <c r="O3" s="208">
        <f>ROUND($L3*I3,0)</f>
        <v>36834968</v>
      </c>
      <c r="P3" s="208">
        <f>ROUND($L3*J3,0)</f>
        <v>20414561</v>
      </c>
      <c r="Q3" s="208">
        <f>ROUND($M3*I3,0)</f>
        <v>8056246</v>
      </c>
      <c r="R3" s="208">
        <f>ROUND($M3*J3,0)</f>
        <v>4464907</v>
      </c>
      <c r="T3" s="209">
        <f>'[35]Adj 2008 Rate CaseForecast'!$B$6</f>
        <v>933000000</v>
      </c>
      <c r="U3" s="209">
        <f>'[35]Adj 2008 Rate CaseForecast'!$B$11</f>
        <v>163000000</v>
      </c>
      <c r="W3" s="210">
        <f>[36]Summary!$K$63</f>
        <v>0.12584041200869023</v>
      </c>
      <c r="X3" s="203">
        <v>0.21</v>
      </c>
    </row>
    <row r="4" spans="1:32" x14ac:dyDescent="0.35">
      <c r="A4" s="211">
        <v>39965</v>
      </c>
      <c r="B4" s="205">
        <f>'[35]Capacity Estimates May-July'!$B$21</f>
        <v>9.1999999999999993</v>
      </c>
      <c r="C4" s="205"/>
      <c r="D4" s="205">
        <f>'[35]Capacity Estimates May-July'!$B$22</f>
        <v>5.12</v>
      </c>
      <c r="E4" s="206">
        <f>'[35]Capacity Estimates May-July'!$B$11</f>
        <v>1.165</v>
      </c>
      <c r="F4" s="203">
        <v>0.8</v>
      </c>
      <c r="G4" s="203"/>
      <c r="H4" s="202">
        <f>$H$3</f>
        <v>1.079</v>
      </c>
      <c r="I4" s="202">
        <f t="shared" ref="I4:I56" si="0">ROUND(((B4*F4)+(D4*(E4-F4)))*H4,2)</f>
        <v>9.9600000000000009</v>
      </c>
      <c r="J4" s="202">
        <f t="shared" ref="J4:J56" si="1">ROUND(D4*H4,2)</f>
        <v>5.52</v>
      </c>
      <c r="L4" s="207">
        <f>'[35]May - Jul Capacity MSC by Class'!$B$20</f>
        <v>3698290</v>
      </c>
      <c r="M4" s="207">
        <f>'[35]May - Jul Capacity MSC by Class'!$B$21</f>
        <v>808860</v>
      </c>
      <c r="O4" s="208">
        <f t="shared" ref="O4:P46" si="2">ROUND($L4*I4,0)</f>
        <v>36834968</v>
      </c>
      <c r="P4" s="208">
        <f t="shared" si="2"/>
        <v>20414561</v>
      </c>
      <c r="Q4" s="208">
        <f t="shared" ref="Q4:R46" si="3">ROUND($M4*I4,0)</f>
        <v>8056246</v>
      </c>
      <c r="R4" s="208">
        <f t="shared" si="3"/>
        <v>4464907</v>
      </c>
      <c r="T4" s="209">
        <f>'[35]Adj 2008 Rate CaseForecast'!$C$6</f>
        <v>1176000000</v>
      </c>
      <c r="U4" s="209">
        <f>'[35]Adj 2008 Rate CaseForecast'!$C$11</f>
        <v>176000000</v>
      </c>
      <c r="Z4" s="209">
        <f>$W$3*T4</f>
        <v>147988324.52221972</v>
      </c>
      <c r="AA4" s="209">
        <f>$X$3*U4</f>
        <v>36960000</v>
      </c>
    </row>
    <row r="5" spans="1:32" x14ac:dyDescent="0.35">
      <c r="A5" s="211">
        <v>39995</v>
      </c>
      <c r="B5" s="205">
        <f>'[35]Capacity Estimates May-July'!$B$21</f>
        <v>9.1999999999999993</v>
      </c>
      <c r="C5" s="205"/>
      <c r="D5" s="205">
        <f>'[35]Capacity Estimates May-July'!$B$22</f>
        <v>5.12</v>
      </c>
      <c r="E5" s="206">
        <f>'[35]Capacity Estimates May-July'!$B$11</f>
        <v>1.165</v>
      </c>
      <c r="F5" s="203">
        <v>0.8</v>
      </c>
      <c r="G5" s="203"/>
      <c r="H5" s="202">
        <f t="shared" ref="H5:H45" si="4">$H$3</f>
        <v>1.079</v>
      </c>
      <c r="I5" s="202">
        <f t="shared" si="0"/>
        <v>9.9600000000000009</v>
      </c>
      <c r="J5" s="202">
        <f t="shared" si="1"/>
        <v>5.52</v>
      </c>
      <c r="L5" s="207">
        <f>'[35]May - Jul Capacity MSC by Class'!$B$20</f>
        <v>3698290</v>
      </c>
      <c r="M5" s="207">
        <f>'[35]May - Jul Capacity MSC by Class'!$B$21</f>
        <v>808860</v>
      </c>
      <c r="O5" s="208">
        <f t="shared" si="2"/>
        <v>36834968</v>
      </c>
      <c r="P5" s="208">
        <f t="shared" si="2"/>
        <v>20414561</v>
      </c>
      <c r="Q5" s="208">
        <f t="shared" si="3"/>
        <v>8056246</v>
      </c>
      <c r="R5" s="208">
        <f t="shared" si="3"/>
        <v>4464907</v>
      </c>
      <c r="T5" s="209">
        <f>'[35]Adj 2008 Rate CaseForecast'!$D$6</f>
        <v>1544000000</v>
      </c>
      <c r="U5" s="209">
        <f>'[35]Adj 2008 Rate CaseForecast'!$D$11</f>
        <v>201000000</v>
      </c>
      <c r="Z5" s="209">
        <f>$W$3*T5</f>
        <v>194297596.14141771</v>
      </c>
      <c r="AA5" s="209">
        <f>$X$3*U5</f>
        <v>42210000</v>
      </c>
    </row>
    <row r="6" spans="1:32" x14ac:dyDescent="0.35">
      <c r="A6" s="204">
        <v>40026</v>
      </c>
      <c r="B6" s="205">
        <f>'[37]Capacity Estimates Aug-Oct'!$B$21</f>
        <v>9.8935621718806193</v>
      </c>
      <c r="C6" s="205"/>
      <c r="D6" s="205">
        <f>'[37]Capacity Estimates Aug-Oct'!$B$22</f>
        <v>5.0720773911187029</v>
      </c>
      <c r="E6" s="206">
        <f>'[37]Capacity Estimates Aug-Oct'!$B$11</f>
        <v>1.165</v>
      </c>
      <c r="F6" s="203">
        <f>'[37]Capacity Estimates Aug-Oct'!$B$12</f>
        <v>0.8</v>
      </c>
      <c r="G6" s="203"/>
      <c r="H6" s="202">
        <f t="shared" si="4"/>
        <v>1.079</v>
      </c>
      <c r="I6" s="202">
        <f t="shared" si="0"/>
        <v>10.54</v>
      </c>
      <c r="J6" s="202">
        <f t="shared" si="1"/>
        <v>5.47</v>
      </c>
      <c r="L6" s="207">
        <f>'[37]Aug - Oct Capacity MSC by Class'!$B$20</f>
        <v>3698290</v>
      </c>
      <c r="M6" s="207">
        <f>'[37]Aug - Oct Capacity MSC by Class'!$B$21</f>
        <v>808860</v>
      </c>
      <c r="O6" s="208">
        <f t="shared" si="2"/>
        <v>38979977</v>
      </c>
      <c r="P6" s="208">
        <f t="shared" si="2"/>
        <v>20229646</v>
      </c>
      <c r="Q6" s="208">
        <f t="shared" si="3"/>
        <v>8525384</v>
      </c>
      <c r="R6" s="208">
        <f t="shared" si="3"/>
        <v>4424464</v>
      </c>
      <c r="T6" s="209">
        <f>'[37]Adj 2008 Rate CaseForecast'!$E$6</f>
        <v>1665000000</v>
      </c>
      <c r="U6" s="209">
        <f>'[37]Adj 2008 Rate CaseForecast'!$E$11</f>
        <v>205000000</v>
      </c>
      <c r="Z6" s="209">
        <f>$W$3*T6</f>
        <v>209524285.99446923</v>
      </c>
      <c r="AA6" s="209">
        <f>$X$3*U6</f>
        <v>43050000</v>
      </c>
    </row>
    <row r="7" spans="1:32" x14ac:dyDescent="0.35">
      <c r="A7" s="211">
        <v>40057</v>
      </c>
      <c r="B7" s="205">
        <f>'[37]Capacity Estimates Aug-Oct'!$B$21</f>
        <v>9.8935621718806193</v>
      </c>
      <c r="C7" s="205"/>
      <c r="D7" s="205">
        <f>'[37]Capacity Estimates Aug-Oct'!$B$22</f>
        <v>5.0720773911187029</v>
      </c>
      <c r="E7" s="206">
        <f>'[37]Capacity Estimates Aug-Oct'!$B$11</f>
        <v>1.165</v>
      </c>
      <c r="F7" s="203">
        <f>'[37]Capacity Estimates Aug-Oct'!$B$12</f>
        <v>0.8</v>
      </c>
      <c r="G7" s="203"/>
      <c r="H7" s="202">
        <f t="shared" si="4"/>
        <v>1.079</v>
      </c>
      <c r="I7" s="202">
        <f t="shared" si="0"/>
        <v>10.54</v>
      </c>
      <c r="J7" s="202">
        <f t="shared" si="1"/>
        <v>5.47</v>
      </c>
      <c r="L7" s="207">
        <f>'[37]Aug - Oct Capacity MSC by Class'!$B$20</f>
        <v>3698290</v>
      </c>
      <c r="M7" s="207">
        <f>'[37]Aug - Oct Capacity MSC by Class'!$B$21</f>
        <v>808860</v>
      </c>
      <c r="O7" s="208">
        <f t="shared" si="2"/>
        <v>38979977</v>
      </c>
      <c r="P7" s="208">
        <f t="shared" si="2"/>
        <v>20229646</v>
      </c>
      <c r="Q7" s="208">
        <f t="shared" si="3"/>
        <v>8525384</v>
      </c>
      <c r="R7" s="208">
        <f t="shared" si="3"/>
        <v>4424464</v>
      </c>
      <c r="T7" s="209">
        <f>'[37]Adj 2008 Rate CaseForecast'!$F$6</f>
        <v>1503000000</v>
      </c>
      <c r="U7" s="209">
        <f>'[37]Adj 2008 Rate CaseForecast'!$F$11</f>
        <v>201000000</v>
      </c>
      <c r="Z7" s="209">
        <f>$W$3*T7</f>
        <v>189138139.24906141</v>
      </c>
      <c r="AA7" s="209">
        <f>$X$3*U7</f>
        <v>42210000</v>
      </c>
    </row>
    <row r="8" spans="1:32" x14ac:dyDescent="0.35">
      <c r="A8" s="211">
        <v>40087</v>
      </c>
      <c r="B8" s="205">
        <f>'[37]Capacity Estimates Aug-Oct'!$B$21</f>
        <v>9.8935621718806193</v>
      </c>
      <c r="C8" s="205"/>
      <c r="D8" s="205">
        <f>'[37]Capacity Estimates Aug-Oct'!$B$22</f>
        <v>5.0720773911187029</v>
      </c>
      <c r="E8" s="206">
        <f>'[37]Capacity Estimates Aug-Oct'!$B$11</f>
        <v>1.165</v>
      </c>
      <c r="F8" s="203">
        <f>'[37]Capacity Estimates Aug-Oct'!$B$12</f>
        <v>0.8</v>
      </c>
      <c r="G8" s="203"/>
      <c r="H8" s="202">
        <f t="shared" si="4"/>
        <v>1.079</v>
      </c>
      <c r="I8" s="202">
        <f t="shared" si="0"/>
        <v>10.54</v>
      </c>
      <c r="J8" s="202">
        <f t="shared" si="1"/>
        <v>5.47</v>
      </c>
      <c r="L8" s="207">
        <f>'[37]Aug - Oct Capacity MSC by Class'!$B$20</f>
        <v>3698290</v>
      </c>
      <c r="M8" s="207">
        <f>'[37]Aug - Oct Capacity MSC by Class'!$B$21</f>
        <v>808860</v>
      </c>
      <c r="O8" s="208">
        <f t="shared" si="2"/>
        <v>38979977</v>
      </c>
      <c r="P8" s="208">
        <f t="shared" si="2"/>
        <v>20229646</v>
      </c>
      <c r="Q8" s="208">
        <f t="shared" si="3"/>
        <v>8525384</v>
      </c>
      <c r="R8" s="208">
        <f t="shared" si="3"/>
        <v>4424464</v>
      </c>
      <c r="T8" s="209">
        <f>'[37]Adj 2008 Rate CaseForecast'!$G$6</f>
        <v>1096000000</v>
      </c>
      <c r="U8" s="209">
        <f>'[37]Adj 2008 Rate CaseForecast'!$G$11</f>
        <v>169000000</v>
      </c>
    </row>
    <row r="9" spans="1:32" x14ac:dyDescent="0.35">
      <c r="A9" s="204">
        <v>40118</v>
      </c>
      <c r="B9" s="205">
        <f>'[38]Capacity Estimates Nov-Jan'!$B$21</f>
        <v>4.83</v>
      </c>
      <c r="C9" s="205"/>
      <c r="D9" s="205">
        <f>'[38]Capacity Estimates Nov-Jan'!$B$22</f>
        <v>2.41</v>
      </c>
      <c r="E9" s="206">
        <f>'[38]Capacity Estimates Nov-Jan'!$B$11</f>
        <v>1.165</v>
      </c>
      <c r="F9" s="203">
        <f>'[38]Capacity Estimates Nov-Jan'!$B$12</f>
        <v>0.8</v>
      </c>
      <c r="G9" s="203"/>
      <c r="H9" s="202">
        <f t="shared" si="4"/>
        <v>1.079</v>
      </c>
      <c r="I9" s="202">
        <f t="shared" si="0"/>
        <v>5.12</v>
      </c>
      <c r="J9" s="202">
        <f t="shared" si="1"/>
        <v>2.6</v>
      </c>
      <c r="L9" s="207">
        <f>'[38]Nov-Jan Capacity MSC by Class '!$B$20</f>
        <v>3698290</v>
      </c>
      <c r="M9" s="207">
        <f>'[38]Nov-Jan Capacity MSC by Class '!$B$21</f>
        <v>808860</v>
      </c>
      <c r="O9" s="208">
        <f t="shared" si="2"/>
        <v>18935245</v>
      </c>
      <c r="P9" s="208">
        <f t="shared" si="2"/>
        <v>9615554</v>
      </c>
      <c r="Q9" s="208">
        <f t="shared" si="3"/>
        <v>4141363</v>
      </c>
      <c r="R9" s="208">
        <f t="shared" si="3"/>
        <v>2103036</v>
      </c>
      <c r="T9" s="209">
        <f>'[38]Adj 2008 Rate CaseForecast'!$H$6</f>
        <v>992000000</v>
      </c>
      <c r="U9" s="209">
        <f>'[38]Adj 2008 Rate CaseForecast'!$H$11</f>
        <v>162000000</v>
      </c>
    </row>
    <row r="10" spans="1:32" x14ac:dyDescent="0.35">
      <c r="A10" s="211">
        <v>40148</v>
      </c>
      <c r="B10" s="205">
        <f>'[38]Capacity Estimates Nov-Jan'!$B$21</f>
        <v>4.83</v>
      </c>
      <c r="C10" s="205"/>
      <c r="D10" s="205">
        <f>'[38]Capacity Estimates Nov-Jan'!$B$22</f>
        <v>2.41</v>
      </c>
      <c r="E10" s="206">
        <f>'[38]Capacity Estimates Nov-Jan'!$B$11</f>
        <v>1.165</v>
      </c>
      <c r="F10" s="203">
        <f>'[38]Capacity Estimates Nov-Jan'!$B$12</f>
        <v>0.8</v>
      </c>
      <c r="G10" s="203"/>
      <c r="H10" s="202">
        <f t="shared" si="4"/>
        <v>1.079</v>
      </c>
      <c r="I10" s="202">
        <f t="shared" si="0"/>
        <v>5.12</v>
      </c>
      <c r="J10" s="202">
        <f t="shared" si="1"/>
        <v>2.6</v>
      </c>
      <c r="L10" s="207">
        <f>'[38]Nov-Jan Capacity MSC by Class '!$B$20</f>
        <v>3698290</v>
      </c>
      <c r="M10" s="207">
        <f>'[38]Nov-Jan Capacity MSC by Class '!$B$21</f>
        <v>808860</v>
      </c>
      <c r="O10" s="208">
        <f t="shared" si="2"/>
        <v>18935245</v>
      </c>
      <c r="P10" s="208">
        <f t="shared" si="2"/>
        <v>9615554</v>
      </c>
      <c r="Q10" s="208">
        <f t="shared" si="3"/>
        <v>4141363</v>
      </c>
      <c r="R10" s="208">
        <f t="shared" si="3"/>
        <v>2103036</v>
      </c>
      <c r="T10" s="209">
        <f>'[38]Adj 2008 Rate CaseForecast'!$I$6</f>
        <v>1096000000</v>
      </c>
      <c r="U10" s="209">
        <f>'[38]Adj 2008 Rate CaseForecast'!$I$11</f>
        <v>186000000</v>
      </c>
    </row>
    <row r="11" spans="1:32" x14ac:dyDescent="0.35">
      <c r="A11" s="211">
        <v>40179</v>
      </c>
      <c r="B11" s="205">
        <f>'[38]Capacity Estimates Nov-Jan'!$B$21</f>
        <v>4.83</v>
      </c>
      <c r="C11" s="205"/>
      <c r="D11" s="205">
        <f>'[38]Capacity Estimates Nov-Jan'!$B$22</f>
        <v>2.41</v>
      </c>
      <c r="E11" s="206">
        <f>'[38]Capacity Estimates Nov-Jan'!$B$11</f>
        <v>1.165</v>
      </c>
      <c r="F11" s="203">
        <f>'[38]Capacity Estimates Nov-Jan'!$B$12</f>
        <v>0.8</v>
      </c>
      <c r="G11" s="203"/>
      <c r="H11" s="202">
        <f t="shared" si="4"/>
        <v>1.079</v>
      </c>
      <c r="I11" s="202">
        <f t="shared" si="0"/>
        <v>5.12</v>
      </c>
      <c r="J11" s="202">
        <f t="shared" si="1"/>
        <v>2.6</v>
      </c>
      <c r="L11" s="207">
        <f>'[38]Nov-Jan Capacity MSC by Class '!$B$20</f>
        <v>3698290</v>
      </c>
      <c r="M11" s="207">
        <f>'[38]Nov-Jan Capacity MSC by Class '!$B$21</f>
        <v>808860</v>
      </c>
      <c r="O11" s="208">
        <f t="shared" si="2"/>
        <v>18935245</v>
      </c>
      <c r="P11" s="208">
        <f t="shared" si="2"/>
        <v>9615554</v>
      </c>
      <c r="Q11" s="208">
        <f t="shared" si="3"/>
        <v>4141363</v>
      </c>
      <c r="R11" s="208">
        <f t="shared" si="3"/>
        <v>2103036</v>
      </c>
      <c r="T11" s="209">
        <f>'[38]Adj 2008 Rate CaseForecast'!$J$6</f>
        <v>1172000000</v>
      </c>
      <c r="U11" s="209">
        <f>'[38]Adj 2008 Rate CaseForecast'!$J$11</f>
        <v>197000000</v>
      </c>
    </row>
    <row r="12" spans="1:32" x14ac:dyDescent="0.35">
      <c r="A12" s="204">
        <v>40210</v>
      </c>
      <c r="B12" s="205">
        <f>'[39]Capacity Estimates Feb-Apr'!$B$21</f>
        <v>2.6</v>
      </c>
      <c r="C12" s="205"/>
      <c r="D12" s="205">
        <f>'[39]Capacity Estimates Feb-Apr'!$B$22</f>
        <v>1.86</v>
      </c>
      <c r="E12" s="206">
        <f>'[39]Capacity Estimates Feb-Apr'!$B$11</f>
        <v>1.165</v>
      </c>
      <c r="F12" s="203">
        <f>'[39]Capacity Estimates Feb-Apr'!$B$12</f>
        <v>0.8</v>
      </c>
      <c r="G12" s="203"/>
      <c r="H12" s="202">
        <f t="shared" si="4"/>
        <v>1.079</v>
      </c>
      <c r="I12" s="202">
        <f t="shared" si="0"/>
        <v>2.98</v>
      </c>
      <c r="J12" s="202">
        <f t="shared" si="1"/>
        <v>2.0099999999999998</v>
      </c>
      <c r="L12" s="207">
        <f>'[39]Feb-Apr Capacity MSC by Class '!$B$20</f>
        <v>3698290</v>
      </c>
      <c r="M12" s="207">
        <f>'[39]Feb-Apr Capacity MSC by Class '!$B$21</f>
        <v>808860</v>
      </c>
      <c r="O12" s="208">
        <f t="shared" si="2"/>
        <v>11020904</v>
      </c>
      <c r="P12" s="208">
        <f t="shared" si="2"/>
        <v>7433563</v>
      </c>
      <c r="Q12" s="208">
        <f t="shared" si="3"/>
        <v>2410403</v>
      </c>
      <c r="R12" s="208">
        <f t="shared" si="3"/>
        <v>1625809</v>
      </c>
      <c r="T12" s="209">
        <f>'[39]Adj 2008 Rate CaseForecast'!$K$6</f>
        <v>1092000000</v>
      </c>
      <c r="U12" s="209">
        <f>'[39]Adj 2008 Rate CaseForecast'!$K$11</f>
        <v>196000000</v>
      </c>
    </row>
    <row r="13" spans="1:32" x14ac:dyDescent="0.35">
      <c r="A13" s="211">
        <v>40238</v>
      </c>
      <c r="B13" s="205">
        <f>'[39]Capacity Estimates Feb-Apr'!$B$21</f>
        <v>2.6</v>
      </c>
      <c r="C13" s="205"/>
      <c r="D13" s="205">
        <f>'[39]Capacity Estimates Feb-Apr'!$B$22</f>
        <v>1.86</v>
      </c>
      <c r="E13" s="206">
        <f>'[39]Capacity Estimates Feb-Apr'!$B$11</f>
        <v>1.165</v>
      </c>
      <c r="F13" s="203">
        <f>'[39]Capacity Estimates Feb-Apr'!$B$12</f>
        <v>0.8</v>
      </c>
      <c r="G13" s="203"/>
      <c r="H13" s="202">
        <f t="shared" si="4"/>
        <v>1.079</v>
      </c>
      <c r="I13" s="202">
        <f t="shared" si="0"/>
        <v>2.98</v>
      </c>
      <c r="J13" s="202">
        <f t="shared" si="1"/>
        <v>2.0099999999999998</v>
      </c>
      <c r="L13" s="207">
        <f>'[39]Feb-Apr Capacity MSC by Class '!$B$20</f>
        <v>3698290</v>
      </c>
      <c r="M13" s="207">
        <f>'[39]Feb-Apr Capacity MSC by Class '!$B$21</f>
        <v>808860</v>
      </c>
      <c r="O13" s="208">
        <f t="shared" si="2"/>
        <v>11020904</v>
      </c>
      <c r="P13" s="208">
        <f t="shared" si="2"/>
        <v>7433563</v>
      </c>
      <c r="Q13" s="208">
        <f t="shared" si="3"/>
        <v>2410403</v>
      </c>
      <c r="R13" s="208">
        <f t="shared" si="3"/>
        <v>1625809</v>
      </c>
      <c r="T13" s="209">
        <f>'[39]Adj 2008 Rate CaseForecast'!$L$6</f>
        <v>1006000000</v>
      </c>
      <c r="U13" s="209">
        <f>'[39]Adj 2008 Rate CaseForecast'!$L$11</f>
        <v>186000000</v>
      </c>
    </row>
    <row r="14" spans="1:32" x14ac:dyDescent="0.35">
      <c r="A14" s="211">
        <v>40269</v>
      </c>
      <c r="B14" s="205">
        <f>'[39]Capacity Estimates Feb-Apr'!$B$21</f>
        <v>2.6</v>
      </c>
      <c r="C14" s="205"/>
      <c r="D14" s="205">
        <f>'[39]Capacity Estimates Feb-Apr'!$B$22</f>
        <v>1.86</v>
      </c>
      <c r="E14" s="206">
        <f>'[39]Capacity Estimates Feb-Apr'!$B$11</f>
        <v>1.165</v>
      </c>
      <c r="F14" s="203">
        <f>'[39]Capacity Estimates Feb-Apr'!$B$12</f>
        <v>0.8</v>
      </c>
      <c r="G14" s="203"/>
      <c r="H14" s="202">
        <f t="shared" si="4"/>
        <v>1.079</v>
      </c>
      <c r="I14" s="202">
        <f t="shared" si="0"/>
        <v>2.98</v>
      </c>
      <c r="J14" s="202">
        <f t="shared" si="1"/>
        <v>2.0099999999999998</v>
      </c>
      <c r="L14" s="207">
        <f>'[39]Feb-Apr Capacity MSC by Class '!$B$20</f>
        <v>3698290</v>
      </c>
      <c r="M14" s="207">
        <f>'[39]Feb-Apr Capacity MSC by Class '!$B$21</f>
        <v>808860</v>
      </c>
      <c r="O14" s="208">
        <f t="shared" si="2"/>
        <v>11020904</v>
      </c>
      <c r="P14" s="208">
        <f t="shared" si="2"/>
        <v>7433563</v>
      </c>
      <c r="Q14" s="208">
        <f t="shared" si="3"/>
        <v>2410403</v>
      </c>
      <c r="R14" s="208">
        <f t="shared" si="3"/>
        <v>1625809</v>
      </c>
      <c r="T14" s="209">
        <f>'[39]Adj 2008 Rate CaseForecast'!$M$6</f>
        <v>925000000</v>
      </c>
      <c r="U14" s="209">
        <f>'[39]Adj 2008 Rate CaseForecast'!$M$11</f>
        <v>167000000</v>
      </c>
    </row>
    <row r="15" spans="1:32" x14ac:dyDescent="0.35">
      <c r="A15" s="204">
        <v>40299</v>
      </c>
      <c r="B15" s="205">
        <f>'[40]Capacity Estimates'!$B$23</f>
        <v>15.39</v>
      </c>
      <c r="C15" s="205"/>
      <c r="D15" s="205">
        <f>'[40]Capacity Estimates'!$B$24</f>
        <v>3.28</v>
      </c>
      <c r="E15" s="206">
        <f>'[40]Capacity Estimates'!$B$13</f>
        <v>1.18</v>
      </c>
      <c r="F15" s="203">
        <f>'[40]Capacity Estimates'!$B$14</f>
        <v>0.8</v>
      </c>
      <c r="G15" s="203"/>
      <c r="H15" s="202">
        <f t="shared" si="4"/>
        <v>1.079</v>
      </c>
      <c r="I15" s="202">
        <f t="shared" si="0"/>
        <v>14.63</v>
      </c>
      <c r="J15" s="202">
        <f t="shared" si="1"/>
        <v>3.54</v>
      </c>
      <c r="L15" s="207">
        <f>'[40]May - Oct Capacity MSC by Class'!$B$20</f>
        <v>3316217</v>
      </c>
      <c r="M15" s="207">
        <f>'[40]May - Oct Capacity MSC by Class'!$B$21</f>
        <v>737443</v>
      </c>
      <c r="O15" s="208">
        <f t="shared" si="2"/>
        <v>48516255</v>
      </c>
      <c r="P15" s="208">
        <f t="shared" si="2"/>
        <v>11739408</v>
      </c>
      <c r="Q15" s="208">
        <f t="shared" si="3"/>
        <v>10788791</v>
      </c>
      <c r="R15" s="208">
        <f t="shared" si="3"/>
        <v>2610548</v>
      </c>
      <c r="T15" s="209">
        <f>'[40]Adj Rate CaseForecast'!$B$6</f>
        <v>901000000</v>
      </c>
      <c r="U15" s="209">
        <f>'[40]Adj Rate CaseForecast'!$B$11</f>
        <v>156000000</v>
      </c>
    </row>
    <row r="16" spans="1:32" x14ac:dyDescent="0.35">
      <c r="A16" s="211">
        <v>40330</v>
      </c>
      <c r="B16" s="205">
        <f>'[40]Capacity Estimates'!$B$23</f>
        <v>15.39</v>
      </c>
      <c r="C16" s="205"/>
      <c r="D16" s="205">
        <f>'[40]Capacity Estimates'!$B$24</f>
        <v>3.28</v>
      </c>
      <c r="E16" s="206">
        <f>'[40]Capacity Estimates'!$B$13</f>
        <v>1.18</v>
      </c>
      <c r="F16" s="203">
        <f>'[40]Capacity Estimates'!$B$14</f>
        <v>0.8</v>
      </c>
      <c r="G16" s="203"/>
      <c r="H16" s="202">
        <f t="shared" si="4"/>
        <v>1.079</v>
      </c>
      <c r="I16" s="202">
        <f t="shared" si="0"/>
        <v>14.63</v>
      </c>
      <c r="J16" s="202">
        <f t="shared" si="1"/>
        <v>3.54</v>
      </c>
      <c r="L16" s="207">
        <f>'[40]May - Oct Capacity MSC by Class'!$B$20</f>
        <v>3316217</v>
      </c>
      <c r="M16" s="207">
        <f>'[40]May - Oct Capacity MSC by Class'!$B$21</f>
        <v>737443</v>
      </c>
      <c r="O16" s="208">
        <f t="shared" si="2"/>
        <v>48516255</v>
      </c>
      <c r="P16" s="208">
        <f t="shared" si="2"/>
        <v>11739408</v>
      </c>
      <c r="Q16" s="208">
        <f t="shared" si="3"/>
        <v>10788791</v>
      </c>
      <c r="R16" s="208">
        <f t="shared" si="3"/>
        <v>2610548</v>
      </c>
      <c r="T16" s="209">
        <f>'[40]Adj Rate CaseForecast'!$C$6</f>
        <v>1193000000</v>
      </c>
      <c r="U16" s="209">
        <f>'[40]Adj Rate CaseForecast'!$C$11</f>
        <v>178000000</v>
      </c>
      <c r="Z16" s="209">
        <f>$W$3*T16</f>
        <v>150127611.52636746</v>
      </c>
      <c r="AA16" s="209">
        <f>$X$3*U16</f>
        <v>37380000</v>
      </c>
      <c r="AC16" s="212">
        <f>ROUND(SUM(O9:O20)/SUM(Z16:Z19),5)</f>
        <v>0.50905999999999996</v>
      </c>
      <c r="AD16" s="212">
        <f>ROUND(SUM(P9:P20)/SUM(Z16:Z19),5)</f>
        <v>0.16245999999999999</v>
      </c>
      <c r="AE16" s="213">
        <f>ROUND(SUM(Q11:Q22)/SUM(AA16:AA19),4)</f>
        <v>0.50209999999999999</v>
      </c>
      <c r="AF16" s="213">
        <f>ROUND(SUM(R11:R22)/SUM(AA16:AA19),4)</f>
        <v>0.14080000000000001</v>
      </c>
    </row>
    <row r="17" spans="1:32" x14ac:dyDescent="0.35">
      <c r="A17" s="211">
        <v>40360</v>
      </c>
      <c r="B17" s="205">
        <f>'[40]Capacity Estimates'!$B$23</f>
        <v>15.39</v>
      </c>
      <c r="C17" s="205"/>
      <c r="D17" s="205">
        <f>'[40]Capacity Estimates'!$B$24</f>
        <v>3.28</v>
      </c>
      <c r="E17" s="206">
        <f>'[40]Capacity Estimates'!$B$13</f>
        <v>1.18</v>
      </c>
      <c r="F17" s="203">
        <f>'[40]Capacity Estimates'!$B$14</f>
        <v>0.8</v>
      </c>
      <c r="G17" s="203"/>
      <c r="H17" s="202">
        <f t="shared" si="4"/>
        <v>1.079</v>
      </c>
      <c r="I17" s="202">
        <f t="shared" si="0"/>
        <v>14.63</v>
      </c>
      <c r="J17" s="202">
        <f t="shared" si="1"/>
        <v>3.54</v>
      </c>
      <c r="L17" s="207">
        <f>'[40]May - Oct Capacity MSC by Class'!$B$20</f>
        <v>3316217</v>
      </c>
      <c r="M17" s="207">
        <f>'[40]May - Oct Capacity MSC by Class'!$B$21</f>
        <v>737443</v>
      </c>
      <c r="O17" s="208">
        <f t="shared" si="2"/>
        <v>48516255</v>
      </c>
      <c r="P17" s="208">
        <f t="shared" si="2"/>
        <v>11739408</v>
      </c>
      <c r="Q17" s="208">
        <f t="shared" si="3"/>
        <v>10788791</v>
      </c>
      <c r="R17" s="208">
        <f t="shared" si="3"/>
        <v>2610548</v>
      </c>
      <c r="T17" s="209">
        <f>'[40]Adj Rate CaseForecast'!$D$6</f>
        <v>1550000000</v>
      </c>
      <c r="U17" s="209">
        <f>'[40]Adj Rate CaseForecast'!$D$11</f>
        <v>203000000</v>
      </c>
      <c r="Z17" s="209">
        <f>$W$3*T17</f>
        <v>195052638.61346984</v>
      </c>
      <c r="AA17" s="209">
        <f>$X$3*U17</f>
        <v>42630000</v>
      </c>
      <c r="AC17" s="212">
        <f>$AC$16</f>
        <v>0.50905999999999996</v>
      </c>
      <c r="AD17" s="212">
        <f>$AD$16</f>
        <v>0.16245999999999999</v>
      </c>
      <c r="AE17" s="213">
        <f>$AE$16</f>
        <v>0.50209999999999999</v>
      </c>
      <c r="AF17" s="213">
        <f>$AF$16</f>
        <v>0.14080000000000001</v>
      </c>
    </row>
    <row r="18" spans="1:32" x14ac:dyDescent="0.35">
      <c r="A18" s="211">
        <v>40391</v>
      </c>
      <c r="B18" s="205">
        <f>'[40]Capacity Estimates'!$B$23</f>
        <v>15.39</v>
      </c>
      <c r="C18" s="205"/>
      <c r="D18" s="205">
        <f>'[40]Capacity Estimates'!$B$24</f>
        <v>3.28</v>
      </c>
      <c r="E18" s="206">
        <f>'[40]Capacity Estimates'!$B$13</f>
        <v>1.18</v>
      </c>
      <c r="F18" s="203">
        <f>'[40]Capacity Estimates'!$B$14</f>
        <v>0.8</v>
      </c>
      <c r="G18" s="203"/>
      <c r="H18" s="202">
        <f t="shared" si="4"/>
        <v>1.079</v>
      </c>
      <c r="I18" s="202">
        <f t="shared" si="0"/>
        <v>14.63</v>
      </c>
      <c r="J18" s="202">
        <f t="shared" si="1"/>
        <v>3.54</v>
      </c>
      <c r="L18" s="207">
        <f>'[40]May - Oct Capacity MSC by Class'!$B$20</f>
        <v>3316217</v>
      </c>
      <c r="M18" s="207">
        <f>'[40]May - Oct Capacity MSC by Class'!$B$21</f>
        <v>737443</v>
      </c>
      <c r="O18" s="208">
        <f t="shared" si="2"/>
        <v>48516255</v>
      </c>
      <c r="P18" s="208">
        <f t="shared" si="2"/>
        <v>11739408</v>
      </c>
      <c r="Q18" s="208">
        <f t="shared" si="3"/>
        <v>10788791</v>
      </c>
      <c r="R18" s="208">
        <f t="shared" si="3"/>
        <v>2610548</v>
      </c>
      <c r="T18" s="209">
        <f>'[40]Adj Rate CaseForecast'!$E$6</f>
        <v>1689000000</v>
      </c>
      <c r="U18" s="209">
        <f>'[40]Adj Rate CaseForecast'!$E$11</f>
        <v>209000000</v>
      </c>
      <c r="Z18" s="209">
        <f>$W$3*T18</f>
        <v>212544455.88267779</v>
      </c>
      <c r="AA18" s="209">
        <f>$X$3*U18</f>
        <v>43890000</v>
      </c>
      <c r="AC18" s="212">
        <f>$AC$16</f>
        <v>0.50905999999999996</v>
      </c>
      <c r="AD18" s="212">
        <f>$AD$16</f>
        <v>0.16245999999999999</v>
      </c>
      <c r="AE18" s="213">
        <f>$AE$16</f>
        <v>0.50209999999999999</v>
      </c>
      <c r="AF18" s="213">
        <f>$AF$16</f>
        <v>0.14080000000000001</v>
      </c>
    </row>
    <row r="19" spans="1:32" x14ac:dyDescent="0.35">
      <c r="A19" s="211">
        <v>40422</v>
      </c>
      <c r="B19" s="205">
        <f>'[40]Capacity Estimates'!$B$23</f>
        <v>15.39</v>
      </c>
      <c r="C19" s="205"/>
      <c r="D19" s="205">
        <f>'[40]Capacity Estimates'!$B$24</f>
        <v>3.28</v>
      </c>
      <c r="E19" s="206">
        <f>'[40]Capacity Estimates'!$B$13</f>
        <v>1.18</v>
      </c>
      <c r="F19" s="203">
        <f>'[40]Capacity Estimates'!$B$14</f>
        <v>0.8</v>
      </c>
      <c r="G19" s="203"/>
      <c r="H19" s="202">
        <f t="shared" si="4"/>
        <v>1.079</v>
      </c>
      <c r="I19" s="202">
        <f t="shared" si="0"/>
        <v>14.63</v>
      </c>
      <c r="J19" s="202">
        <f t="shared" si="1"/>
        <v>3.54</v>
      </c>
      <c r="L19" s="207">
        <f>'[40]May - Oct Capacity MSC by Class'!$B$20</f>
        <v>3316217</v>
      </c>
      <c r="M19" s="207">
        <f>'[40]May - Oct Capacity MSC by Class'!$B$21</f>
        <v>737443</v>
      </c>
      <c r="O19" s="208">
        <f t="shared" si="2"/>
        <v>48516255</v>
      </c>
      <c r="P19" s="208">
        <f t="shared" si="2"/>
        <v>11739408</v>
      </c>
      <c r="Q19" s="208">
        <f t="shared" si="3"/>
        <v>10788791</v>
      </c>
      <c r="R19" s="208">
        <f t="shared" si="3"/>
        <v>2610548</v>
      </c>
      <c r="T19" s="209">
        <f>'[40]Adj Rate CaseForecast'!$F$6</f>
        <v>1515000000</v>
      </c>
      <c r="U19" s="209">
        <f>'[40]Adj Rate CaseForecast'!$F$11</f>
        <v>203000000</v>
      </c>
      <c r="Z19" s="209">
        <f>$W$3*T19</f>
        <v>190648224.19316569</v>
      </c>
      <c r="AA19" s="209">
        <f>$X$3*U19</f>
        <v>42630000</v>
      </c>
      <c r="AC19" s="212">
        <f>$AC$16</f>
        <v>0.50905999999999996</v>
      </c>
      <c r="AD19" s="212">
        <f>$AD$16</f>
        <v>0.16245999999999999</v>
      </c>
      <c r="AE19" s="213">
        <f>$AE$16</f>
        <v>0.50209999999999999</v>
      </c>
      <c r="AF19" s="213">
        <f>$AF$16</f>
        <v>0.14080000000000001</v>
      </c>
    </row>
    <row r="20" spans="1:32" x14ac:dyDescent="0.35">
      <c r="A20" s="211">
        <v>40452</v>
      </c>
      <c r="B20" s="205">
        <f>'[40]Capacity Estimates'!$B$23</f>
        <v>15.39</v>
      </c>
      <c r="C20" s="205"/>
      <c r="D20" s="205">
        <f>'[40]Capacity Estimates'!$B$24</f>
        <v>3.28</v>
      </c>
      <c r="E20" s="206">
        <f>'[40]Capacity Estimates'!$B$13</f>
        <v>1.18</v>
      </c>
      <c r="F20" s="203">
        <f>'[40]Capacity Estimates'!$B$14</f>
        <v>0.8</v>
      </c>
      <c r="G20" s="203"/>
      <c r="H20" s="202">
        <f t="shared" si="4"/>
        <v>1.079</v>
      </c>
      <c r="I20" s="202">
        <f t="shared" si="0"/>
        <v>14.63</v>
      </c>
      <c r="J20" s="202">
        <f t="shared" si="1"/>
        <v>3.54</v>
      </c>
      <c r="L20" s="207">
        <f>'[40]May - Oct Capacity MSC by Class'!$B$20</f>
        <v>3316217</v>
      </c>
      <c r="M20" s="207">
        <f>'[40]May - Oct Capacity MSC by Class'!$B$21</f>
        <v>737443</v>
      </c>
      <c r="O20" s="208">
        <f t="shared" si="2"/>
        <v>48516255</v>
      </c>
      <c r="P20" s="208">
        <f t="shared" si="2"/>
        <v>11739408</v>
      </c>
      <c r="Q20" s="208">
        <f t="shared" si="3"/>
        <v>10788791</v>
      </c>
      <c r="R20" s="208">
        <f t="shared" si="3"/>
        <v>2610548</v>
      </c>
      <c r="T20" s="209">
        <f>'[40]Adj Rate CaseForecast'!$G$6</f>
        <v>1108000000</v>
      </c>
      <c r="U20" s="209">
        <f>'[40]Adj Rate CaseForecast'!$G$11</f>
        <v>171000000</v>
      </c>
    </row>
    <row r="21" spans="1:32" x14ac:dyDescent="0.35">
      <c r="A21" s="204">
        <v>40483</v>
      </c>
      <c r="B21" s="205">
        <f>'[41]Capacity Estimates'!$C$24</f>
        <v>5.66</v>
      </c>
      <c r="C21" s="205"/>
      <c r="D21" s="205">
        <f>'[41]Capacity Estimates'!$C$25</f>
        <v>0.51</v>
      </c>
      <c r="E21" s="206">
        <f>'[41]Capacity Estimates'!$C$14</f>
        <v>1.18</v>
      </c>
      <c r="F21" s="203">
        <f>'[41]Capacity Estimates'!$C$15</f>
        <v>0.8</v>
      </c>
      <c r="G21" s="203"/>
      <c r="H21" s="202">
        <f t="shared" si="4"/>
        <v>1.079</v>
      </c>
      <c r="I21" s="202">
        <f t="shared" si="0"/>
        <v>5.09</v>
      </c>
      <c r="J21" s="202">
        <f t="shared" si="1"/>
        <v>0.55000000000000004</v>
      </c>
      <c r="L21" s="207">
        <f>'[41]Nov - Apr Capacity MSC by Class'!$B$20</f>
        <v>3316217</v>
      </c>
      <c r="M21" s="207">
        <f>'[41]Nov - Apr Capacity MSC by Class'!$B$21</f>
        <v>737443</v>
      </c>
      <c r="O21" s="208">
        <f t="shared" si="2"/>
        <v>16879545</v>
      </c>
      <c r="P21" s="208">
        <f t="shared" si="2"/>
        <v>1823919</v>
      </c>
      <c r="Q21" s="208">
        <f t="shared" si="3"/>
        <v>3753585</v>
      </c>
      <c r="R21" s="208">
        <f t="shared" si="3"/>
        <v>405594</v>
      </c>
      <c r="T21" s="209">
        <f>'[41]Adj 2011 Op Bud Forecast'!$H$6</f>
        <v>1000000000</v>
      </c>
      <c r="U21" s="209">
        <f>'[41]Adj 2011 Op Bud Forecast'!$H$11</f>
        <v>163000000</v>
      </c>
    </row>
    <row r="22" spans="1:32" x14ac:dyDescent="0.35">
      <c r="A22" s="211">
        <v>40513</v>
      </c>
      <c r="B22" s="205">
        <f>'[41]Capacity Estimates'!$C$24</f>
        <v>5.66</v>
      </c>
      <c r="C22" s="205"/>
      <c r="D22" s="205">
        <f>'[41]Capacity Estimates'!$C$25</f>
        <v>0.51</v>
      </c>
      <c r="E22" s="206">
        <f>'[41]Capacity Estimates'!$C$14</f>
        <v>1.18</v>
      </c>
      <c r="F22" s="203">
        <f>'[41]Capacity Estimates'!$C$15</f>
        <v>0.8</v>
      </c>
      <c r="G22" s="203"/>
      <c r="H22" s="202">
        <f t="shared" si="4"/>
        <v>1.079</v>
      </c>
      <c r="I22" s="202">
        <f t="shared" si="0"/>
        <v>5.09</v>
      </c>
      <c r="J22" s="202">
        <f t="shared" si="1"/>
        <v>0.55000000000000004</v>
      </c>
      <c r="L22" s="207">
        <f>'[41]Nov - Apr Capacity MSC by Class'!$B$20</f>
        <v>3316217</v>
      </c>
      <c r="M22" s="207">
        <f>'[41]Nov - Apr Capacity MSC by Class'!$B$21</f>
        <v>737443</v>
      </c>
      <c r="O22" s="208">
        <f t="shared" si="2"/>
        <v>16879545</v>
      </c>
      <c r="P22" s="208">
        <f t="shared" si="2"/>
        <v>1823919</v>
      </c>
      <c r="Q22" s="208">
        <f t="shared" si="3"/>
        <v>3753585</v>
      </c>
      <c r="R22" s="208">
        <f t="shared" si="3"/>
        <v>405594</v>
      </c>
      <c r="T22" s="209">
        <f>'[41]Adj 2011 Op Bud Forecast'!$I$6</f>
        <v>1105000000</v>
      </c>
      <c r="U22" s="209">
        <f>'[41]Adj 2011 Op Bud Forecast'!$I$11</f>
        <v>186000000</v>
      </c>
    </row>
    <row r="23" spans="1:32" x14ac:dyDescent="0.35">
      <c r="A23" s="211">
        <v>40544</v>
      </c>
      <c r="B23" s="205">
        <f>'[41]Capacity Estimates'!$C$24</f>
        <v>5.66</v>
      </c>
      <c r="C23" s="205"/>
      <c r="D23" s="205">
        <f>'[41]Capacity Estimates'!$C$25</f>
        <v>0.51</v>
      </c>
      <c r="E23" s="206">
        <f>'[41]Capacity Estimates'!$C$14</f>
        <v>1.18</v>
      </c>
      <c r="F23" s="203">
        <f>'[41]Capacity Estimates'!$C$15</f>
        <v>0.8</v>
      </c>
      <c r="G23" s="203"/>
      <c r="H23" s="202">
        <f t="shared" si="4"/>
        <v>1.079</v>
      </c>
      <c r="I23" s="202">
        <f t="shared" si="0"/>
        <v>5.09</v>
      </c>
      <c r="J23" s="202">
        <f t="shared" si="1"/>
        <v>0.55000000000000004</v>
      </c>
      <c r="L23" s="207">
        <f>'[41]Nov - Apr Capacity MSC by Class'!$B$20</f>
        <v>3316217</v>
      </c>
      <c r="M23" s="207">
        <f>'[41]Nov - Apr Capacity MSC by Class'!$B$21</f>
        <v>737443</v>
      </c>
      <c r="O23" s="208">
        <f t="shared" si="2"/>
        <v>16879545</v>
      </c>
      <c r="P23" s="208">
        <f t="shared" si="2"/>
        <v>1823919</v>
      </c>
      <c r="Q23" s="208">
        <f t="shared" si="3"/>
        <v>3753585</v>
      </c>
      <c r="R23" s="208">
        <f t="shared" si="3"/>
        <v>405594</v>
      </c>
      <c r="T23" s="209">
        <f>'[41]Adj 2011 Op Bud Forecast'!$J$6</f>
        <v>1147000000</v>
      </c>
      <c r="U23" s="209">
        <f>'[41]Adj 2011 Op Bud Forecast'!$J$11</f>
        <v>193000000</v>
      </c>
    </row>
    <row r="24" spans="1:32" x14ac:dyDescent="0.35">
      <c r="A24" s="211">
        <v>40575</v>
      </c>
      <c r="B24" s="205">
        <f>'[41]Capacity Estimates'!$C$24</f>
        <v>5.66</v>
      </c>
      <c r="C24" s="205"/>
      <c r="D24" s="205">
        <f>'[41]Capacity Estimates'!$C$25</f>
        <v>0.51</v>
      </c>
      <c r="E24" s="206">
        <f>'[41]Capacity Estimates'!$C$14</f>
        <v>1.18</v>
      </c>
      <c r="F24" s="203">
        <f>'[41]Capacity Estimates'!$C$15</f>
        <v>0.8</v>
      </c>
      <c r="G24" s="203"/>
      <c r="H24" s="202">
        <f t="shared" si="4"/>
        <v>1.079</v>
      </c>
      <c r="I24" s="202">
        <f t="shared" si="0"/>
        <v>5.09</v>
      </c>
      <c r="J24" s="202">
        <f t="shared" si="1"/>
        <v>0.55000000000000004</v>
      </c>
      <c r="L24" s="207">
        <f>'[41]Nov - Apr Capacity MSC by Class'!$B$20</f>
        <v>3316217</v>
      </c>
      <c r="M24" s="207">
        <f>'[41]Nov - Apr Capacity MSC by Class'!$B$21</f>
        <v>737443</v>
      </c>
      <c r="O24" s="208">
        <f t="shared" si="2"/>
        <v>16879545</v>
      </c>
      <c r="P24" s="208">
        <f t="shared" si="2"/>
        <v>1823919</v>
      </c>
      <c r="Q24" s="208">
        <f t="shared" si="3"/>
        <v>3753585</v>
      </c>
      <c r="R24" s="208">
        <f t="shared" si="3"/>
        <v>405594</v>
      </c>
      <c r="T24" s="209">
        <f>'[41]Adj 2011 Op Bud Forecast'!$K$6</f>
        <v>1061000000</v>
      </c>
      <c r="U24" s="209">
        <f>'[41]Adj 2011 Op Bud Forecast'!$K$11</f>
        <v>193000000</v>
      </c>
    </row>
    <row r="25" spans="1:32" x14ac:dyDescent="0.35">
      <c r="A25" s="211">
        <v>40603</v>
      </c>
      <c r="B25" s="205">
        <f>'[41]Capacity Estimates'!$C$24</f>
        <v>5.66</v>
      </c>
      <c r="C25" s="205"/>
      <c r="D25" s="205">
        <f>'[41]Capacity Estimates'!$C$25</f>
        <v>0.51</v>
      </c>
      <c r="E25" s="206">
        <f>'[41]Capacity Estimates'!$C$14</f>
        <v>1.18</v>
      </c>
      <c r="F25" s="203">
        <f>'[41]Capacity Estimates'!$C$15</f>
        <v>0.8</v>
      </c>
      <c r="G25" s="203"/>
      <c r="H25" s="202">
        <f t="shared" si="4"/>
        <v>1.079</v>
      </c>
      <c r="I25" s="202">
        <f t="shared" si="0"/>
        <v>5.09</v>
      </c>
      <c r="J25" s="202">
        <f t="shared" si="1"/>
        <v>0.55000000000000004</v>
      </c>
      <c r="L25" s="207">
        <f>'[41]Nov - Apr Capacity MSC by Class'!$B$20</f>
        <v>3316217</v>
      </c>
      <c r="M25" s="207">
        <f>'[41]Nov - Apr Capacity MSC by Class'!$B$21</f>
        <v>737443</v>
      </c>
      <c r="O25" s="208">
        <f t="shared" si="2"/>
        <v>16879545</v>
      </c>
      <c r="P25" s="208">
        <f t="shared" si="2"/>
        <v>1823919</v>
      </c>
      <c r="Q25" s="208">
        <f t="shared" si="3"/>
        <v>3753585</v>
      </c>
      <c r="R25" s="208">
        <f t="shared" si="3"/>
        <v>405594</v>
      </c>
      <c r="T25" s="209">
        <f>'[41]Adj 2011 Op Bud Forecast'!$L$6</f>
        <v>1003000000</v>
      </c>
      <c r="U25" s="209">
        <f>'[41]Adj 2011 Op Bud Forecast'!$L$11</f>
        <v>187000000</v>
      </c>
    </row>
    <row r="26" spans="1:32" x14ac:dyDescent="0.35">
      <c r="A26" s="211">
        <v>40634</v>
      </c>
      <c r="B26" s="205">
        <f>'[41]Capacity Estimates'!$C$24</f>
        <v>5.66</v>
      </c>
      <c r="C26" s="205"/>
      <c r="D26" s="205">
        <f>'[41]Capacity Estimates'!$C$25</f>
        <v>0.51</v>
      </c>
      <c r="E26" s="206">
        <f>'[41]Capacity Estimates'!$C$14</f>
        <v>1.18</v>
      </c>
      <c r="F26" s="203">
        <f>'[41]Capacity Estimates'!$C$15</f>
        <v>0.8</v>
      </c>
      <c r="G26" s="203"/>
      <c r="H26" s="202">
        <f t="shared" si="4"/>
        <v>1.079</v>
      </c>
      <c r="I26" s="202">
        <f t="shared" si="0"/>
        <v>5.09</v>
      </c>
      <c r="J26" s="202">
        <f t="shared" si="1"/>
        <v>0.55000000000000004</v>
      </c>
      <c r="L26" s="207">
        <f>'[41]Nov - Apr Capacity MSC by Class'!$B$20</f>
        <v>3316217</v>
      </c>
      <c r="M26" s="207">
        <f>'[41]Nov - Apr Capacity MSC by Class'!$B$21</f>
        <v>737443</v>
      </c>
      <c r="O26" s="208">
        <f t="shared" si="2"/>
        <v>16879545</v>
      </c>
      <c r="P26" s="208">
        <f t="shared" si="2"/>
        <v>1823919</v>
      </c>
      <c r="Q26" s="208">
        <f t="shared" si="3"/>
        <v>3753585</v>
      </c>
      <c r="R26" s="208">
        <f t="shared" si="3"/>
        <v>405594</v>
      </c>
      <c r="T26" s="209">
        <f>'[41]Adj 2011 Op Bud Forecast'!$M$6</f>
        <v>950000000</v>
      </c>
      <c r="U26" s="209">
        <f>'[41]Adj 2011 Op Bud Forecast'!$M$11</f>
        <v>169000000</v>
      </c>
    </row>
    <row r="27" spans="1:32" x14ac:dyDescent="0.35">
      <c r="A27" s="204">
        <v>40664</v>
      </c>
      <c r="B27" s="205">
        <f>'[42]Capacity Estimates'!$C$24</f>
        <v>16.84</v>
      </c>
      <c r="C27" s="205"/>
      <c r="D27" s="205">
        <f>'[42]Capacity Estimates'!$C$25</f>
        <v>0.9</v>
      </c>
      <c r="E27" s="206">
        <f>'[42]Capacity Estimates'!$C$14</f>
        <v>1.155</v>
      </c>
      <c r="F27" s="203">
        <f>'[42]Capacity Estimates'!$C$15</f>
        <v>0.8</v>
      </c>
      <c r="G27" s="203"/>
      <c r="H27" s="202">
        <f t="shared" si="4"/>
        <v>1.079</v>
      </c>
      <c r="I27" s="202">
        <f t="shared" si="0"/>
        <v>14.88</v>
      </c>
      <c r="J27" s="202">
        <f t="shared" si="1"/>
        <v>0.97</v>
      </c>
      <c r="L27" s="207">
        <f>'[42]May - Oct Capacity MSC by Class'!$B$20</f>
        <v>3993339</v>
      </c>
      <c r="M27" s="207">
        <f>'[42]May - Oct Capacity MSC by Class'!$B$21</f>
        <v>801239</v>
      </c>
      <c r="O27" s="208">
        <f t="shared" si="2"/>
        <v>59420884</v>
      </c>
      <c r="P27" s="208">
        <f t="shared" si="2"/>
        <v>3873539</v>
      </c>
      <c r="Q27" s="208">
        <f t="shared" si="3"/>
        <v>11922436</v>
      </c>
      <c r="R27" s="208">
        <f t="shared" si="3"/>
        <v>777202</v>
      </c>
      <c r="T27" s="209">
        <f>'[42]Adj 2011 Bud Forecast'!$B$6</f>
        <v>922000000</v>
      </c>
      <c r="U27" s="209">
        <f>'[42]Adj 2011 Bud Forecast'!$B$11</f>
        <v>160000000</v>
      </c>
    </row>
    <row r="28" spans="1:32" x14ac:dyDescent="0.35">
      <c r="A28" s="211">
        <v>40695</v>
      </c>
      <c r="B28" s="205">
        <f>'[42]Capacity Estimates'!$C$24</f>
        <v>16.84</v>
      </c>
      <c r="C28" s="205"/>
      <c r="D28" s="205">
        <f>'[42]Capacity Estimates'!$C$25</f>
        <v>0.9</v>
      </c>
      <c r="E28" s="206">
        <f>'[42]Capacity Estimates'!$C$14</f>
        <v>1.155</v>
      </c>
      <c r="F28" s="203">
        <f>'[42]Capacity Estimates'!$C$15</f>
        <v>0.8</v>
      </c>
      <c r="G28" s="203"/>
      <c r="H28" s="202">
        <f t="shared" si="4"/>
        <v>1.079</v>
      </c>
      <c r="I28" s="202">
        <f t="shared" si="0"/>
        <v>14.88</v>
      </c>
      <c r="J28" s="202">
        <f t="shared" si="1"/>
        <v>0.97</v>
      </c>
      <c r="L28" s="207">
        <f>'[42]May - Oct Capacity MSC by Class'!$B$20</f>
        <v>3993339</v>
      </c>
      <c r="M28" s="207">
        <f>'[42]May - Oct Capacity MSC by Class'!$B$21</f>
        <v>801239</v>
      </c>
      <c r="O28" s="208">
        <f t="shared" si="2"/>
        <v>59420884</v>
      </c>
      <c r="P28" s="208">
        <f t="shared" si="2"/>
        <v>3873539</v>
      </c>
      <c r="Q28" s="208">
        <f t="shared" si="3"/>
        <v>11922436</v>
      </c>
      <c r="R28" s="208">
        <f t="shared" si="3"/>
        <v>777202</v>
      </c>
      <c r="T28" s="209">
        <f>'[42]Adj 2011 Bud Forecast'!$C$6</f>
        <v>1181000000</v>
      </c>
      <c r="U28" s="209">
        <f>'[42]Adj 2011 Bud Forecast'!$C$11</f>
        <v>174000000</v>
      </c>
      <c r="Z28" s="209">
        <f>$W$3*T28</f>
        <v>148617526.58226317</v>
      </c>
      <c r="AA28" s="209">
        <f>$X$3*U28</f>
        <v>36540000</v>
      </c>
      <c r="AC28" s="212">
        <f>ROUND(SUM(O21:O32)/SUM(Z28:Z31),5)</f>
        <v>0.63202999999999998</v>
      </c>
      <c r="AD28" s="212">
        <f>ROUND(SUM(P21:P32)/SUM(Z28:Z31),5)</f>
        <v>4.7190000000000003E-2</v>
      </c>
      <c r="AE28" s="213">
        <f>ROUND(SUM(Q23:Q34)/SUM(AA28:AA31),4)</f>
        <v>0.57830000000000004</v>
      </c>
      <c r="AF28" s="213">
        <f>ROUND(SUM(R23:R34)/SUM(AA28:AA31),4)</f>
        <v>4.6399999999999997E-2</v>
      </c>
    </row>
    <row r="29" spans="1:32" x14ac:dyDescent="0.35">
      <c r="A29" s="211">
        <v>40725</v>
      </c>
      <c r="B29" s="205">
        <f>'[42]Capacity Estimates'!$C$24</f>
        <v>16.84</v>
      </c>
      <c r="C29" s="205"/>
      <c r="D29" s="205">
        <f>'[42]Capacity Estimates'!$C$25</f>
        <v>0.9</v>
      </c>
      <c r="E29" s="206">
        <f>'[42]Capacity Estimates'!$C$14</f>
        <v>1.155</v>
      </c>
      <c r="F29" s="203">
        <f>'[42]Capacity Estimates'!$C$15</f>
        <v>0.8</v>
      </c>
      <c r="G29" s="203"/>
      <c r="H29" s="202">
        <f t="shared" si="4"/>
        <v>1.079</v>
      </c>
      <c r="I29" s="202">
        <f t="shared" si="0"/>
        <v>14.88</v>
      </c>
      <c r="J29" s="202">
        <f t="shared" si="1"/>
        <v>0.97</v>
      </c>
      <c r="L29" s="207">
        <f>'[42]May - Oct Capacity MSC by Class'!$B$20</f>
        <v>3993339</v>
      </c>
      <c r="M29" s="207">
        <f>'[42]May - Oct Capacity MSC by Class'!$B$21</f>
        <v>801239</v>
      </c>
      <c r="O29" s="208">
        <f t="shared" si="2"/>
        <v>59420884</v>
      </c>
      <c r="P29" s="208">
        <f t="shared" si="2"/>
        <v>3873539</v>
      </c>
      <c r="Q29" s="208">
        <f t="shared" si="3"/>
        <v>11922436</v>
      </c>
      <c r="R29" s="208">
        <f t="shared" si="3"/>
        <v>777202</v>
      </c>
      <c r="T29" s="209">
        <f>'[42]Adj 2011 Bud Forecast'!$D$6</f>
        <v>1503000000</v>
      </c>
      <c r="U29" s="209">
        <f>'[42]Adj 2011 Bud Forecast'!$D$11</f>
        <v>194000000</v>
      </c>
      <c r="Z29" s="209">
        <f>$W$3*T29</f>
        <v>189138139.24906141</v>
      </c>
      <c r="AA29" s="209">
        <f>$X$3*U29</f>
        <v>40740000</v>
      </c>
      <c r="AC29" s="212">
        <f>$AC$28</f>
        <v>0.63202999999999998</v>
      </c>
      <c r="AD29" s="212">
        <f>$AD$28</f>
        <v>4.7190000000000003E-2</v>
      </c>
      <c r="AE29" s="213">
        <f>$AE$28</f>
        <v>0.57830000000000004</v>
      </c>
      <c r="AF29" s="213">
        <f>$AF$28</f>
        <v>4.6399999999999997E-2</v>
      </c>
    </row>
    <row r="30" spans="1:32" x14ac:dyDescent="0.35">
      <c r="A30" s="211">
        <v>40756</v>
      </c>
      <c r="B30" s="205">
        <f>'[42]Capacity Estimates'!$C$24</f>
        <v>16.84</v>
      </c>
      <c r="C30" s="205"/>
      <c r="D30" s="205">
        <f>'[42]Capacity Estimates'!$C$25</f>
        <v>0.9</v>
      </c>
      <c r="E30" s="206">
        <f>'[42]Capacity Estimates'!$C$14</f>
        <v>1.155</v>
      </c>
      <c r="F30" s="203">
        <f>'[42]Capacity Estimates'!$C$15</f>
        <v>0.8</v>
      </c>
      <c r="G30" s="203"/>
      <c r="H30" s="202">
        <f t="shared" si="4"/>
        <v>1.079</v>
      </c>
      <c r="I30" s="202">
        <f t="shared" si="0"/>
        <v>14.88</v>
      </c>
      <c r="J30" s="202">
        <f t="shared" si="1"/>
        <v>0.97</v>
      </c>
      <c r="L30" s="207">
        <f>'[42]May - Oct Capacity MSC by Class'!$B$20</f>
        <v>3993339</v>
      </c>
      <c r="M30" s="207">
        <f>'[42]May - Oct Capacity MSC by Class'!$B$21</f>
        <v>801239</v>
      </c>
      <c r="O30" s="208">
        <f t="shared" si="2"/>
        <v>59420884</v>
      </c>
      <c r="P30" s="208">
        <f t="shared" si="2"/>
        <v>3873539</v>
      </c>
      <c r="Q30" s="208">
        <f t="shared" si="3"/>
        <v>11922436</v>
      </c>
      <c r="R30" s="208">
        <f t="shared" si="3"/>
        <v>777202</v>
      </c>
      <c r="T30" s="209">
        <f>'[42]Adj 2011 Bud Forecast'!$E$6</f>
        <v>1618000000</v>
      </c>
      <c r="U30" s="209">
        <f>'[42]Adj 2011 Bud Forecast'!$E$11</f>
        <v>199000000</v>
      </c>
      <c r="Z30" s="209">
        <f>$W$3*T30</f>
        <v>203609786.63006079</v>
      </c>
      <c r="AA30" s="209">
        <f>$X$3*U30</f>
        <v>41790000</v>
      </c>
      <c r="AC30" s="212">
        <f>$AC$28</f>
        <v>0.63202999999999998</v>
      </c>
      <c r="AD30" s="212">
        <f>$AD$28</f>
        <v>4.7190000000000003E-2</v>
      </c>
      <c r="AE30" s="213">
        <f>$AE$28</f>
        <v>0.57830000000000004</v>
      </c>
      <c r="AF30" s="213">
        <f>$AF$28</f>
        <v>4.6399999999999997E-2</v>
      </c>
    </row>
    <row r="31" spans="1:32" x14ac:dyDescent="0.35">
      <c r="A31" s="211">
        <v>40787</v>
      </c>
      <c r="B31" s="205">
        <f>'[42]Capacity Estimates'!$C$24</f>
        <v>16.84</v>
      </c>
      <c r="C31" s="205"/>
      <c r="D31" s="205">
        <f>'[42]Capacity Estimates'!$C$25</f>
        <v>0.9</v>
      </c>
      <c r="E31" s="206">
        <f>'[42]Capacity Estimates'!$C$14</f>
        <v>1.155</v>
      </c>
      <c r="F31" s="203">
        <f>'[42]Capacity Estimates'!$C$15</f>
        <v>0.8</v>
      </c>
      <c r="G31" s="203"/>
      <c r="H31" s="202">
        <f t="shared" si="4"/>
        <v>1.079</v>
      </c>
      <c r="I31" s="202">
        <f t="shared" si="0"/>
        <v>14.88</v>
      </c>
      <c r="J31" s="202">
        <f t="shared" si="1"/>
        <v>0.97</v>
      </c>
      <c r="L31" s="207">
        <f>'[42]May - Oct Capacity MSC by Class'!$B$20</f>
        <v>3993339</v>
      </c>
      <c r="M31" s="207">
        <f>'[42]May - Oct Capacity MSC by Class'!$B$21</f>
        <v>801239</v>
      </c>
      <c r="O31" s="208">
        <f t="shared" si="2"/>
        <v>59420884</v>
      </c>
      <c r="P31" s="208">
        <f t="shared" si="2"/>
        <v>3873539</v>
      </c>
      <c r="Q31" s="208">
        <f t="shared" si="3"/>
        <v>11922436</v>
      </c>
      <c r="R31" s="208">
        <f t="shared" si="3"/>
        <v>777202</v>
      </c>
      <c r="T31" s="209">
        <f>'[42]Adj 2011 Bud Forecast'!$F$6</f>
        <v>1454000000</v>
      </c>
      <c r="U31" s="209">
        <f>'[42]Adj 2011 Bud Forecast'!$F$11</f>
        <v>195000000</v>
      </c>
      <c r="Z31" s="209">
        <f>$W$3*T31</f>
        <v>182971959.0606356</v>
      </c>
      <c r="AA31" s="209">
        <f>$X$3*U31</f>
        <v>40950000</v>
      </c>
      <c r="AC31" s="212">
        <f>$AC$28</f>
        <v>0.63202999999999998</v>
      </c>
      <c r="AD31" s="212">
        <f>$AD$28</f>
        <v>4.7190000000000003E-2</v>
      </c>
      <c r="AE31" s="213">
        <f>$AE$28</f>
        <v>0.57830000000000004</v>
      </c>
      <c r="AF31" s="213">
        <f>$AF$28</f>
        <v>4.6399999999999997E-2</v>
      </c>
    </row>
    <row r="32" spans="1:32" x14ac:dyDescent="0.35">
      <c r="A32" s="211">
        <v>40817</v>
      </c>
      <c r="B32" s="205">
        <f>'[42]Capacity Estimates'!$C$24</f>
        <v>16.84</v>
      </c>
      <c r="C32" s="205"/>
      <c r="D32" s="205">
        <f>'[42]Capacity Estimates'!$C$25</f>
        <v>0.9</v>
      </c>
      <c r="E32" s="206">
        <f>'[42]Capacity Estimates'!$C$14</f>
        <v>1.155</v>
      </c>
      <c r="F32" s="203">
        <f>'[42]Capacity Estimates'!$C$15</f>
        <v>0.8</v>
      </c>
      <c r="G32" s="203"/>
      <c r="H32" s="202">
        <f t="shared" si="4"/>
        <v>1.079</v>
      </c>
      <c r="I32" s="202">
        <f t="shared" si="0"/>
        <v>14.88</v>
      </c>
      <c r="J32" s="202">
        <f t="shared" si="1"/>
        <v>0.97</v>
      </c>
      <c r="L32" s="207">
        <f>'[42]May - Oct Capacity MSC by Class'!$B$20</f>
        <v>3993339</v>
      </c>
      <c r="M32" s="207">
        <f>'[42]May - Oct Capacity MSC by Class'!$B$21</f>
        <v>801239</v>
      </c>
      <c r="O32" s="208">
        <f t="shared" si="2"/>
        <v>59420884</v>
      </c>
      <c r="P32" s="208">
        <f t="shared" si="2"/>
        <v>3873539</v>
      </c>
      <c r="Q32" s="208">
        <f t="shared" si="3"/>
        <v>11922436</v>
      </c>
      <c r="R32" s="208">
        <f t="shared" si="3"/>
        <v>777202</v>
      </c>
      <c r="T32" s="209">
        <f>'[42]Adj 2011 Bud Forecast'!$G$6</f>
        <v>1116000000</v>
      </c>
      <c r="U32" s="209">
        <f>'[42]Adj 2011 Bud Forecast'!$G$11</f>
        <v>166000000</v>
      </c>
    </row>
    <row r="33" spans="1:33" x14ac:dyDescent="0.35">
      <c r="A33" s="204">
        <v>40848</v>
      </c>
      <c r="B33" s="205">
        <f>'[43]Capacity Estimates'!$D$24</f>
        <v>4.1647117210007263</v>
      </c>
      <c r="C33" s="205"/>
      <c r="D33" s="205">
        <f>'[43]Capacity Estimates'!$D$25</f>
        <v>0.65726601893919467</v>
      </c>
      <c r="E33" s="203">
        <v>1</v>
      </c>
      <c r="F33" s="203">
        <f>'[43]Capacity Estimates'!$D$38</f>
        <v>0.8</v>
      </c>
      <c r="G33" s="203"/>
      <c r="H33" s="202">
        <f t="shared" si="4"/>
        <v>1.079</v>
      </c>
      <c r="I33" s="202">
        <f t="shared" si="0"/>
        <v>3.74</v>
      </c>
      <c r="J33" s="202">
        <f t="shared" si="1"/>
        <v>0.71</v>
      </c>
      <c r="L33" s="207">
        <f>'[43]Nov - Apr Capacity MSC by Class'!$B$20</f>
        <v>3993339</v>
      </c>
      <c r="M33" s="207">
        <f>'[43]Nov - Apr Capacity MSC by Class'!$B$21</f>
        <v>801239</v>
      </c>
      <c r="O33" s="208">
        <f t="shared" si="2"/>
        <v>14935088</v>
      </c>
      <c r="P33" s="208">
        <f t="shared" si="2"/>
        <v>2835271</v>
      </c>
      <c r="Q33" s="208">
        <f t="shared" si="3"/>
        <v>2996634</v>
      </c>
      <c r="R33" s="208">
        <f t="shared" si="3"/>
        <v>568880</v>
      </c>
      <c r="T33" s="209">
        <f>'[43]Adj 2012 Bud Forecast'!$H$6</f>
        <v>995000000</v>
      </c>
      <c r="U33" s="209">
        <f>'[43]Adj 2012 Bud Forecast'!$H$11</f>
        <v>164000000</v>
      </c>
    </row>
    <row r="34" spans="1:33" x14ac:dyDescent="0.35">
      <c r="A34" s="211">
        <v>40878</v>
      </c>
      <c r="B34" s="205">
        <f>'[43]Capacity Estimates'!$D$24</f>
        <v>4.1647117210007263</v>
      </c>
      <c r="C34" s="205"/>
      <c r="D34" s="205">
        <f>'[43]Capacity Estimates'!$D$25</f>
        <v>0.65726601893919467</v>
      </c>
      <c r="E34" s="203">
        <v>1</v>
      </c>
      <c r="F34" s="203">
        <f>'[43]Capacity Estimates'!$D$38</f>
        <v>0.8</v>
      </c>
      <c r="G34" s="203"/>
      <c r="H34" s="202">
        <f t="shared" si="4"/>
        <v>1.079</v>
      </c>
      <c r="I34" s="202">
        <f t="shared" si="0"/>
        <v>3.74</v>
      </c>
      <c r="J34" s="202">
        <f t="shared" si="1"/>
        <v>0.71</v>
      </c>
      <c r="L34" s="207">
        <f>'[43]Nov - Apr Capacity MSC by Class'!$B$20</f>
        <v>3993339</v>
      </c>
      <c r="M34" s="207">
        <f>'[43]Nov - Apr Capacity MSC by Class'!$B$21</f>
        <v>801239</v>
      </c>
      <c r="O34" s="208">
        <f t="shared" si="2"/>
        <v>14935088</v>
      </c>
      <c r="P34" s="208">
        <f t="shared" si="2"/>
        <v>2835271</v>
      </c>
      <c r="Q34" s="208">
        <f t="shared" si="3"/>
        <v>2996634</v>
      </c>
      <c r="R34" s="208">
        <f t="shared" si="3"/>
        <v>568880</v>
      </c>
      <c r="T34" s="209">
        <f>'[43]Adj 2012 Bud Forecast'!$I$6</f>
        <v>1096000000</v>
      </c>
      <c r="U34" s="209">
        <f>'[43]Adj 2012 Bud Forecast'!$I$11</f>
        <v>185000000</v>
      </c>
    </row>
    <row r="35" spans="1:33" x14ac:dyDescent="0.35">
      <c r="A35" s="211">
        <v>40909</v>
      </c>
      <c r="B35" s="205">
        <f>'[43]Capacity Estimates'!$D$24</f>
        <v>4.1647117210007263</v>
      </c>
      <c r="C35" s="205"/>
      <c r="D35" s="205">
        <f>'[43]Capacity Estimates'!$D$25</f>
        <v>0.65726601893919467</v>
      </c>
      <c r="E35" s="203">
        <v>1</v>
      </c>
      <c r="F35" s="203">
        <f>'[43]Capacity Estimates'!$D$38</f>
        <v>0.8</v>
      </c>
      <c r="G35" s="203"/>
      <c r="H35" s="202">
        <f t="shared" si="4"/>
        <v>1.079</v>
      </c>
      <c r="I35" s="202">
        <f t="shared" si="0"/>
        <v>3.74</v>
      </c>
      <c r="J35" s="202">
        <f t="shared" si="1"/>
        <v>0.71</v>
      </c>
      <c r="L35" s="207">
        <f>'[43]Nov - Apr Capacity MSC by Class'!$B$20</f>
        <v>3993339</v>
      </c>
      <c r="M35" s="207">
        <f>'[43]Nov - Apr Capacity MSC by Class'!$B$21</f>
        <v>801239</v>
      </c>
      <c r="O35" s="208">
        <f t="shared" si="2"/>
        <v>14935088</v>
      </c>
      <c r="P35" s="208">
        <f t="shared" si="2"/>
        <v>2835271</v>
      </c>
      <c r="Q35" s="208">
        <f t="shared" si="3"/>
        <v>2996634</v>
      </c>
      <c r="R35" s="208">
        <f t="shared" si="3"/>
        <v>568880</v>
      </c>
      <c r="T35" s="209">
        <f>'[43]Adj 2012 Bud Forecast'!$J$6</f>
        <v>1176000000</v>
      </c>
      <c r="U35" s="209">
        <f>'[43]Adj 2012 Bud Forecast'!$J$11</f>
        <v>191000000</v>
      </c>
    </row>
    <row r="36" spans="1:33" x14ac:dyDescent="0.35">
      <c r="A36" s="211">
        <v>40940</v>
      </c>
      <c r="B36" s="205">
        <f>'[43]Capacity Estimates'!$D$24</f>
        <v>4.1647117210007263</v>
      </c>
      <c r="C36" s="205"/>
      <c r="D36" s="205">
        <f>'[43]Capacity Estimates'!$D$25</f>
        <v>0.65726601893919467</v>
      </c>
      <c r="E36" s="203">
        <v>1</v>
      </c>
      <c r="F36" s="203">
        <f>'[43]Capacity Estimates'!$D$38</f>
        <v>0.8</v>
      </c>
      <c r="G36" s="203"/>
      <c r="H36" s="202">
        <f t="shared" si="4"/>
        <v>1.079</v>
      </c>
      <c r="I36" s="202">
        <f t="shared" si="0"/>
        <v>3.74</v>
      </c>
      <c r="J36" s="202">
        <f t="shared" si="1"/>
        <v>0.71</v>
      </c>
      <c r="L36" s="207">
        <f>'[43]Nov - Apr Capacity MSC by Class'!$B$20</f>
        <v>3993339</v>
      </c>
      <c r="M36" s="207">
        <f>'[43]Nov - Apr Capacity MSC by Class'!$B$21</f>
        <v>801239</v>
      </c>
      <c r="O36" s="208">
        <f t="shared" si="2"/>
        <v>14935088</v>
      </c>
      <c r="P36" s="208">
        <f t="shared" si="2"/>
        <v>2835271</v>
      </c>
      <c r="Q36" s="208">
        <f t="shared" si="3"/>
        <v>2996634</v>
      </c>
      <c r="R36" s="208">
        <f t="shared" si="3"/>
        <v>568880</v>
      </c>
      <c r="T36" s="209">
        <f>'[43]Adj 2012 Bud Forecast'!$K$6</f>
        <v>1098000000</v>
      </c>
      <c r="U36" s="209">
        <f>'[43]Adj 2012 Bud Forecast'!$K$11</f>
        <v>192000000</v>
      </c>
    </row>
    <row r="37" spans="1:33" x14ac:dyDescent="0.35">
      <c r="A37" s="211">
        <v>40969</v>
      </c>
      <c r="B37" s="205">
        <f>'[43]Capacity Estimates'!$D$24</f>
        <v>4.1647117210007263</v>
      </c>
      <c r="C37" s="205"/>
      <c r="D37" s="205">
        <f>'[43]Capacity Estimates'!$D$25</f>
        <v>0.65726601893919467</v>
      </c>
      <c r="E37" s="203">
        <v>1</v>
      </c>
      <c r="F37" s="203">
        <f>'[43]Capacity Estimates'!$D$38</f>
        <v>0.8</v>
      </c>
      <c r="G37" s="203"/>
      <c r="H37" s="202">
        <f t="shared" si="4"/>
        <v>1.079</v>
      </c>
      <c r="I37" s="202">
        <f t="shared" si="0"/>
        <v>3.74</v>
      </c>
      <c r="J37" s="202">
        <f t="shared" si="1"/>
        <v>0.71</v>
      </c>
      <c r="L37" s="207">
        <f>'[43]Nov - Apr Capacity MSC by Class'!$B$20</f>
        <v>3993339</v>
      </c>
      <c r="M37" s="207">
        <f>'[43]Nov - Apr Capacity MSC by Class'!$B$21</f>
        <v>801239</v>
      </c>
      <c r="O37" s="208">
        <f t="shared" si="2"/>
        <v>14935088</v>
      </c>
      <c r="P37" s="208">
        <f t="shared" si="2"/>
        <v>2835271</v>
      </c>
      <c r="Q37" s="208">
        <f t="shared" si="3"/>
        <v>2996634</v>
      </c>
      <c r="R37" s="208">
        <f t="shared" si="3"/>
        <v>568880</v>
      </c>
      <c r="T37" s="209">
        <f>'[43]Adj 2012 Bud Forecast'!$L$6</f>
        <v>1035000000</v>
      </c>
      <c r="U37" s="209">
        <f>'[43]Adj 2012 Bud Forecast'!$L$11</f>
        <v>186000000</v>
      </c>
    </row>
    <row r="38" spans="1:33" x14ac:dyDescent="0.35">
      <c r="A38" s="211">
        <v>41000</v>
      </c>
      <c r="B38" s="205">
        <f>'[43]Capacity Estimates'!$D$24</f>
        <v>4.1647117210007263</v>
      </c>
      <c r="C38" s="205"/>
      <c r="D38" s="205">
        <f>'[43]Capacity Estimates'!$D$25</f>
        <v>0.65726601893919467</v>
      </c>
      <c r="E38" s="203">
        <v>1</v>
      </c>
      <c r="F38" s="203">
        <f>'[43]Capacity Estimates'!$D$38</f>
        <v>0.8</v>
      </c>
      <c r="G38" s="203"/>
      <c r="H38" s="202">
        <f t="shared" si="4"/>
        <v>1.079</v>
      </c>
      <c r="I38" s="202">
        <f t="shared" si="0"/>
        <v>3.74</v>
      </c>
      <c r="J38" s="202">
        <f t="shared" si="1"/>
        <v>0.71</v>
      </c>
      <c r="L38" s="207">
        <f>'[43]Nov - Apr Capacity MSC by Class'!$B$20</f>
        <v>3993339</v>
      </c>
      <c r="M38" s="207">
        <f>'[43]Nov - Apr Capacity MSC by Class'!$B$21</f>
        <v>801239</v>
      </c>
      <c r="O38" s="208">
        <f t="shared" si="2"/>
        <v>14935088</v>
      </c>
      <c r="P38" s="208">
        <f t="shared" si="2"/>
        <v>2835271</v>
      </c>
      <c r="Q38" s="208">
        <f t="shared" si="3"/>
        <v>2996634</v>
      </c>
      <c r="R38" s="208">
        <f t="shared" si="3"/>
        <v>568880</v>
      </c>
      <c r="T38" s="209">
        <f>'[43]Adj 2012 Bud Forecast'!$M$6</f>
        <v>933000000</v>
      </c>
      <c r="U38" s="209">
        <f>'[43]Adj 2012 Bud Forecast'!$M$11</f>
        <v>169000000</v>
      </c>
    </row>
    <row r="39" spans="1:33" x14ac:dyDescent="0.35">
      <c r="A39" s="204">
        <v>41030</v>
      </c>
      <c r="B39" s="205">
        <f>'[44]Capacity Estimates'!$E$25</f>
        <v>15.18017022234269</v>
      </c>
      <c r="C39" s="205"/>
      <c r="D39" s="205">
        <f>'[44]Capacity Estimates'!$E$26</f>
        <v>3.4628085477342787</v>
      </c>
      <c r="E39" s="203">
        <v>1</v>
      </c>
      <c r="F39" s="203">
        <f>'[44]Capacity Estimates'!$E$39</f>
        <v>0.8</v>
      </c>
      <c r="G39" s="203"/>
      <c r="H39" s="202">
        <f t="shared" si="4"/>
        <v>1.079</v>
      </c>
      <c r="I39" s="202">
        <f t="shared" si="0"/>
        <v>13.85</v>
      </c>
      <c r="J39" s="202">
        <f t="shared" si="1"/>
        <v>3.74</v>
      </c>
      <c r="L39" s="207">
        <f>'[44]May - Oct Capacity MSC by Class'!$B$20</f>
        <v>3959785</v>
      </c>
      <c r="M39" s="207">
        <f>'[44]May - Oct Capacity MSC by Class'!$B$21</f>
        <v>945692</v>
      </c>
      <c r="O39" s="208">
        <f t="shared" si="2"/>
        <v>54843022</v>
      </c>
      <c r="P39" s="208">
        <f t="shared" si="2"/>
        <v>14809596</v>
      </c>
      <c r="Q39" s="208">
        <f t="shared" si="3"/>
        <v>13097834</v>
      </c>
      <c r="R39" s="208">
        <f t="shared" si="3"/>
        <v>3536888</v>
      </c>
      <c r="T39" s="209">
        <f>'[44]Adj Sales Forecast'!$B$6</f>
        <v>904368135</v>
      </c>
      <c r="U39" s="209">
        <f>'[44]Adj Sales Forecast'!$B$11</f>
        <v>161000000</v>
      </c>
    </row>
    <row r="40" spans="1:33" x14ac:dyDescent="0.35">
      <c r="A40" s="211">
        <v>41061</v>
      </c>
      <c r="B40" s="205">
        <f>'[44]Capacity Estimates'!$E$25</f>
        <v>15.18017022234269</v>
      </c>
      <c r="C40" s="205"/>
      <c r="D40" s="205">
        <f>'[44]Capacity Estimates'!$E$26</f>
        <v>3.4628085477342787</v>
      </c>
      <c r="E40" s="203">
        <v>1</v>
      </c>
      <c r="F40" s="203">
        <f>'[44]Capacity Estimates'!$E$39</f>
        <v>0.8</v>
      </c>
      <c r="G40" s="203"/>
      <c r="H40" s="202">
        <f t="shared" si="4"/>
        <v>1.079</v>
      </c>
      <c r="I40" s="202">
        <f t="shared" si="0"/>
        <v>13.85</v>
      </c>
      <c r="J40" s="202">
        <f t="shared" si="1"/>
        <v>3.74</v>
      </c>
      <c r="L40" s="207">
        <f>'[44]May - Oct Capacity MSC by Class'!$B$20</f>
        <v>3959785</v>
      </c>
      <c r="M40" s="207">
        <f>'[44]May - Oct Capacity MSC by Class'!$B$21</f>
        <v>945692</v>
      </c>
      <c r="O40" s="208">
        <f t="shared" si="2"/>
        <v>54843022</v>
      </c>
      <c r="P40" s="208">
        <f t="shared" si="2"/>
        <v>14809596</v>
      </c>
      <c r="Q40" s="208">
        <f t="shared" si="3"/>
        <v>13097834</v>
      </c>
      <c r="R40" s="208">
        <f t="shared" si="3"/>
        <v>3536888</v>
      </c>
      <c r="T40" s="209">
        <f>'[44]Adj Sales Forecast'!$C$6</f>
        <v>1167007099</v>
      </c>
      <c r="U40" s="209">
        <f>'[44]Adj Sales Forecast'!$C$11</f>
        <v>173000000</v>
      </c>
      <c r="W40" s="208"/>
      <c r="Z40" s="209">
        <f>$W$3*T40</f>
        <v>146856654.15522635</v>
      </c>
      <c r="AA40" s="209">
        <f>$X$3*U40</f>
        <v>36330000</v>
      </c>
      <c r="AC40" s="212">
        <f>ROUND(SUM(O33:O44)/SUM(Z40:Z43),5)</f>
        <v>0.58023999999999998</v>
      </c>
      <c r="AD40" s="212">
        <f>ROUND(SUM(P33:P44)/SUM(Z40:Z43),5)</f>
        <v>0.14671999999999999</v>
      </c>
      <c r="AE40" s="213">
        <f>ROUND(SUM(Q35:Q46)/SUM(AA40:AA43),4)</f>
        <v>0.63790000000000002</v>
      </c>
      <c r="AF40" s="213">
        <f>ROUND(SUM(R35:R46)/SUM(AA40:AA43),4)</f>
        <v>0.18240000000000001</v>
      </c>
      <c r="AG40" s="214"/>
    </row>
    <row r="41" spans="1:33" x14ac:dyDescent="0.35">
      <c r="A41" s="211">
        <v>41091</v>
      </c>
      <c r="B41" s="205">
        <f>'[44]Capacity Estimates'!$E$25</f>
        <v>15.18017022234269</v>
      </c>
      <c r="C41" s="205"/>
      <c r="D41" s="205">
        <f>'[44]Capacity Estimates'!$E$26</f>
        <v>3.4628085477342787</v>
      </c>
      <c r="E41" s="203">
        <v>1</v>
      </c>
      <c r="F41" s="203">
        <f>'[44]Capacity Estimates'!$E$39</f>
        <v>0.8</v>
      </c>
      <c r="G41" s="203"/>
      <c r="H41" s="202">
        <f t="shared" si="4"/>
        <v>1.079</v>
      </c>
      <c r="I41" s="202">
        <f t="shared" si="0"/>
        <v>13.85</v>
      </c>
      <c r="J41" s="202">
        <f t="shared" si="1"/>
        <v>3.74</v>
      </c>
      <c r="L41" s="207">
        <f>'[44]May - Oct Capacity MSC by Class'!$B$20</f>
        <v>3959785</v>
      </c>
      <c r="M41" s="207">
        <f>'[44]May - Oct Capacity MSC by Class'!$B$21</f>
        <v>945692</v>
      </c>
      <c r="O41" s="208">
        <f t="shared" si="2"/>
        <v>54843022</v>
      </c>
      <c r="P41" s="208">
        <f t="shared" si="2"/>
        <v>14809596</v>
      </c>
      <c r="Q41" s="208">
        <f t="shared" si="3"/>
        <v>13097834</v>
      </c>
      <c r="R41" s="208">
        <f t="shared" si="3"/>
        <v>3536888</v>
      </c>
      <c r="T41" s="209">
        <f>'[44]Adj Sales Forecast'!$D$6</f>
        <v>1503366200</v>
      </c>
      <c r="U41" s="209">
        <f>'[44]Adj Sales Forecast'!$D$11</f>
        <v>193000000</v>
      </c>
      <c r="Z41" s="209">
        <f>$W$3*T41</f>
        <v>189184222.00793898</v>
      </c>
      <c r="AA41" s="209">
        <f>$X$3*U41</f>
        <v>40530000</v>
      </c>
      <c r="AC41" s="212">
        <f>$AC$40</f>
        <v>0.58023999999999998</v>
      </c>
      <c r="AD41" s="212">
        <f>$AD$40</f>
        <v>0.14671999999999999</v>
      </c>
      <c r="AE41" s="213">
        <f>$AE$40</f>
        <v>0.63790000000000002</v>
      </c>
      <c r="AF41" s="213">
        <f>$AF$40</f>
        <v>0.18240000000000001</v>
      </c>
      <c r="AG41" s="214"/>
    </row>
    <row r="42" spans="1:33" x14ac:dyDescent="0.35">
      <c r="A42" s="211">
        <v>41122</v>
      </c>
      <c r="B42" s="205">
        <f>'[44]Capacity Estimates'!$E$25</f>
        <v>15.18017022234269</v>
      </c>
      <c r="C42" s="205"/>
      <c r="D42" s="205">
        <f>'[44]Capacity Estimates'!$E$26</f>
        <v>3.4628085477342787</v>
      </c>
      <c r="E42" s="203">
        <v>1</v>
      </c>
      <c r="F42" s="203">
        <f>'[44]Capacity Estimates'!$E$39</f>
        <v>0.8</v>
      </c>
      <c r="G42" s="203"/>
      <c r="H42" s="202">
        <f t="shared" si="4"/>
        <v>1.079</v>
      </c>
      <c r="I42" s="202">
        <f t="shared" si="0"/>
        <v>13.85</v>
      </c>
      <c r="J42" s="202">
        <f t="shared" si="1"/>
        <v>3.74</v>
      </c>
      <c r="L42" s="207">
        <f>'[44]May - Oct Capacity MSC by Class'!$B$20</f>
        <v>3959785</v>
      </c>
      <c r="M42" s="207">
        <f>'[44]May - Oct Capacity MSC by Class'!$B$21</f>
        <v>945692</v>
      </c>
      <c r="O42" s="208">
        <f t="shared" si="2"/>
        <v>54843022</v>
      </c>
      <c r="P42" s="208">
        <f t="shared" si="2"/>
        <v>14809596</v>
      </c>
      <c r="Q42" s="208">
        <f t="shared" si="3"/>
        <v>13097834</v>
      </c>
      <c r="R42" s="208">
        <f t="shared" si="3"/>
        <v>3536888</v>
      </c>
      <c r="T42" s="209">
        <f>'[44]Adj Sales Forecast'!$E$6</f>
        <v>1608955592</v>
      </c>
      <c r="U42" s="209">
        <f>'[44]Adj Sales Forecast'!$E$11</f>
        <v>199000000</v>
      </c>
      <c r="Z42" s="209">
        <f>$W$3*T42</f>
        <v>202471634.6009661</v>
      </c>
      <c r="AA42" s="209">
        <f>$X$3*U42</f>
        <v>41790000</v>
      </c>
      <c r="AC42" s="212">
        <f>$AC$40</f>
        <v>0.58023999999999998</v>
      </c>
      <c r="AD42" s="212">
        <f>$AD$40</f>
        <v>0.14671999999999999</v>
      </c>
      <c r="AE42" s="213">
        <f>$AE$40</f>
        <v>0.63790000000000002</v>
      </c>
      <c r="AF42" s="213">
        <f>$AF$40</f>
        <v>0.18240000000000001</v>
      </c>
      <c r="AG42" s="214"/>
    </row>
    <row r="43" spans="1:33" x14ac:dyDescent="0.35">
      <c r="A43" s="211">
        <v>41153</v>
      </c>
      <c r="B43" s="205">
        <f>'[44]Capacity Estimates'!$E$25</f>
        <v>15.18017022234269</v>
      </c>
      <c r="C43" s="205"/>
      <c r="D43" s="205">
        <f>'[44]Capacity Estimates'!$E$26</f>
        <v>3.4628085477342787</v>
      </c>
      <c r="E43" s="203">
        <v>1</v>
      </c>
      <c r="F43" s="203">
        <f>'[44]Capacity Estimates'!$E$39</f>
        <v>0.8</v>
      </c>
      <c r="G43" s="203"/>
      <c r="H43" s="202">
        <f t="shared" si="4"/>
        <v>1.079</v>
      </c>
      <c r="I43" s="202">
        <f t="shared" si="0"/>
        <v>13.85</v>
      </c>
      <c r="J43" s="202">
        <f t="shared" si="1"/>
        <v>3.74</v>
      </c>
      <c r="L43" s="207">
        <f>'[44]May - Oct Capacity MSC by Class'!$B$20</f>
        <v>3959785</v>
      </c>
      <c r="M43" s="207">
        <f>'[44]May - Oct Capacity MSC by Class'!$B$21</f>
        <v>945692</v>
      </c>
      <c r="O43" s="208">
        <f t="shared" si="2"/>
        <v>54843022</v>
      </c>
      <c r="P43" s="208">
        <f t="shared" si="2"/>
        <v>14809596</v>
      </c>
      <c r="Q43" s="208">
        <f t="shared" si="3"/>
        <v>13097834</v>
      </c>
      <c r="R43" s="208">
        <f t="shared" si="3"/>
        <v>3536888</v>
      </c>
      <c r="T43" s="209">
        <f>'[44]Adj Sales Forecast'!$F$6</f>
        <v>1454520561</v>
      </c>
      <c r="U43" s="209">
        <f>'[44]Adj Sales Forecast'!$F$11</f>
        <v>195000000</v>
      </c>
      <c r="Z43" s="209">
        <f>$W$3*T43</f>
        <v>183037466.67135125</v>
      </c>
      <c r="AA43" s="209">
        <f>$X$3*U43</f>
        <v>40950000</v>
      </c>
      <c r="AC43" s="212">
        <f>$AC$40</f>
        <v>0.58023999999999998</v>
      </c>
      <c r="AD43" s="212">
        <f>$AD$40</f>
        <v>0.14671999999999999</v>
      </c>
      <c r="AE43" s="213">
        <f>$AE$40</f>
        <v>0.63790000000000002</v>
      </c>
      <c r="AF43" s="213">
        <f>$AF$40</f>
        <v>0.18240000000000001</v>
      </c>
      <c r="AG43" s="214"/>
    </row>
    <row r="44" spans="1:33" x14ac:dyDescent="0.35">
      <c r="A44" s="211">
        <v>41183</v>
      </c>
      <c r="B44" s="205">
        <f>'[44]Capacity Estimates'!$E$25</f>
        <v>15.18017022234269</v>
      </c>
      <c r="C44" s="205"/>
      <c r="D44" s="205">
        <f>'[44]Capacity Estimates'!$E$26</f>
        <v>3.4628085477342787</v>
      </c>
      <c r="E44" s="203">
        <v>1</v>
      </c>
      <c r="F44" s="203">
        <f>'[44]Capacity Estimates'!$E$39</f>
        <v>0.8</v>
      </c>
      <c r="G44" s="203"/>
      <c r="H44" s="202">
        <f t="shared" si="4"/>
        <v>1.079</v>
      </c>
      <c r="I44" s="202">
        <f t="shared" si="0"/>
        <v>13.85</v>
      </c>
      <c r="J44" s="202">
        <f t="shared" si="1"/>
        <v>3.74</v>
      </c>
      <c r="L44" s="207">
        <f>'[44]May - Oct Capacity MSC by Class'!$B$20</f>
        <v>3959785</v>
      </c>
      <c r="M44" s="207">
        <f>'[44]May - Oct Capacity MSC by Class'!$B$21</f>
        <v>945692</v>
      </c>
      <c r="O44" s="208">
        <f t="shared" si="2"/>
        <v>54843022</v>
      </c>
      <c r="P44" s="208">
        <f t="shared" si="2"/>
        <v>14809596</v>
      </c>
      <c r="Q44" s="208">
        <f t="shared" si="3"/>
        <v>13097834</v>
      </c>
      <c r="R44" s="208">
        <f t="shared" si="3"/>
        <v>3536888</v>
      </c>
      <c r="T44" s="209">
        <f>'[44]Adj Sales Forecast'!$G$6</f>
        <v>1093338823</v>
      </c>
      <c r="U44" s="209">
        <f>'[44]Adj Sales Forecast'!$G$11</f>
        <v>163000000</v>
      </c>
      <c r="AE44" s="213"/>
      <c r="AF44" s="213"/>
      <c r="AG44" s="214"/>
    </row>
    <row r="45" spans="1:33" x14ac:dyDescent="0.35">
      <c r="A45" s="204">
        <v>41214</v>
      </c>
      <c r="B45" s="205">
        <f>'[45]Capacity Estimates'!$F$25</f>
        <v>6.0739138893316822</v>
      </c>
      <c r="C45" s="205"/>
      <c r="D45" s="205">
        <f>'[45]Capacity Estimates'!$F$26</f>
        <v>2.7484833859520541</v>
      </c>
      <c r="E45" s="203">
        <v>1</v>
      </c>
      <c r="F45" s="203">
        <f>'[45]Capacity Estimates'!$F$39</f>
        <v>0.83</v>
      </c>
      <c r="G45" s="203"/>
      <c r="H45" s="202">
        <f t="shared" si="4"/>
        <v>1.079</v>
      </c>
      <c r="I45" s="202">
        <f t="shared" si="0"/>
        <v>5.94</v>
      </c>
      <c r="J45" s="202">
        <f t="shared" si="1"/>
        <v>2.97</v>
      </c>
      <c r="L45" s="207">
        <f>'[45]Nov - Apr Capacity MSC by Class'!$B$20</f>
        <v>3959785</v>
      </c>
      <c r="M45" s="207">
        <f>'[45]Nov - Apr Capacity MSC by Class'!$B$21</f>
        <v>945692</v>
      </c>
      <c r="O45" s="208">
        <f t="shared" si="2"/>
        <v>23521123</v>
      </c>
      <c r="P45" s="208">
        <f t="shared" si="2"/>
        <v>11760561</v>
      </c>
      <c r="Q45" s="208">
        <f t="shared" si="3"/>
        <v>5617410</v>
      </c>
      <c r="R45" s="208">
        <f t="shared" si="3"/>
        <v>2808705</v>
      </c>
      <c r="T45" s="209">
        <f>'[45]Adj Sales Forecast'!$H$6</f>
        <v>995094349</v>
      </c>
      <c r="U45" s="209">
        <f>'[45]Adj Sales Forecast'!$H$11</f>
        <v>161000000</v>
      </c>
    </row>
    <row r="46" spans="1:33" x14ac:dyDescent="0.35">
      <c r="A46" s="211">
        <v>41244</v>
      </c>
      <c r="B46" s="205">
        <f>'[45]Capacity Estimates'!$F$25</f>
        <v>6.0739138893316822</v>
      </c>
      <c r="C46" s="205"/>
      <c r="D46" s="205">
        <f>'[45]Capacity Estimates'!$F$26</f>
        <v>2.7484833859520541</v>
      </c>
      <c r="E46" s="203">
        <v>1</v>
      </c>
      <c r="F46" s="203">
        <f>'[45]Capacity Estimates'!$F$39</f>
        <v>0.83</v>
      </c>
      <c r="G46" s="203"/>
      <c r="H46" s="202">
        <f>$H$3</f>
        <v>1.079</v>
      </c>
      <c r="I46" s="202">
        <f t="shared" si="0"/>
        <v>5.94</v>
      </c>
      <c r="J46" s="202">
        <f t="shared" si="1"/>
        <v>2.97</v>
      </c>
      <c r="L46" s="207">
        <f>'[45]Nov - Apr Capacity MSC by Class'!$B$20</f>
        <v>3959785</v>
      </c>
      <c r="M46" s="207">
        <f>'[45]Nov - Apr Capacity MSC by Class'!$B$21</f>
        <v>945692</v>
      </c>
      <c r="O46" s="208">
        <f t="shared" si="2"/>
        <v>23521123</v>
      </c>
      <c r="P46" s="208">
        <f t="shared" si="2"/>
        <v>11760561</v>
      </c>
      <c r="Q46" s="208">
        <f t="shared" si="3"/>
        <v>5617410</v>
      </c>
      <c r="R46" s="208">
        <f t="shared" si="3"/>
        <v>2808705</v>
      </c>
      <c r="T46" s="209">
        <f>'[45]Adj Sales Forecast'!$I$6</f>
        <v>1109774824</v>
      </c>
      <c r="U46" s="209">
        <f>'[45]Adj Sales Forecast'!$I$11</f>
        <v>183000000</v>
      </c>
    </row>
    <row r="47" spans="1:33" x14ac:dyDescent="0.35">
      <c r="A47" s="211">
        <v>41275</v>
      </c>
      <c r="B47" s="205">
        <f>'[45]Capacity Estimates'!$F$25</f>
        <v>6.0739138893316822</v>
      </c>
      <c r="C47" s="205"/>
      <c r="D47" s="205">
        <f>'[45]Capacity Estimates'!$F$26</f>
        <v>2.7484833859520541</v>
      </c>
      <c r="E47" s="203">
        <v>1</v>
      </c>
      <c r="F47" s="203">
        <f>'[45]Capacity Estimates'!$F$39</f>
        <v>0.83</v>
      </c>
      <c r="G47" s="203"/>
      <c r="H47" s="202">
        <f>$H$3</f>
        <v>1.079</v>
      </c>
      <c r="I47" s="202">
        <f t="shared" si="0"/>
        <v>5.94</v>
      </c>
      <c r="J47" s="202">
        <f t="shared" si="1"/>
        <v>2.97</v>
      </c>
      <c r="L47" s="207">
        <f>'[45]Nov - Apr Capacity MSC by Class'!$B$20</f>
        <v>3959785</v>
      </c>
      <c r="M47" s="207">
        <f>'[45]Nov - Apr Capacity MSC by Class'!$B$21</f>
        <v>945692</v>
      </c>
      <c r="O47" s="208">
        <f t="shared" ref="O47:P57" si="5">ROUND($L47*I47,0)</f>
        <v>23521123</v>
      </c>
      <c r="P47" s="208">
        <f t="shared" si="5"/>
        <v>11760561</v>
      </c>
      <c r="Q47" s="208">
        <f t="shared" ref="Q47:R50" si="6">ROUND($M47*I47,0)</f>
        <v>5617410</v>
      </c>
      <c r="R47" s="208">
        <f t="shared" si="6"/>
        <v>2808705</v>
      </c>
      <c r="T47" s="209">
        <f>'[45]Adj Sales Forecast'!$J$6</f>
        <v>1145441925</v>
      </c>
      <c r="U47" s="209">
        <f>'[45]Adj Sales Forecast'!$J$11</f>
        <v>186000000</v>
      </c>
    </row>
    <row r="48" spans="1:33" x14ac:dyDescent="0.35">
      <c r="A48" s="211">
        <v>41306</v>
      </c>
      <c r="B48" s="205">
        <f>'[45]Capacity Estimates'!$F$25</f>
        <v>6.0739138893316822</v>
      </c>
      <c r="C48" s="205"/>
      <c r="D48" s="205">
        <f>'[45]Capacity Estimates'!$F$26</f>
        <v>2.7484833859520541</v>
      </c>
      <c r="E48" s="203">
        <v>1</v>
      </c>
      <c r="F48" s="203">
        <f>'[45]Capacity Estimates'!$F$39</f>
        <v>0.83</v>
      </c>
      <c r="G48" s="203"/>
      <c r="H48" s="202">
        <f>$H$3</f>
        <v>1.079</v>
      </c>
      <c r="I48" s="202">
        <f t="shared" si="0"/>
        <v>5.94</v>
      </c>
      <c r="J48" s="202">
        <f t="shared" si="1"/>
        <v>2.97</v>
      </c>
      <c r="L48" s="207">
        <f>'[45]Nov - Apr Capacity MSC by Class'!$B$20</f>
        <v>3959785</v>
      </c>
      <c r="M48" s="207">
        <f>'[45]Nov - Apr Capacity MSC by Class'!$B$21</f>
        <v>945692</v>
      </c>
      <c r="O48" s="208">
        <f t="shared" si="5"/>
        <v>23521123</v>
      </c>
      <c r="P48" s="208">
        <f t="shared" si="5"/>
        <v>11760561</v>
      </c>
      <c r="Q48" s="208">
        <f t="shared" si="6"/>
        <v>5617410</v>
      </c>
      <c r="R48" s="208">
        <f t="shared" si="6"/>
        <v>2808705</v>
      </c>
      <c r="T48" s="209">
        <f>'[45]Adj Sales Forecast'!$K$6</f>
        <v>1099508793</v>
      </c>
      <c r="U48" s="209">
        <f>'[45]Adj Sales Forecast'!$K$11</f>
        <v>191000000</v>
      </c>
    </row>
    <row r="49" spans="1:30" x14ac:dyDescent="0.35">
      <c r="A49" s="211">
        <v>41334</v>
      </c>
      <c r="B49" s="205">
        <f>'[45]Capacity Estimates'!$F$25</f>
        <v>6.0739138893316822</v>
      </c>
      <c r="C49" s="205"/>
      <c r="D49" s="205">
        <f>'[45]Capacity Estimates'!$F$26</f>
        <v>2.7484833859520541</v>
      </c>
      <c r="E49" s="203">
        <v>1</v>
      </c>
      <c r="F49" s="203">
        <f>'[45]Capacity Estimates'!$F$39</f>
        <v>0.83</v>
      </c>
      <c r="G49" s="203"/>
      <c r="H49" s="202">
        <f>$H$3</f>
        <v>1.079</v>
      </c>
      <c r="I49" s="202">
        <f t="shared" si="0"/>
        <v>5.94</v>
      </c>
      <c r="J49" s="202">
        <f t="shared" si="1"/>
        <v>2.97</v>
      </c>
      <c r="L49" s="207">
        <f>'[45]Nov - Apr Capacity MSC by Class'!$B$20</f>
        <v>3959785</v>
      </c>
      <c r="M49" s="207">
        <f>'[45]Nov - Apr Capacity MSC by Class'!$B$21</f>
        <v>945692</v>
      </c>
      <c r="O49" s="208">
        <f t="shared" si="5"/>
        <v>23521123</v>
      </c>
      <c r="P49" s="208">
        <f t="shared" si="5"/>
        <v>11760561</v>
      </c>
      <c r="Q49" s="208">
        <f t="shared" si="6"/>
        <v>5617410</v>
      </c>
      <c r="R49" s="208">
        <f t="shared" si="6"/>
        <v>2808705</v>
      </c>
      <c r="T49" s="209">
        <f>'[45]Adj Sales Forecast'!$L$6</f>
        <v>1025506323</v>
      </c>
      <c r="U49" s="209">
        <f>'[45]Adj Sales Forecast'!$L$11</f>
        <v>184000000</v>
      </c>
    </row>
    <row r="50" spans="1:30" s="218" customFormat="1" ht="15" thickBot="1" x14ac:dyDescent="0.4">
      <c r="A50" s="215">
        <v>41365</v>
      </c>
      <c r="B50" s="216">
        <f>'[45]Capacity Estimates'!$F$25</f>
        <v>6.0739138893316822</v>
      </c>
      <c r="C50" s="216"/>
      <c r="D50" s="216">
        <f>'[45]Capacity Estimates'!$F$26</f>
        <v>2.7484833859520541</v>
      </c>
      <c r="E50" s="217">
        <v>1</v>
      </c>
      <c r="F50" s="217">
        <f>'[45]Capacity Estimates'!$F$39</f>
        <v>0.83</v>
      </c>
      <c r="G50" s="217"/>
      <c r="H50" s="218">
        <f>$H$3</f>
        <v>1.079</v>
      </c>
      <c r="I50" s="218">
        <f t="shared" si="0"/>
        <v>5.94</v>
      </c>
      <c r="J50" s="218">
        <f t="shared" si="1"/>
        <v>2.97</v>
      </c>
      <c r="L50" s="219">
        <f>'[45]Nov - Apr Capacity MSC by Class'!$B$20</f>
        <v>3959785</v>
      </c>
      <c r="M50" s="219">
        <f>'[45]Nov - Apr Capacity MSC by Class'!$B$21</f>
        <v>945692</v>
      </c>
      <c r="O50" s="220">
        <f t="shared" si="5"/>
        <v>23521123</v>
      </c>
      <c r="P50" s="220">
        <f t="shared" si="5"/>
        <v>11760561</v>
      </c>
      <c r="Q50" s="220">
        <f t="shared" si="6"/>
        <v>5617410</v>
      </c>
      <c r="R50" s="220">
        <f t="shared" si="6"/>
        <v>2808705</v>
      </c>
      <c r="T50" s="221">
        <f>'[45]Adj Sales Forecast'!$M$6</f>
        <v>928245048</v>
      </c>
      <c r="U50" s="221">
        <f>'[45]Adj Sales Forecast'!$M$11</f>
        <v>168000000</v>
      </c>
    </row>
    <row r="51" spans="1:30" ht="15" thickTop="1" x14ac:dyDescent="0.35">
      <c r="A51" s="204">
        <v>41395</v>
      </c>
      <c r="B51" s="205">
        <f>'[46]Capacity Estimates'!$G$25</f>
        <v>16.456162610000003</v>
      </c>
      <c r="C51" s="205"/>
      <c r="D51" s="205">
        <f>'[46]Capacity Estimates'!$G$26</f>
        <v>5.5194234389999997</v>
      </c>
      <c r="E51" s="222">
        <v>1</v>
      </c>
      <c r="F51" s="223">
        <f>'[46]Capacity Estimates'!$G$39</f>
        <v>0.86</v>
      </c>
      <c r="G51" s="223"/>
      <c r="H51" s="202">
        <f>'[46]Capacity Estimates'!$G$44</f>
        <v>1.079</v>
      </c>
      <c r="I51" s="202">
        <f t="shared" si="0"/>
        <v>16.100000000000001</v>
      </c>
      <c r="J51" s="202">
        <f t="shared" si="1"/>
        <v>5.96</v>
      </c>
      <c r="L51" s="207">
        <f>'[46]May - Oct Capacity MSC by Class'!$B$20</f>
        <v>3797781</v>
      </c>
      <c r="O51" s="208">
        <f t="shared" si="5"/>
        <v>61144274</v>
      </c>
      <c r="P51" s="208">
        <f t="shared" si="5"/>
        <v>22634775</v>
      </c>
      <c r="T51" s="209">
        <f>'[46]Adj Sales Forecast'!$B$6</f>
        <v>923000000</v>
      </c>
    </row>
    <row r="52" spans="1:30" x14ac:dyDescent="0.35">
      <c r="A52" s="211">
        <v>41426</v>
      </c>
      <c r="B52" s="205">
        <f>'[46]Capacity Estimates'!$G$25</f>
        <v>16.456162610000003</v>
      </c>
      <c r="C52" s="205"/>
      <c r="D52" s="205">
        <f>'[46]Capacity Estimates'!$G$26</f>
        <v>5.5194234389999997</v>
      </c>
      <c r="E52" s="222">
        <v>1</v>
      </c>
      <c r="F52" s="223">
        <f>'[46]Capacity Estimates'!$G$39</f>
        <v>0.86</v>
      </c>
      <c r="G52" s="223"/>
      <c r="H52" s="202">
        <f>'[46]Capacity Estimates'!$G$44</f>
        <v>1.079</v>
      </c>
      <c r="I52" s="202">
        <f t="shared" si="0"/>
        <v>16.100000000000001</v>
      </c>
      <c r="J52" s="202">
        <f t="shared" si="1"/>
        <v>5.96</v>
      </c>
      <c r="L52" s="207">
        <f>'[46]May - Oct Capacity MSC by Class'!$B$20</f>
        <v>3797781</v>
      </c>
      <c r="O52" s="208">
        <f t="shared" si="5"/>
        <v>61144274</v>
      </c>
      <c r="P52" s="208">
        <f t="shared" si="5"/>
        <v>22634775</v>
      </c>
      <c r="T52" s="209">
        <f>'[46]Adj Sales Forecast'!$C$6</f>
        <v>1175000000</v>
      </c>
      <c r="Z52" s="209">
        <f>$W$3*T52</f>
        <v>147862484.11021101</v>
      </c>
      <c r="AC52" s="212">
        <f>ROUND(SUM(O45:O56)/SUM(Z52:Z55),5)</f>
        <v>0.69432000000000005</v>
      </c>
      <c r="AD52" s="212">
        <f>ROUND(SUM(P45:P56)/SUM(Z52:Z55),5)</f>
        <v>0.28206999999999999</v>
      </c>
    </row>
    <row r="53" spans="1:30" x14ac:dyDescent="0.35">
      <c r="A53" s="211">
        <v>41456</v>
      </c>
      <c r="B53" s="205">
        <f>'[46]Capacity Estimates'!$G$25</f>
        <v>16.456162610000003</v>
      </c>
      <c r="C53" s="205"/>
      <c r="D53" s="205">
        <f>'[46]Capacity Estimates'!$G$26</f>
        <v>5.5194234389999997</v>
      </c>
      <c r="E53" s="222">
        <v>1</v>
      </c>
      <c r="F53" s="223">
        <f>'[46]Capacity Estimates'!$G$39</f>
        <v>0.86</v>
      </c>
      <c r="G53" s="223"/>
      <c r="H53" s="202">
        <f>'[46]Capacity Estimates'!$G$44</f>
        <v>1.079</v>
      </c>
      <c r="I53" s="202">
        <f t="shared" si="0"/>
        <v>16.100000000000001</v>
      </c>
      <c r="J53" s="202">
        <f t="shared" si="1"/>
        <v>5.96</v>
      </c>
      <c r="L53" s="207">
        <f>'[46]May - Oct Capacity MSC by Class'!$B$20</f>
        <v>3797781</v>
      </c>
      <c r="O53" s="208">
        <f t="shared" si="5"/>
        <v>61144274</v>
      </c>
      <c r="P53" s="208">
        <f t="shared" si="5"/>
        <v>22634775</v>
      </c>
      <c r="T53" s="209">
        <f>'[46]Adj Sales Forecast'!$D$6</f>
        <v>1540000000</v>
      </c>
      <c r="Z53" s="209">
        <f>$W$3*T53</f>
        <v>193794234.49338296</v>
      </c>
      <c r="AC53" s="212">
        <f>$AC$52</f>
        <v>0.69432000000000005</v>
      </c>
      <c r="AD53" s="212">
        <f>$AD$52</f>
        <v>0.28206999999999999</v>
      </c>
    </row>
    <row r="54" spans="1:30" x14ac:dyDescent="0.35">
      <c r="A54" s="211">
        <v>41487</v>
      </c>
      <c r="B54" s="205">
        <f>'[46]Capacity Estimates'!$G$25</f>
        <v>16.456162610000003</v>
      </c>
      <c r="C54" s="205"/>
      <c r="D54" s="205">
        <f>'[46]Capacity Estimates'!$G$26</f>
        <v>5.5194234389999997</v>
      </c>
      <c r="E54" s="222">
        <v>1</v>
      </c>
      <c r="F54" s="223">
        <f>'[46]Capacity Estimates'!$G$39</f>
        <v>0.86</v>
      </c>
      <c r="G54" s="223"/>
      <c r="H54" s="202">
        <f>'[46]Capacity Estimates'!$G$44</f>
        <v>1.079</v>
      </c>
      <c r="I54" s="202">
        <f t="shared" si="0"/>
        <v>16.100000000000001</v>
      </c>
      <c r="J54" s="202">
        <f t="shared" si="1"/>
        <v>5.96</v>
      </c>
      <c r="L54" s="207">
        <f>'[46]May - Oct Capacity MSC by Class'!$B$20</f>
        <v>3797781</v>
      </c>
      <c r="O54" s="208">
        <f t="shared" si="5"/>
        <v>61144274</v>
      </c>
      <c r="P54" s="208">
        <f t="shared" si="5"/>
        <v>22634775</v>
      </c>
      <c r="T54" s="543">
        <f>'[46]Adj Sales Forecast'!$E$6</f>
        <v>1626000000</v>
      </c>
      <c r="Z54" s="209">
        <f>$W$3*T54</f>
        <v>204616509.92613032</v>
      </c>
      <c r="AC54" s="212">
        <f>$AC$52</f>
        <v>0.69432000000000005</v>
      </c>
      <c r="AD54" s="212">
        <f>$AD$52</f>
        <v>0.28206999999999999</v>
      </c>
    </row>
    <row r="55" spans="1:30" x14ac:dyDescent="0.35">
      <c r="A55" s="211">
        <v>41518</v>
      </c>
      <c r="B55" s="205">
        <f>'[46]Capacity Estimates'!$G$25</f>
        <v>16.456162610000003</v>
      </c>
      <c r="C55" s="205"/>
      <c r="D55" s="205">
        <f>'[46]Capacity Estimates'!$G$26</f>
        <v>5.5194234389999997</v>
      </c>
      <c r="E55" s="222">
        <v>1</v>
      </c>
      <c r="F55" s="223">
        <f>'[46]Capacity Estimates'!$G$39</f>
        <v>0.86</v>
      </c>
      <c r="G55" s="223"/>
      <c r="H55" s="202">
        <f>'[46]Capacity Estimates'!$G$44</f>
        <v>1.079</v>
      </c>
      <c r="I55" s="202">
        <f t="shared" si="0"/>
        <v>16.100000000000001</v>
      </c>
      <c r="J55" s="202">
        <f t="shared" si="1"/>
        <v>5.96</v>
      </c>
      <c r="L55" s="207">
        <f>'[46]May - Oct Capacity MSC by Class'!$B$20</f>
        <v>3797781</v>
      </c>
      <c r="O55" s="208">
        <f t="shared" si="5"/>
        <v>61144274</v>
      </c>
      <c r="P55" s="208">
        <f t="shared" si="5"/>
        <v>22634775</v>
      </c>
      <c r="T55" s="543">
        <f>'[46]Adj Sales Forecast'!$F$6</f>
        <v>1473000000</v>
      </c>
      <c r="Z55" s="209">
        <f>$W$3*T55</f>
        <v>185362926.88880071</v>
      </c>
      <c r="AC55" s="212">
        <f>$AC$52</f>
        <v>0.69432000000000005</v>
      </c>
      <c r="AD55" s="212">
        <f>$AD$52</f>
        <v>0.28206999999999999</v>
      </c>
    </row>
    <row r="56" spans="1:30" x14ac:dyDescent="0.35">
      <c r="A56" s="211">
        <v>41548</v>
      </c>
      <c r="B56" s="205">
        <f>'[46]Capacity Estimates'!$G$25</f>
        <v>16.456162610000003</v>
      </c>
      <c r="C56" s="205"/>
      <c r="D56" s="205">
        <f>'[46]Capacity Estimates'!$G$26</f>
        <v>5.5194234389999997</v>
      </c>
      <c r="E56" s="222">
        <v>1</v>
      </c>
      <c r="F56" s="223">
        <f>'[46]Capacity Estimates'!$G$39</f>
        <v>0.86</v>
      </c>
      <c r="G56" s="223"/>
      <c r="H56" s="202">
        <f>'[46]Capacity Estimates'!$G$44</f>
        <v>1.079</v>
      </c>
      <c r="I56" s="202">
        <f t="shared" si="0"/>
        <v>16.100000000000001</v>
      </c>
      <c r="J56" s="202">
        <f t="shared" si="1"/>
        <v>5.96</v>
      </c>
      <c r="L56" s="207">
        <f>'[46]May - Oct Capacity MSC by Class'!$B$20</f>
        <v>3797781</v>
      </c>
      <c r="O56" s="208">
        <f t="shared" si="5"/>
        <v>61144274</v>
      </c>
      <c r="P56" s="208">
        <f t="shared" si="5"/>
        <v>22634775</v>
      </c>
      <c r="T56" s="543">
        <f>'[46]Adj Sales Forecast'!$G$6</f>
        <v>1096000000</v>
      </c>
    </row>
    <row r="57" spans="1:30" x14ac:dyDescent="0.35">
      <c r="A57" s="204">
        <v>41579</v>
      </c>
      <c r="B57" s="205">
        <f>'[47]Capacity Estimates'!$H$25</f>
        <v>10.755770945919393</v>
      </c>
      <c r="C57" s="205"/>
      <c r="D57" s="205">
        <f>'[47]Capacity Estimates'!$H$26</f>
        <v>5.4349681497596682</v>
      </c>
      <c r="E57" s="222">
        <v>1</v>
      </c>
      <c r="F57" s="223">
        <f>'[47]Capacity Estimates'!$H$39</f>
        <v>0.86</v>
      </c>
      <c r="G57" s="223"/>
      <c r="H57" s="202">
        <f>'[47]Capacity Estimates'!$H$44</f>
        <v>1.079</v>
      </c>
      <c r="I57" s="202">
        <f>ROUND(((B57*F57*6)+(6*D57*(E57-F57)))*H57,2)</f>
        <v>64.81</v>
      </c>
      <c r="J57" s="202">
        <f>ROUND(D57*H57*6,2)</f>
        <v>35.19</v>
      </c>
      <c r="L57" s="207">
        <f>'[47]May - Oct Capacity MSC by Class'!$B$20</f>
        <v>3797781</v>
      </c>
      <c r="O57" s="208">
        <f t="shared" si="5"/>
        <v>246134187</v>
      </c>
      <c r="P57" s="208">
        <f t="shared" si="5"/>
        <v>133643913</v>
      </c>
      <c r="T57" s="543">
        <f>'[47]Adj Sales Forecast'!$H$6</f>
        <v>1006000000</v>
      </c>
    </row>
    <row r="58" spans="1:30" x14ac:dyDescent="0.35">
      <c r="A58" s="211">
        <v>41609</v>
      </c>
      <c r="B58" s="205"/>
      <c r="C58" s="205"/>
      <c r="D58" s="205"/>
      <c r="E58" s="222"/>
      <c r="F58" s="223"/>
      <c r="G58" s="223"/>
      <c r="L58" s="207"/>
      <c r="O58" s="208"/>
      <c r="P58" s="208"/>
      <c r="T58" s="543">
        <f>'[47]Adj Sales Forecast'!$I$6</f>
        <v>1146000000</v>
      </c>
    </row>
    <row r="59" spans="1:30" x14ac:dyDescent="0.35">
      <c r="A59" s="211">
        <v>41640</v>
      </c>
      <c r="B59" s="205"/>
      <c r="C59" s="205"/>
      <c r="D59" s="205"/>
      <c r="E59" s="222"/>
      <c r="F59" s="223"/>
      <c r="G59" s="223"/>
      <c r="L59" s="207"/>
      <c r="O59" s="208"/>
      <c r="P59" s="208"/>
      <c r="T59" s="543">
        <f>'[47]Adj Sales Forecast'!$J$6</f>
        <v>1178000000</v>
      </c>
    </row>
    <row r="60" spans="1:30" x14ac:dyDescent="0.35">
      <c r="A60" s="211">
        <v>41671</v>
      </c>
      <c r="B60" s="205"/>
      <c r="C60" s="205"/>
      <c r="D60" s="205"/>
      <c r="E60" s="222"/>
      <c r="F60" s="223"/>
      <c r="G60" s="223"/>
      <c r="L60" s="207"/>
      <c r="O60" s="208"/>
      <c r="P60" s="208"/>
      <c r="T60" s="543">
        <f>'[47]Adj Sales Forecast'!$K$6</f>
        <v>1135000000</v>
      </c>
    </row>
    <row r="61" spans="1:30" x14ac:dyDescent="0.35">
      <c r="A61" s="211">
        <v>41699</v>
      </c>
      <c r="B61" s="205"/>
      <c r="C61" s="205"/>
      <c r="D61" s="205"/>
      <c r="E61" s="222"/>
      <c r="F61" s="223"/>
      <c r="G61" s="223"/>
      <c r="L61" s="207"/>
      <c r="O61" s="208"/>
      <c r="P61" s="208"/>
      <c r="T61" s="543">
        <f>'[47]Adj Sales Forecast'!$L$6</f>
        <v>1045000000</v>
      </c>
    </row>
    <row r="62" spans="1:30" x14ac:dyDescent="0.35">
      <c r="A62" s="211">
        <v>41730</v>
      </c>
      <c r="B62" s="205"/>
      <c r="C62" s="205"/>
      <c r="D62" s="205"/>
      <c r="E62" s="222"/>
      <c r="F62" s="223"/>
      <c r="G62" s="223"/>
      <c r="L62" s="207"/>
      <c r="O62" s="208"/>
      <c r="P62" s="208"/>
      <c r="T62" s="543">
        <f>'[47]Adj Sales Forecast'!$M$6</f>
        <v>950000000</v>
      </c>
    </row>
    <row r="63" spans="1:30" x14ac:dyDescent="0.35">
      <c r="A63" s="204">
        <v>41760</v>
      </c>
      <c r="B63" s="205">
        <f>'[48]Capacity Estimates'!$I$25</f>
        <v>17.690000000000001</v>
      </c>
      <c r="C63" s="205">
        <f>'[48]Capacity Estimates'!$I$26</f>
        <v>11.87</v>
      </c>
      <c r="D63" s="205">
        <f>'[48]Capacity Estimates'!$I$27</f>
        <v>6.67</v>
      </c>
      <c r="E63" s="223">
        <f>'[48]Capacity Estimates'!$I$15</f>
        <v>1.17</v>
      </c>
      <c r="F63" s="206">
        <f>'[48]Capacity Estimates'!$I$16</f>
        <v>0.85</v>
      </c>
      <c r="G63" s="206">
        <f>'[48]Capacity Estimates'!$I$17</f>
        <v>0.88</v>
      </c>
      <c r="H63" s="202">
        <f>'[48]Capacity Estimates'!$I$46</f>
        <v>1.0629999999999999</v>
      </c>
      <c r="I63" s="205">
        <f>'[48]Capacity Estimates'!$I$48</f>
        <v>110.52</v>
      </c>
      <c r="J63" s="205">
        <f>'[48]Capacity Estimates'!$I$63</f>
        <v>78.959999999999994</v>
      </c>
      <c r="L63" s="224">
        <f>'[48]May - Oct Capacity MSC by Class'!$B$20</f>
        <v>4049455</v>
      </c>
      <c r="O63" s="208">
        <f>ROUND($L63*I63,0)</f>
        <v>447545767</v>
      </c>
      <c r="P63" s="208">
        <f>ROUND($L63*J63,0)</f>
        <v>319744967</v>
      </c>
      <c r="T63" s="543">
        <f>'[48]Adj Sales Forecast'!$B$6</f>
        <v>919000000</v>
      </c>
    </row>
    <row r="64" spans="1:30" x14ac:dyDescent="0.35">
      <c r="A64" s="211">
        <v>41791</v>
      </c>
      <c r="B64" s="205"/>
      <c r="C64" s="205"/>
      <c r="D64" s="205"/>
      <c r="E64" s="223"/>
      <c r="F64" s="223"/>
      <c r="G64" s="223"/>
      <c r="L64" s="224"/>
      <c r="O64" s="208"/>
      <c r="P64" s="208"/>
      <c r="T64" s="543">
        <f>'[48]Adj Sales Forecast'!$C$6</f>
        <v>1183000000</v>
      </c>
      <c r="Z64" s="543">
        <f>$W$3*T64</f>
        <v>148869207.40628055</v>
      </c>
      <c r="AA64" s="544"/>
      <c r="AB64" s="544"/>
      <c r="AC64" s="547">
        <f>ROUND(SUM(O57:O68)/SUM(Z64:Z67),5)</f>
        <v>0.91949999999999998</v>
      </c>
      <c r="AD64" s="547">
        <f>ROUND(SUM(P57:P68)/SUM(Z64:Z67),5)</f>
        <v>0.60097999999999996</v>
      </c>
    </row>
    <row r="65" spans="1:30" x14ac:dyDescent="0.35">
      <c r="A65" s="211">
        <v>41821</v>
      </c>
      <c r="B65" s="205"/>
      <c r="C65" s="205"/>
      <c r="D65" s="205"/>
      <c r="E65" s="223"/>
      <c r="F65" s="223"/>
      <c r="G65" s="223"/>
      <c r="L65" s="224"/>
      <c r="O65" s="208"/>
      <c r="P65" s="208"/>
      <c r="T65" s="543">
        <f>'[48]Adj Sales Forecast'!$D$6</f>
        <v>1599000000</v>
      </c>
      <c r="Z65" s="543">
        <f>$W$3*T65</f>
        <v>201218818.80189568</v>
      </c>
      <c r="AA65" s="544"/>
      <c r="AB65" s="544"/>
      <c r="AC65" s="547">
        <f>$AC$64</f>
        <v>0.91949999999999998</v>
      </c>
      <c r="AD65" s="547">
        <f>$AD$64</f>
        <v>0.60097999999999996</v>
      </c>
    </row>
    <row r="66" spans="1:30" x14ac:dyDescent="0.35">
      <c r="A66" s="211">
        <v>41852</v>
      </c>
      <c r="B66" s="205"/>
      <c r="C66" s="205"/>
      <c r="D66" s="205"/>
      <c r="E66" s="223"/>
      <c r="F66" s="223"/>
      <c r="G66" s="223"/>
      <c r="L66" s="224"/>
      <c r="O66" s="208"/>
      <c r="P66" s="208"/>
      <c r="T66" s="543">
        <f>'[48]Adj Sales Forecast'!$E$6</f>
        <v>1695000000</v>
      </c>
      <c r="Z66" s="543">
        <f>$W$3*T66</f>
        <v>213299498.35472995</v>
      </c>
      <c r="AA66" s="544"/>
      <c r="AB66" s="544"/>
      <c r="AC66" s="547">
        <f>$AC$64</f>
        <v>0.91949999999999998</v>
      </c>
      <c r="AD66" s="547">
        <f>$AD$64</f>
        <v>0.60097999999999996</v>
      </c>
    </row>
    <row r="67" spans="1:30" x14ac:dyDescent="0.35">
      <c r="A67" s="211">
        <v>41883</v>
      </c>
      <c r="B67" s="205"/>
      <c r="C67" s="205"/>
      <c r="D67" s="205"/>
      <c r="E67" s="223"/>
      <c r="F67" s="223"/>
      <c r="G67" s="223"/>
      <c r="L67" s="224"/>
      <c r="O67" s="208"/>
      <c r="P67" s="208"/>
      <c r="T67" s="543">
        <f>'[48]Adj Sales Forecast'!$F$6</f>
        <v>1518000000</v>
      </c>
      <c r="Z67" s="543">
        <f>$W$3*T67</f>
        <v>191025745.42919177</v>
      </c>
      <c r="AA67" s="544"/>
      <c r="AB67" s="544"/>
      <c r="AC67" s="547">
        <f>$AC$64</f>
        <v>0.91949999999999998</v>
      </c>
      <c r="AD67" s="547">
        <f>$AD$64</f>
        <v>0.60097999999999996</v>
      </c>
    </row>
    <row r="68" spans="1:30" x14ac:dyDescent="0.35">
      <c r="A68" s="211">
        <v>41913</v>
      </c>
      <c r="B68" s="205"/>
      <c r="C68" s="205"/>
      <c r="D68" s="205"/>
      <c r="E68" s="223"/>
      <c r="F68" s="223"/>
      <c r="G68" s="223"/>
      <c r="L68" s="224"/>
      <c r="O68" s="208"/>
      <c r="P68" s="208"/>
      <c r="T68" s="543">
        <f>'[48]Adj Sales Forecast'!$G$6</f>
        <v>1103000000</v>
      </c>
    </row>
    <row r="69" spans="1:30" x14ac:dyDescent="0.35">
      <c r="A69" s="204">
        <v>41944</v>
      </c>
      <c r="B69" s="205">
        <f>'[49]Capacity Estimates'!$J$25</f>
        <v>9.7799999999999994</v>
      </c>
      <c r="C69" s="205">
        <f>'[49]Capacity Estimates'!$J$26</f>
        <v>6.34</v>
      </c>
      <c r="D69" s="205">
        <f>'[49]Capacity Estimates'!$J$27</f>
        <v>3.63</v>
      </c>
      <c r="E69" s="223">
        <f>'[49]Capacity Estimates'!$J$15</f>
        <v>1.17</v>
      </c>
      <c r="F69" s="206">
        <f>'[49]Capacity Estimates'!$J$16</f>
        <v>0.85</v>
      </c>
      <c r="G69" s="206">
        <f>'[49]Capacity Estimates'!$J$17</f>
        <v>0.88</v>
      </c>
      <c r="H69" s="202">
        <f>'[49]Capacity Estimates'!$J$46</f>
        <v>1.0629999999999999</v>
      </c>
      <c r="I69" s="205">
        <f>'[49]Capacity Estimates'!$J$48</f>
        <v>60.95</v>
      </c>
      <c r="J69" s="205">
        <f>'[49]Capacity Estimates'!$J$63</f>
        <v>42.31</v>
      </c>
      <c r="L69" s="224">
        <f>'[49]May - Oct Capacity MSC by Class'!$B$20</f>
        <v>4049455</v>
      </c>
      <c r="O69" s="208">
        <f>ROUND($L69*I69,0)</f>
        <v>246814282</v>
      </c>
      <c r="P69" s="208">
        <f>ROUND($L69*J69,0)</f>
        <v>171332441</v>
      </c>
      <c r="T69" s="543">
        <f>'[49]Adj Sales Forecast'!$H$6</f>
        <v>998000000</v>
      </c>
    </row>
    <row r="70" spans="1:30" x14ac:dyDescent="0.35">
      <c r="A70" s="211">
        <v>41974</v>
      </c>
      <c r="O70" s="208"/>
      <c r="T70" s="543">
        <f>'[49]Adj Sales Forecast'!$I$6</f>
        <v>1108000000</v>
      </c>
    </row>
    <row r="71" spans="1:30" x14ac:dyDescent="0.35">
      <c r="A71" s="211">
        <v>42005</v>
      </c>
      <c r="T71" s="543">
        <f>'[49]Adj Sales Forecast'!$J$6</f>
        <v>1175000000</v>
      </c>
    </row>
    <row r="72" spans="1:30" x14ac:dyDescent="0.35">
      <c r="A72" s="211">
        <v>42036</v>
      </c>
      <c r="T72" s="543">
        <f>'[49]Adj Sales Forecast'!$K$6</f>
        <v>1118000000</v>
      </c>
    </row>
    <row r="73" spans="1:30" x14ac:dyDescent="0.35">
      <c r="A73" s="211">
        <v>42064</v>
      </c>
      <c r="T73" s="543">
        <f>'[49]Adj Sales Forecast'!$L$6</f>
        <v>1026000000</v>
      </c>
    </row>
    <row r="74" spans="1:30" x14ac:dyDescent="0.35">
      <c r="A74" s="211">
        <v>42095</v>
      </c>
      <c r="T74" s="543">
        <f>'[49]Adj Sales Forecast'!$M$6</f>
        <v>935000000</v>
      </c>
    </row>
    <row r="75" spans="1:30" x14ac:dyDescent="0.35">
      <c r="A75" s="204">
        <v>42125</v>
      </c>
      <c r="B75" s="205">
        <f>'[50]Capacity Estimates'!$K$25</f>
        <v>16.54</v>
      </c>
      <c r="C75" s="205">
        <f>'[50]Capacity Estimates'!$K$26</f>
        <v>9.0299999999999994</v>
      </c>
      <c r="D75" s="205">
        <f>'[50]Capacity Estimates'!$K$27</f>
        <v>4.6900000000000004</v>
      </c>
      <c r="E75" s="223">
        <f>'[50]Capacity Estimates'!$K$15</f>
        <v>1.17</v>
      </c>
      <c r="F75" s="206">
        <f>'[50]Capacity Estimates'!$K$16</f>
        <v>0.83499999999999996</v>
      </c>
      <c r="G75" s="206">
        <f>'[50]Capacity Estimates'!$K$17</f>
        <v>0.90500000000000003</v>
      </c>
      <c r="H75" s="202">
        <f>'[50]Capacity Estimates'!$K$46</f>
        <v>1.0629999999999999</v>
      </c>
      <c r="I75" s="205">
        <f>'[50]Capacity Estimates'!$K$48</f>
        <v>100.05</v>
      </c>
      <c r="J75" s="205">
        <f>'[50]Capacity Estimates'!$K$63</f>
        <v>60.05</v>
      </c>
      <c r="L75" s="224">
        <f>'[50]May - Oct Capacity MSC by Class'!$B$20</f>
        <v>3811997</v>
      </c>
      <c r="O75" s="208">
        <f>ROUND($L75*I75,0)</f>
        <v>381390300</v>
      </c>
      <c r="P75" s="208">
        <f>ROUND($L75*J75,0)</f>
        <v>228910420</v>
      </c>
      <c r="T75" s="543">
        <f>'[50]Adj Sales Forecast'!$B$6</f>
        <v>934000000</v>
      </c>
    </row>
    <row r="76" spans="1:30" x14ac:dyDescent="0.35">
      <c r="A76" s="211">
        <v>42156</v>
      </c>
      <c r="T76" s="543">
        <f>'[50]Adj Sales Forecast'!$C$6</f>
        <v>1172000000</v>
      </c>
      <c r="Z76" s="543">
        <f>$W$3*T76</f>
        <v>147484962.87418494</v>
      </c>
      <c r="AA76" s="544"/>
      <c r="AB76" s="544"/>
      <c r="AC76" s="547">
        <f>ROUND(SUM(O69:O80)/SUM(Z76:Z79),5)</f>
        <v>0.83999000000000001</v>
      </c>
      <c r="AD76" s="547">
        <f>ROUND(SUM(P69:P80)/SUM(Z76:Z79),5)</f>
        <v>0.53517999999999999</v>
      </c>
    </row>
    <row r="77" spans="1:30" x14ac:dyDescent="0.35">
      <c r="A77" s="211">
        <v>42186</v>
      </c>
      <c r="T77" s="543">
        <f>'[50]Adj Sales Forecast'!$D$6</f>
        <v>1581000000</v>
      </c>
      <c r="Z77" s="543">
        <f>$W$3*T77</f>
        <v>198953691.38573924</v>
      </c>
      <c r="AA77" s="544"/>
      <c r="AB77" s="544"/>
      <c r="AC77" s="547">
        <f>$AC$76</f>
        <v>0.83999000000000001</v>
      </c>
      <c r="AD77" s="547">
        <f>$AD$76</f>
        <v>0.53517999999999999</v>
      </c>
    </row>
    <row r="78" spans="1:30" x14ac:dyDescent="0.35">
      <c r="A78" s="211">
        <v>42217</v>
      </c>
      <c r="T78" s="543">
        <f>'[50]Adj Sales Forecast'!$E$6</f>
        <v>1710000000</v>
      </c>
      <c r="Z78" s="543">
        <f>$W$3*T78</f>
        <v>215187104.53486028</v>
      </c>
      <c r="AA78" s="544"/>
      <c r="AB78" s="544"/>
      <c r="AC78" s="547">
        <f>$AC$76</f>
        <v>0.83999000000000001</v>
      </c>
      <c r="AD78" s="547">
        <f>$AD$76</f>
        <v>0.53517999999999999</v>
      </c>
    </row>
    <row r="79" spans="1:30" x14ac:dyDescent="0.35">
      <c r="A79" s="211">
        <v>42248</v>
      </c>
      <c r="T79" s="543">
        <f>'[50]Adj Sales Forecast'!$F$6</f>
        <v>1480000000</v>
      </c>
      <c r="Z79" s="543">
        <f>$W$3*T79</f>
        <v>186243809.77286154</v>
      </c>
      <c r="AA79" s="544"/>
      <c r="AB79" s="544"/>
      <c r="AC79" s="547">
        <f>$AC$76</f>
        <v>0.83999000000000001</v>
      </c>
      <c r="AD79" s="547">
        <f>$AD$76</f>
        <v>0.53517999999999999</v>
      </c>
    </row>
    <row r="80" spans="1:30" x14ac:dyDescent="0.35">
      <c r="A80" s="211">
        <v>42278</v>
      </c>
      <c r="T80" s="543">
        <f>'[50]Adj Sales Forecast'!$G$6</f>
        <v>1110000000</v>
      </c>
    </row>
    <row r="81" spans="1:34" x14ac:dyDescent="0.35">
      <c r="A81" s="204">
        <v>42309</v>
      </c>
      <c r="B81" s="205">
        <f>'[51]Capacity Estimates'!$L$25</f>
        <v>8.0299999999999994</v>
      </c>
      <c r="C81" s="205">
        <f>'[51]Capacity Estimates'!$L$26</f>
        <v>4.3600000000000003</v>
      </c>
      <c r="D81" s="205">
        <f>'[51]Capacity Estimates'!$L$27</f>
        <v>1.76</v>
      </c>
      <c r="E81" s="223">
        <f>'[51]Capacity Estimates'!$L$15</f>
        <v>1.17</v>
      </c>
      <c r="F81" s="223">
        <f>'[51]Capacity Estimates'!$L$16</f>
        <v>0.83499999999999996</v>
      </c>
      <c r="G81" s="223">
        <f>'[51]Capacity Estimates'!$L$17</f>
        <v>0.90500000000000003</v>
      </c>
      <c r="H81" s="202">
        <f>'[51]Capacity Estimates'!$L$46</f>
        <v>1.0629999999999999</v>
      </c>
      <c r="I81" s="205">
        <f>'[51]Capacity Estimates'!$L$48</f>
        <v>47.69</v>
      </c>
      <c r="J81" s="205">
        <f>'[51]Capacity Estimates'!$L$63</f>
        <v>28.14</v>
      </c>
      <c r="L81" s="224">
        <f>'[51]May - Oct Capacity MSC by Class'!$B$20</f>
        <v>3811997</v>
      </c>
      <c r="O81" s="208">
        <f>ROUND($L81*I81,0)</f>
        <v>181794137</v>
      </c>
      <c r="P81" s="208">
        <f>ROUND($L81*J81,0)</f>
        <v>107269596</v>
      </c>
      <c r="T81" s="543">
        <f>'[51]Adj Sales Forecast'!$H$6</f>
        <v>999000000</v>
      </c>
    </row>
    <row r="82" spans="1:34" x14ac:dyDescent="0.35">
      <c r="A82" s="211">
        <v>42339</v>
      </c>
      <c r="T82" s="543">
        <f>'[51]Adj Sales Forecast'!$I$6</f>
        <v>1103000000</v>
      </c>
    </row>
    <row r="83" spans="1:34" x14ac:dyDescent="0.35">
      <c r="A83" s="211">
        <v>42370</v>
      </c>
      <c r="T83" s="543">
        <f>'[51]Adj Sales Forecast'!$J$6</f>
        <v>1176000000</v>
      </c>
    </row>
    <row r="84" spans="1:34" x14ac:dyDescent="0.35">
      <c r="A84" s="211">
        <v>42401</v>
      </c>
      <c r="T84" s="543">
        <f>'[51]Adj Sales Forecast'!$K$6</f>
        <v>1113000000</v>
      </c>
    </row>
    <row r="85" spans="1:34" x14ac:dyDescent="0.35">
      <c r="A85" s="211">
        <v>42430</v>
      </c>
      <c r="T85" s="543">
        <f>'[51]Adj Sales Forecast'!$L$6</f>
        <v>1021000000</v>
      </c>
    </row>
    <row r="86" spans="1:34" x14ac:dyDescent="0.35">
      <c r="A86" s="211">
        <v>42461</v>
      </c>
      <c r="T86" s="543">
        <f>'[51]Adj Sales Forecast'!$M$6</f>
        <v>920000000</v>
      </c>
    </row>
    <row r="87" spans="1:34" x14ac:dyDescent="0.35">
      <c r="A87" s="204">
        <v>42491</v>
      </c>
      <c r="B87" s="225">
        <f>'[52]Capacity Estimates'!$M$25</f>
        <v>12.85</v>
      </c>
      <c r="C87" s="205">
        <f>'[52]Capacity Estimates'!$M$26</f>
        <v>9.64</v>
      </c>
      <c r="D87" s="205">
        <f>'[52]Capacity Estimates'!$M$27</f>
        <v>4.5199999999999996</v>
      </c>
      <c r="E87" s="223">
        <f>'[52]Capacity Estimates'!$M$15</f>
        <v>1.175</v>
      </c>
      <c r="F87" s="223">
        <f>'[52]Capacity Estimates'!$M$16</f>
        <v>0.80500000000000005</v>
      </c>
      <c r="G87" s="223">
        <f>'[52]Capacity Estimates'!$M$17</f>
        <v>0.9</v>
      </c>
      <c r="H87" s="202">
        <f>'[52]Capacity Estimates'!$M$46</f>
        <v>1.0629999999999999</v>
      </c>
      <c r="I87" s="205">
        <f>'[52]Capacity Estimates'!$M$48</f>
        <v>79.75</v>
      </c>
      <c r="J87" s="205">
        <f>'[52]Capacity Estimates'!$M$63</f>
        <v>63.27</v>
      </c>
      <c r="L87" s="224">
        <f>'[52]May - Oct Capacity MSC by Class'!$B$20</f>
        <v>3811997</v>
      </c>
      <c r="O87" s="208">
        <f>ROUND($L87*I87,0)</f>
        <v>304006761</v>
      </c>
      <c r="P87" s="208">
        <f>ROUND($L87*J87,0)</f>
        <v>241185050</v>
      </c>
      <c r="T87" s="543">
        <f>'[52]SC 1 Rate III MSC Cap'!$T$87</f>
        <v>910000000</v>
      </c>
      <c r="Z87" s="209"/>
      <c r="AC87" s="212"/>
      <c r="AD87" s="212"/>
    </row>
    <row r="88" spans="1:34" x14ac:dyDescent="0.35">
      <c r="A88" s="211">
        <v>42522</v>
      </c>
      <c r="T88" s="543">
        <f>'[52]SC 1 Rate III MSC Cap'!$T$88</f>
        <v>1158000000</v>
      </c>
      <c r="Z88" s="543">
        <f>$W$3*T88</f>
        <v>145723197.10606328</v>
      </c>
      <c r="AA88" s="544"/>
      <c r="AB88" s="544"/>
      <c r="AC88" s="547">
        <f>ROUND(SUM(O81:O92)/SUM(Z88:Z91),5)</f>
        <v>0.65934000000000004</v>
      </c>
      <c r="AD88" s="547">
        <f>ROUND(SUM(P81:P92)/SUM(Z88:Z91),5)</f>
        <v>0.47293000000000002</v>
      </c>
    </row>
    <row r="89" spans="1:34" x14ac:dyDescent="0.35">
      <c r="A89" s="211">
        <v>42552</v>
      </c>
      <c r="T89" s="543">
        <f>'[52]SC 1 Rate III MSC Cap'!$T$89</f>
        <v>1545000000</v>
      </c>
      <c r="Z89" s="543">
        <f>$W$3*T89</f>
        <v>194423436.55342641</v>
      </c>
      <c r="AA89" s="544"/>
      <c r="AB89" s="544"/>
      <c r="AC89" s="547">
        <f t="shared" ref="AC89:AD91" si="7">AC88</f>
        <v>0.65934000000000004</v>
      </c>
      <c r="AD89" s="547">
        <f t="shared" si="7"/>
        <v>0.47293000000000002</v>
      </c>
    </row>
    <row r="90" spans="1:34" x14ac:dyDescent="0.35">
      <c r="A90" s="211">
        <v>42583</v>
      </c>
      <c r="T90" s="543">
        <f>'[52]SC 1 Rate III MSC Cap'!$T$90</f>
        <v>1693000000</v>
      </c>
      <c r="Z90" s="543">
        <f>$W$3*T90</f>
        <v>213047817.53071254</v>
      </c>
      <c r="AA90" s="544"/>
      <c r="AB90" s="544"/>
      <c r="AC90" s="547">
        <f t="shared" si="7"/>
        <v>0.65934000000000004</v>
      </c>
      <c r="AD90" s="547">
        <f t="shared" si="7"/>
        <v>0.47293000000000002</v>
      </c>
    </row>
    <row r="91" spans="1:34" x14ac:dyDescent="0.35">
      <c r="A91" s="211">
        <v>42614</v>
      </c>
      <c r="T91" s="543">
        <f>'[52]SC 1 Rate III MSC Cap'!$T$91</f>
        <v>1459000000</v>
      </c>
      <c r="Z91" s="543">
        <f>$W$3*T91</f>
        <v>183601161.12067905</v>
      </c>
      <c r="AA91" s="544"/>
      <c r="AB91" s="544"/>
      <c r="AC91" s="547">
        <f t="shared" si="7"/>
        <v>0.65934000000000004</v>
      </c>
      <c r="AD91" s="547">
        <f t="shared" si="7"/>
        <v>0.47293000000000002</v>
      </c>
    </row>
    <row r="92" spans="1:34" x14ac:dyDescent="0.35">
      <c r="A92" s="211">
        <v>42644</v>
      </c>
      <c r="T92" s="543">
        <f>'[52]SC 1 Rate III MSC Cap'!$T$92</f>
        <v>1096000000</v>
      </c>
    </row>
    <row r="93" spans="1:34" x14ac:dyDescent="0.35">
      <c r="A93" s="204">
        <v>42675</v>
      </c>
      <c r="B93" s="225">
        <f>'[53]Capacity Estimates'!$N$25</f>
        <v>4.59</v>
      </c>
      <c r="C93" s="205">
        <f>'[53]Capacity Estimates'!$N$26</f>
        <v>4.17</v>
      </c>
      <c r="D93" s="205">
        <f>'[53]Capacity Estimates'!$N$27</f>
        <v>0.83</v>
      </c>
      <c r="E93" s="223">
        <f>'[53]Capacity Estimates'!$N$15</f>
        <v>1.175</v>
      </c>
      <c r="F93" s="223">
        <f>'[53]Capacity Estimates'!$N$16</f>
        <v>0.80500000000000005</v>
      </c>
      <c r="G93" s="223">
        <f>'[53]Capacity Estimates'!$N$17</f>
        <v>0.9</v>
      </c>
      <c r="H93" s="202">
        <f>'[53]Capacity Estimates'!$N$46</f>
        <v>1.0629999999999999</v>
      </c>
      <c r="I93" s="205">
        <f>'[53]Capacity Estimates'!$N$48</f>
        <v>27.55</v>
      </c>
      <c r="J93" s="205">
        <f>'[53]Capacity Estimates'!$N$63</f>
        <v>25.4</v>
      </c>
      <c r="L93" s="208">
        <f>L87</f>
        <v>3811997</v>
      </c>
      <c r="O93" s="208">
        <f>ROUND($L93*I93,0)</f>
        <v>105020517</v>
      </c>
      <c r="P93" s="208">
        <f>ROUND($L93*J93,0)</f>
        <v>96824724</v>
      </c>
      <c r="T93" s="226">
        <f>'[53]Adj Sales Forecast'!$H$6</f>
        <v>1003000000</v>
      </c>
    </row>
    <row r="94" spans="1:34" x14ac:dyDescent="0.35">
      <c r="A94" s="211">
        <v>42705</v>
      </c>
      <c r="T94" s="226">
        <f>'[53]Adj Sales Forecast'!$I$6</f>
        <v>1098000000</v>
      </c>
    </row>
    <row r="95" spans="1:34" x14ac:dyDescent="0.35">
      <c r="A95" s="211">
        <v>42736</v>
      </c>
      <c r="T95" s="226">
        <f>'[53]Adj Sales Forecast'!$J$6</f>
        <v>1187000000</v>
      </c>
      <c r="AH95" s="546" t="s">
        <v>536</v>
      </c>
    </row>
    <row r="96" spans="1:34" x14ac:dyDescent="0.35">
      <c r="A96" s="211">
        <v>42767</v>
      </c>
      <c r="T96" s="226">
        <f>'[53]Adj Sales Forecast'!$K$6</f>
        <v>1105000000</v>
      </c>
      <c r="AH96" s="209">
        <f>SUM(T93:T98)</f>
        <v>6321000000</v>
      </c>
    </row>
    <row r="97" spans="1:34" x14ac:dyDescent="0.35">
      <c r="A97" s="211">
        <v>42795</v>
      </c>
      <c r="T97" s="226">
        <f>'[53]Adj Sales Forecast'!$L$6</f>
        <v>1036000000</v>
      </c>
      <c r="AH97" s="209">
        <f>SUM('[54]SC 1 Rate III MSC Cap'!$T$93:$T$98)</f>
        <v>6318000000</v>
      </c>
    </row>
    <row r="98" spans="1:34" x14ac:dyDescent="0.35">
      <c r="A98" s="211">
        <v>42826</v>
      </c>
      <c r="T98" s="226">
        <f>'[53]Adj Sales Forecast'!$M$6</f>
        <v>892000000</v>
      </c>
      <c r="AH98" s="209">
        <f>+AH96-AH97</f>
        <v>3000000</v>
      </c>
    </row>
    <row r="99" spans="1:34" x14ac:dyDescent="0.35">
      <c r="A99" s="204">
        <v>42856</v>
      </c>
      <c r="B99" s="205">
        <f>'[55]Capacity Estimates'!O25</f>
        <v>13.87</v>
      </c>
      <c r="C99" s="205">
        <f>'[55]Capacity Estimates'!O26</f>
        <v>11.21</v>
      </c>
      <c r="D99" s="205">
        <f>'[55]Capacity Estimates'!O27</f>
        <v>4.1399999999999997</v>
      </c>
      <c r="E99" s="223">
        <f>'[55]Capacity Estimates'!O15</f>
        <v>1.18</v>
      </c>
      <c r="F99" s="223">
        <f>'[55]Capacity Estimates'!O16</f>
        <v>0.81499999999999995</v>
      </c>
      <c r="G99" s="223">
        <f>'[55]Capacity Estimates'!O17</f>
        <v>0.91500000000000004</v>
      </c>
      <c r="H99" s="202">
        <f>'[55]Capacity Estimates'!O51</f>
        <v>1.0629999999999999</v>
      </c>
      <c r="I99" s="205">
        <f>'[55]Capacity Estimates'!O53</f>
        <v>86.24</v>
      </c>
      <c r="J99" s="205">
        <f>'[55]Capacity Estimates'!O72</f>
        <v>72.41</v>
      </c>
      <c r="L99" s="224">
        <f>+'[56]May - Oct Capacity MSC by Class'!$B$20</f>
        <v>3850824</v>
      </c>
      <c r="O99" s="208">
        <f>ROUND($L99*I99,0)</f>
        <v>332095062</v>
      </c>
      <c r="P99" s="208">
        <f>ROUND($L99*J99,0)</f>
        <v>278838166</v>
      </c>
      <c r="T99" s="543">
        <f>'[56]Adj Sales Forecast'!$B$6</f>
        <v>892000000</v>
      </c>
    </row>
    <row r="100" spans="1:34" x14ac:dyDescent="0.35">
      <c r="A100" s="211">
        <v>42887</v>
      </c>
      <c r="T100" s="543">
        <f>'[56]Adj Sales Forecast'!$C$6</f>
        <v>1159000000</v>
      </c>
      <c r="Z100" s="543">
        <f>$W$3*T100</f>
        <v>145849037.51807198</v>
      </c>
      <c r="AA100" s="544"/>
      <c r="AB100" s="544"/>
      <c r="AC100" s="547">
        <f>ROUND(SUM(O93:O104)/SUM(Z100:Z103),5)</f>
        <v>0.59641999999999995</v>
      </c>
      <c r="AD100" s="547">
        <f>ROUND(SUM(P93:P104)/SUM(Z100:Z103),5)</f>
        <v>0.51256999999999997</v>
      </c>
    </row>
    <row r="101" spans="1:34" x14ac:dyDescent="0.35">
      <c r="A101" s="211">
        <v>42917</v>
      </c>
      <c r="T101" s="543">
        <f>'[56]Adj Sales Forecast'!$D$6</f>
        <v>1545000000</v>
      </c>
      <c r="Z101" s="543">
        <f>$W$3*T101</f>
        <v>194423436.55342641</v>
      </c>
      <c r="AA101" s="544"/>
      <c r="AB101" s="544"/>
      <c r="AC101" s="547">
        <f t="shared" ref="AC101:AD103" si="8">AC100</f>
        <v>0.59641999999999995</v>
      </c>
      <c r="AD101" s="547">
        <f t="shared" si="8"/>
        <v>0.51256999999999997</v>
      </c>
    </row>
    <row r="102" spans="1:34" x14ac:dyDescent="0.35">
      <c r="A102" s="211">
        <v>42948</v>
      </c>
      <c r="T102" s="543">
        <f>'[56]Adj Sales Forecast'!$E$6</f>
        <v>1689000000</v>
      </c>
      <c r="Z102" s="543">
        <f>$W$3*T102</f>
        <v>212544455.88267779</v>
      </c>
      <c r="AA102" s="544"/>
      <c r="AB102" s="544"/>
      <c r="AC102" s="547">
        <f t="shared" si="8"/>
        <v>0.59641999999999995</v>
      </c>
      <c r="AD102" s="547">
        <f t="shared" si="8"/>
        <v>0.51256999999999997</v>
      </c>
    </row>
    <row r="103" spans="1:34" x14ac:dyDescent="0.35">
      <c r="A103" s="211">
        <v>42979</v>
      </c>
      <c r="T103" s="543">
        <f>'[56]Adj Sales Forecast'!$F$6</f>
        <v>1431000000</v>
      </c>
      <c r="Z103" s="543">
        <f>$W$3*T103</f>
        <v>180077629.5844357</v>
      </c>
      <c r="AA103" s="544"/>
      <c r="AB103" s="544"/>
      <c r="AC103" s="547">
        <f t="shared" si="8"/>
        <v>0.59641999999999995</v>
      </c>
      <c r="AD103" s="547">
        <f t="shared" si="8"/>
        <v>0.51256999999999997</v>
      </c>
    </row>
    <row r="104" spans="1:34" x14ac:dyDescent="0.35">
      <c r="A104" s="211">
        <v>43009</v>
      </c>
      <c r="T104" s="543">
        <f>'[56]Adj Sales Forecast'!$G$6</f>
        <v>1102000000</v>
      </c>
    </row>
    <row r="105" spans="1:34" x14ac:dyDescent="0.35">
      <c r="A105" s="204">
        <v>43040</v>
      </c>
      <c r="B105" s="205">
        <f>'[55]Capacity Estimates'!P25</f>
        <v>3.39</v>
      </c>
      <c r="C105" s="205">
        <f>'[55]Capacity Estimates'!P26</f>
        <v>2.65</v>
      </c>
      <c r="D105" s="205">
        <f>'[55]Capacity Estimates'!P27</f>
        <v>0.49</v>
      </c>
      <c r="E105" s="223">
        <f>'[55]Capacity Estimates'!P15</f>
        <v>1.18</v>
      </c>
      <c r="F105" s="223">
        <f>'[55]Capacity Estimates'!P16</f>
        <v>0.81499999999999995</v>
      </c>
      <c r="G105" s="223">
        <f>'[55]Capacity Estimates'!P17</f>
        <v>0.91500000000000004</v>
      </c>
      <c r="H105" s="202">
        <f>'[55]Capacity Estimates'!P51</f>
        <v>1.0629999999999999</v>
      </c>
      <c r="I105" s="205">
        <f>'[55]Capacity Estimates'!P53</f>
        <v>20.14</v>
      </c>
      <c r="J105" s="205">
        <f>'[55]Capacity Estimates'!P72</f>
        <v>16.3</v>
      </c>
      <c r="L105" s="208">
        <f>L99</f>
        <v>3850824</v>
      </c>
      <c r="O105" s="208">
        <f>ROUND($L105*I105,0)</f>
        <v>77555595</v>
      </c>
      <c r="P105" s="208">
        <f>ROUND($L105*J105,0)</f>
        <v>62768431</v>
      </c>
      <c r="T105" s="543">
        <f>+'[57]Adj Sales Forecast'!$H$6</f>
        <v>959000000</v>
      </c>
    </row>
    <row r="106" spans="1:34" x14ac:dyDescent="0.35">
      <c r="A106" s="211">
        <v>43070</v>
      </c>
      <c r="J106" s="205"/>
      <c r="T106" s="543">
        <f>+'[57]Adj Sales Forecast'!$I$6</f>
        <v>1084000000</v>
      </c>
    </row>
    <row r="107" spans="1:34" x14ac:dyDescent="0.35">
      <c r="A107" s="211">
        <v>43101</v>
      </c>
      <c r="T107" s="543">
        <f>+'[57]Adj Sales Forecast'!$J$6</f>
        <v>1139000000</v>
      </c>
    </row>
    <row r="108" spans="1:34" x14ac:dyDescent="0.35">
      <c r="A108" s="211">
        <v>43132</v>
      </c>
      <c r="T108" s="543">
        <f>+'[57]Adj Sales Forecast'!$K$6</f>
        <v>1070000000</v>
      </c>
    </row>
    <row r="109" spans="1:34" x14ac:dyDescent="0.35">
      <c r="A109" s="211">
        <v>43160</v>
      </c>
      <c r="T109" s="543">
        <f>+'[57]Adj Sales Forecast'!$L$6</f>
        <v>1001000000</v>
      </c>
    </row>
    <row r="110" spans="1:34" x14ac:dyDescent="0.35">
      <c r="A110" s="211">
        <v>43191</v>
      </c>
      <c r="T110" s="543">
        <f>+'[57]Adj Sales Forecast'!$M$6</f>
        <v>892000000</v>
      </c>
    </row>
    <row r="111" spans="1:34" x14ac:dyDescent="0.35">
      <c r="A111" s="204">
        <v>43221</v>
      </c>
      <c r="B111" s="205">
        <f>'[55]Capacity Estimates'!Q25</f>
        <v>13.32</v>
      </c>
      <c r="C111" s="205">
        <f>'[55]Capacity Estimates'!Q26</f>
        <v>10.67</v>
      </c>
      <c r="D111" s="205">
        <f>'[55]Capacity Estimates'!Q27</f>
        <v>2.23</v>
      </c>
      <c r="E111" s="223">
        <f>'[55]Capacity Estimates'!Q15</f>
        <v>1.1819999999999999</v>
      </c>
      <c r="F111" s="223">
        <f>'[55]Capacity Estimates'!Q16</f>
        <v>0.80500000000000005</v>
      </c>
      <c r="G111" s="223">
        <f>'[55]Capacity Estimates'!Q17</f>
        <v>0.94499999999999995</v>
      </c>
      <c r="H111" s="202">
        <f>'[55]Capacity Estimates'!Q51</f>
        <v>1.0629999999999999</v>
      </c>
      <c r="I111" s="205">
        <f>'[55]Capacity Estimates'!Q53</f>
        <v>81.290000000000006</v>
      </c>
      <c r="J111" s="205">
        <f>'[55]Capacity Estimates'!Q72</f>
        <v>67.680000000000007</v>
      </c>
      <c r="L111" s="224">
        <f>+'[58]May - Oct Capacity MSC by Class'!$B$20</f>
        <v>4625511</v>
      </c>
      <c r="O111" s="208">
        <f>ROUND($L111*I111,0)</f>
        <v>376007789</v>
      </c>
      <c r="P111" s="208">
        <f>ROUND($L111*J111,0)</f>
        <v>313054584</v>
      </c>
      <c r="T111" s="543">
        <f>+'[58]Adj Sales Forecast'!$B$6</f>
        <v>881000000</v>
      </c>
    </row>
    <row r="112" spans="1:34" x14ac:dyDescent="0.35">
      <c r="A112" s="211">
        <v>43252</v>
      </c>
      <c r="T112" s="543">
        <f>+'[58]Adj Sales Forecast'!$C$6</f>
        <v>1134000000</v>
      </c>
      <c r="Z112" s="543">
        <f>$W$3*T112</f>
        <v>142703027.21785471</v>
      </c>
      <c r="AA112" s="544"/>
      <c r="AB112" s="544"/>
      <c r="AC112" s="547">
        <f>ROUND(SUM(O105:O116)/SUM(Z112:Z115),5)</f>
        <v>0.62551999999999996</v>
      </c>
      <c r="AD112" s="547">
        <f>ROUND(SUM(P105:P116)/SUM(Z112:Z115),5)</f>
        <v>0.51831000000000005</v>
      </c>
    </row>
    <row r="113" spans="1:34" x14ac:dyDescent="0.35">
      <c r="A113" s="211">
        <v>43282</v>
      </c>
      <c r="T113" s="543">
        <f>+'[58]Adj Sales Forecast'!$D$6</f>
        <v>1574000000</v>
      </c>
      <c r="Z113" s="543">
        <f>$W$3*T113</f>
        <v>198072808.50167841</v>
      </c>
      <c r="AA113" s="544"/>
      <c r="AB113" s="544"/>
      <c r="AC113" s="547">
        <f t="shared" ref="AC113:AD115" si="9">AC112</f>
        <v>0.62551999999999996</v>
      </c>
      <c r="AD113" s="547">
        <f t="shared" si="9"/>
        <v>0.51831000000000005</v>
      </c>
    </row>
    <row r="114" spans="1:34" x14ac:dyDescent="0.35">
      <c r="A114" s="211">
        <v>43313</v>
      </c>
      <c r="T114" s="543">
        <f>+'[58]Adj Sales Forecast'!$E$6</f>
        <v>1656000000</v>
      </c>
      <c r="Z114" s="543">
        <f>$W$3*T114</f>
        <v>208391722.28639102</v>
      </c>
      <c r="AA114" s="544"/>
      <c r="AB114" s="544"/>
      <c r="AC114" s="547">
        <f t="shared" si="9"/>
        <v>0.62551999999999996</v>
      </c>
      <c r="AD114" s="547">
        <f t="shared" si="9"/>
        <v>0.51831000000000005</v>
      </c>
    </row>
    <row r="115" spans="1:34" x14ac:dyDescent="0.35">
      <c r="A115" s="211">
        <v>43344</v>
      </c>
      <c r="T115" s="543">
        <f>+'[58]Adj Sales Forecast'!$F$6</f>
        <v>1398000000</v>
      </c>
      <c r="Z115" s="543">
        <f>$W$3*T115</f>
        <v>175924895.98814893</v>
      </c>
      <c r="AA115" s="544"/>
      <c r="AB115" s="544"/>
      <c r="AC115" s="547">
        <f t="shared" si="9"/>
        <v>0.62551999999999996</v>
      </c>
      <c r="AD115" s="547">
        <f t="shared" si="9"/>
        <v>0.51831000000000005</v>
      </c>
    </row>
    <row r="116" spans="1:34" x14ac:dyDescent="0.35">
      <c r="A116" s="211">
        <v>43374</v>
      </c>
      <c r="T116" s="543">
        <f>+'[58]Adj Sales Forecast'!$G$6</f>
        <v>1094000000</v>
      </c>
    </row>
    <row r="117" spans="1:34" x14ac:dyDescent="0.35">
      <c r="A117" s="204">
        <v>43405</v>
      </c>
      <c r="B117" s="205">
        <f>'[55]Capacity Estimates'!R25</f>
        <v>3.7</v>
      </c>
      <c r="C117" s="205">
        <f>'[55]Capacity Estimates'!R26</f>
        <v>2.61</v>
      </c>
      <c r="D117" s="205">
        <f>'[55]Capacity Estimates'!R27</f>
        <v>0.66</v>
      </c>
      <c r="E117" s="223">
        <f>'[55]Capacity Estimates'!R15</f>
        <v>1.1819999999999999</v>
      </c>
      <c r="F117" s="223">
        <f>'[55]Capacity Estimates'!R16</f>
        <v>0.80500000000000005</v>
      </c>
      <c r="G117" s="223">
        <f>'[55]Capacity Estimates'!R17</f>
        <v>0.94499999999999995</v>
      </c>
      <c r="H117" s="202">
        <f>'[55]Capacity Estimates'!R51</f>
        <v>1.0629999999999999</v>
      </c>
      <c r="I117" s="205">
        <f>'[55]Capacity Estimates'!R53</f>
        <v>22.32</v>
      </c>
      <c r="J117" s="205">
        <f>'[55]Capacity Estimates'!R72</f>
        <v>16.73</v>
      </c>
      <c r="L117" s="208">
        <f>L111</f>
        <v>4625511</v>
      </c>
      <c r="O117" s="208">
        <f>ROUND($L117*I117,0)</f>
        <v>103241406</v>
      </c>
      <c r="P117" s="208">
        <f>ROUND($L117*J117,0)</f>
        <v>77384799</v>
      </c>
      <c r="T117" s="543">
        <f>+'[58]Adj Sales Forecast'!$H$6</f>
        <v>950000000</v>
      </c>
    </row>
    <row r="118" spans="1:34" x14ac:dyDescent="0.35">
      <c r="A118" s="211">
        <v>43435</v>
      </c>
      <c r="J118" s="205"/>
      <c r="T118" s="543">
        <f>+'[58]Adj Sales Forecast'!$I$6</f>
        <v>1085000000</v>
      </c>
    </row>
    <row r="119" spans="1:34" x14ac:dyDescent="0.35">
      <c r="A119" s="211">
        <v>43466</v>
      </c>
      <c r="T119" s="543">
        <f>+'[58]Adj Sales Forecast'!$J$6</f>
        <v>1122000000</v>
      </c>
    </row>
    <row r="120" spans="1:34" x14ac:dyDescent="0.35">
      <c r="A120" s="211">
        <v>43497</v>
      </c>
      <c r="T120" s="543">
        <f>+'[58]Adj Sales Forecast'!$K$6</f>
        <v>1082000000</v>
      </c>
    </row>
    <row r="121" spans="1:34" x14ac:dyDescent="0.35">
      <c r="A121" s="211">
        <v>43525</v>
      </c>
      <c r="T121" s="543">
        <f>+'[58]Adj Sales Forecast'!$L$6</f>
        <v>993000000</v>
      </c>
    </row>
    <row r="122" spans="1:34" x14ac:dyDescent="0.35">
      <c r="A122" s="211">
        <v>43556</v>
      </c>
      <c r="T122" s="543">
        <f>+'[58]Adj Sales Forecast'!$M$6</f>
        <v>887000000</v>
      </c>
      <c r="AH122" s="543">
        <f>SUM(T54:T122)</f>
        <v>81352000000</v>
      </c>
    </row>
    <row r="123" spans="1:34" x14ac:dyDescent="0.35">
      <c r="A123" s="204">
        <v>43586</v>
      </c>
      <c r="B123" s="205">
        <f>'[55]Capacity Estimates'!S25</f>
        <v>12.564209999999999</v>
      </c>
      <c r="C123" s="205">
        <f>'[55]Capacity Estimates'!S26</f>
        <v>4.3920180000000002</v>
      </c>
      <c r="D123" s="205">
        <f>'[55]Capacity Estimates'!S27</f>
        <v>1.1857300000000002</v>
      </c>
      <c r="E123" s="223">
        <f>'[55]Capacity Estimates'!S15</f>
        <v>1.17</v>
      </c>
      <c r="F123" s="223">
        <f>'[55]Capacity Estimates'!S16</f>
        <v>0.82799999999999996</v>
      </c>
      <c r="G123" s="223">
        <f>'[55]Capacity Estimates'!S17</f>
        <v>0.92300000000000004</v>
      </c>
      <c r="H123" s="202">
        <f>'[55]Capacity Estimates'!S51</f>
        <v>1.0629999999999999</v>
      </c>
      <c r="I123" s="205">
        <f>'[55]Capacity Estimates'!S53</f>
        <v>78.599999999999994</v>
      </c>
      <c r="J123" s="205">
        <f>'[55]Capacity Estimates'!S72</f>
        <v>29.82</v>
      </c>
      <c r="L123" s="224">
        <f>+'[55]May - Oct Capacity MSC by Class'!B20</f>
        <v>4009646</v>
      </c>
      <c r="O123" s="208">
        <f>ROUND($L123*I123,0)</f>
        <v>315158176</v>
      </c>
      <c r="P123" s="208">
        <f>ROUND($L123*J123,0)</f>
        <v>119567644</v>
      </c>
      <c r="T123" s="543">
        <f>+'[59]Adj Sales Forecast'!B6</f>
        <v>859000000</v>
      </c>
    </row>
    <row r="124" spans="1:34" x14ac:dyDescent="0.35">
      <c r="A124" s="211">
        <v>43617</v>
      </c>
      <c r="T124" s="543">
        <f>+'[59]Adj Sales Forecast'!C6</f>
        <v>1130000000</v>
      </c>
      <c r="Z124" s="543">
        <f>$W$3*T124</f>
        <v>142199665.56981996</v>
      </c>
      <c r="AA124" s="544"/>
      <c r="AB124" s="544"/>
      <c r="AC124" s="547">
        <f>ROUND(SUM(O117:O128)/SUM(Z124:Z127),5)</f>
        <v>0.57974999999999999</v>
      </c>
      <c r="AD124" s="547">
        <f>ROUND(SUM(P117:P128)/SUM(Z124:Z127),5)</f>
        <v>0.27289999999999998</v>
      </c>
    </row>
    <row r="125" spans="1:34" x14ac:dyDescent="0.35">
      <c r="A125" s="211">
        <v>43647</v>
      </c>
      <c r="T125" s="543">
        <f>+'[59]Adj Sales Forecast'!D6</f>
        <v>1561000000</v>
      </c>
      <c r="Z125" s="543">
        <f>$W$3*T125</f>
        <v>196436883.14556545</v>
      </c>
      <c r="AA125" s="544"/>
      <c r="AB125" s="544"/>
      <c r="AC125" s="547">
        <f t="shared" ref="AC125:AD127" si="10">AC124</f>
        <v>0.57974999999999999</v>
      </c>
      <c r="AD125" s="547">
        <f t="shared" si="10"/>
        <v>0.27289999999999998</v>
      </c>
    </row>
    <row r="126" spans="1:34" x14ac:dyDescent="0.35">
      <c r="A126" s="211">
        <v>43678</v>
      </c>
      <c r="T126" s="543">
        <f>+'[59]Adj Sales Forecast'!E6</f>
        <v>1645000000</v>
      </c>
      <c r="Z126" s="543">
        <f>$W$3*T126</f>
        <v>207007477.75429544</v>
      </c>
      <c r="AA126" s="544"/>
      <c r="AB126" s="544"/>
      <c r="AC126" s="547">
        <f t="shared" si="10"/>
        <v>0.57974999999999999</v>
      </c>
      <c r="AD126" s="547">
        <f t="shared" si="10"/>
        <v>0.27289999999999998</v>
      </c>
    </row>
    <row r="127" spans="1:34" x14ac:dyDescent="0.35">
      <c r="A127" s="211">
        <v>43709</v>
      </c>
      <c r="T127" s="543">
        <f>+'[59]Adj Sales Forecast'!F6</f>
        <v>1399000000</v>
      </c>
      <c r="Z127" s="543">
        <f>$W$3*T127</f>
        <v>176050736.40015763</v>
      </c>
      <c r="AA127" s="544"/>
      <c r="AB127" s="544"/>
      <c r="AC127" s="547">
        <f t="shared" si="10"/>
        <v>0.57974999999999999</v>
      </c>
      <c r="AD127" s="547">
        <f t="shared" si="10"/>
        <v>0.27289999999999998</v>
      </c>
    </row>
    <row r="128" spans="1:34" x14ac:dyDescent="0.35">
      <c r="A128" s="211">
        <v>43739</v>
      </c>
      <c r="T128" s="543">
        <f>+'[59]Adj Sales Forecast'!G6</f>
        <v>1059000000</v>
      </c>
      <c r="V128" s="548"/>
    </row>
    <row r="129" spans="1:30" x14ac:dyDescent="0.35">
      <c r="A129" s="204">
        <v>43770</v>
      </c>
      <c r="B129" s="227">
        <f>+'Capacity Estimates'!T25</f>
        <v>3.3452999999999999</v>
      </c>
      <c r="C129" s="227">
        <f>+'Capacity Estimates'!T26</f>
        <v>0.61581000000000008</v>
      </c>
      <c r="D129" s="227">
        <f>+'Capacity Estimates'!T27</f>
        <v>0.1656</v>
      </c>
      <c r="E129" s="223">
        <f>+'Capacity Estimates'!T15</f>
        <v>1.17</v>
      </c>
      <c r="F129" s="223">
        <f>+'Capacity Estimates'!S16</f>
        <v>0.82799999999999996</v>
      </c>
      <c r="G129" s="223">
        <f>+'Capacity Estimates'!T17</f>
        <v>0.92300000000000004</v>
      </c>
      <c r="H129" s="202">
        <f>'[55]Capacity Estimates'!T51</f>
        <v>1.0629999999999999</v>
      </c>
      <c r="I129" s="205">
        <f>+'Capacity Estimates'!T53</f>
        <v>21.56</v>
      </c>
      <c r="J129" s="205">
        <f>+'Capacity Estimates'!T72</f>
        <v>4.4000000000000004</v>
      </c>
      <c r="L129" s="208">
        <f>L123</f>
        <v>4009646</v>
      </c>
      <c r="O129" s="672">
        <f>ROUND($L129*I129,0)</f>
        <v>86447968</v>
      </c>
      <c r="P129" s="554">
        <f>ROUND($L129*J129,0)</f>
        <v>17642442</v>
      </c>
      <c r="T129" s="543">
        <f>+'[60]Final Sales including BIR'!E18*1000000</f>
        <v>899000000</v>
      </c>
    </row>
    <row r="130" spans="1:30" x14ac:dyDescent="0.35">
      <c r="A130" s="211">
        <v>43800</v>
      </c>
      <c r="J130" s="205"/>
      <c r="O130" s="673"/>
      <c r="T130" s="543">
        <f>+'[60]Final Sales including BIR'!E19*1000000</f>
        <v>1041000000</v>
      </c>
    </row>
    <row r="131" spans="1:30" x14ac:dyDescent="0.35">
      <c r="A131" s="211">
        <v>43831</v>
      </c>
      <c r="O131" s="673"/>
      <c r="T131" s="543">
        <f>+'[60]Final Sales including BIR'!E20*1000000</f>
        <v>1079000000</v>
      </c>
    </row>
    <row r="132" spans="1:30" x14ac:dyDescent="0.35">
      <c r="A132" s="211">
        <v>43862</v>
      </c>
      <c r="O132" s="673"/>
      <c r="T132" s="543">
        <f>+'[60]Final Sales including BIR'!E21*1000000</f>
        <v>1055000000</v>
      </c>
    </row>
    <row r="133" spans="1:30" x14ac:dyDescent="0.35">
      <c r="A133" s="211">
        <v>43891</v>
      </c>
      <c r="O133" s="673"/>
      <c r="T133" s="543">
        <f>+'[60]Final Sales including BIR'!E22*1000000</f>
        <v>997907446.02653193</v>
      </c>
    </row>
    <row r="134" spans="1:30" x14ac:dyDescent="0.35">
      <c r="A134" s="211">
        <v>43922</v>
      </c>
      <c r="O134" s="673"/>
      <c r="T134" s="543">
        <f>+'[60]Final Sales including BIR'!E23*1000000</f>
        <v>932204269.84242272</v>
      </c>
    </row>
    <row r="135" spans="1:30" x14ac:dyDescent="0.35">
      <c r="A135" s="204">
        <v>43952</v>
      </c>
      <c r="B135" s="667">
        <f>+'Capacity Estimates'!U25</f>
        <v>17.715564000000001</v>
      </c>
      <c r="C135" s="667">
        <f>+'Capacity Estimates'!U26</f>
        <v>2.9416739999999999</v>
      </c>
      <c r="D135" s="667">
        <f>+'Capacity Estimates'!U27</f>
        <v>2.4850699999999999</v>
      </c>
      <c r="E135" s="668">
        <f>+'Capacity Estimates'!U15</f>
        <v>1.1890000000000001</v>
      </c>
      <c r="F135" s="668">
        <f>+'Capacity Estimates'!U16</f>
        <v>0.86599999999999999</v>
      </c>
      <c r="G135" s="668">
        <f>+'Capacity Estimates'!U17</f>
        <v>0.9</v>
      </c>
      <c r="H135" s="669">
        <f>+'Capacity Estimates'!U51</f>
        <v>1.0629999999999999</v>
      </c>
      <c r="I135" s="225">
        <f>+'Capacity Estimates'!U53</f>
        <v>111.19</v>
      </c>
      <c r="J135" s="225">
        <f>+'Capacity Estimates'!U72</f>
        <v>23.85</v>
      </c>
      <c r="K135" s="669"/>
      <c r="L135" s="670">
        <f>+'[61]SC 1 Rate III MSC Cap'!$L$135</f>
        <v>5584200</v>
      </c>
      <c r="M135" s="669"/>
      <c r="N135" s="669"/>
      <c r="O135" s="672">
        <f>+'[61]SC 1 Rate III MSC Cap'!$O$135</f>
        <v>537366954.79211998</v>
      </c>
      <c r="P135" s="554">
        <f>ROUND($L135*J135,0)</f>
        <v>133183170</v>
      </c>
      <c r="Q135" s="669"/>
      <c r="R135" s="669"/>
      <c r="S135" s="669"/>
      <c r="T135" s="543">
        <f>+'[60]Final Sales including BIR'!E24*1000000</f>
        <v>923684269.84242272</v>
      </c>
      <c r="U135" s="556"/>
      <c r="V135" s="669"/>
      <c r="W135" s="668">
        <f>+'[62]2017 DATA'!$D$9</f>
        <v>0.12775156190721729</v>
      </c>
      <c r="X135" s="669"/>
      <c r="Y135" s="669"/>
      <c r="Z135" s="669"/>
      <c r="AA135" s="669"/>
      <c r="AB135" s="669"/>
      <c r="AC135" s="669"/>
      <c r="AD135" s="669"/>
    </row>
    <row r="136" spans="1:30" x14ac:dyDescent="0.35">
      <c r="A136" s="211">
        <v>43983</v>
      </c>
      <c r="B136" s="669"/>
      <c r="C136" s="669"/>
      <c r="D136" s="669"/>
      <c r="E136" s="669"/>
      <c r="F136" s="669"/>
      <c r="G136" s="669"/>
      <c r="H136" s="669"/>
      <c r="I136" s="669"/>
      <c r="J136" s="669"/>
      <c r="K136" s="669"/>
      <c r="L136" s="669"/>
      <c r="M136" s="669"/>
      <c r="N136" s="669"/>
      <c r="O136" s="673"/>
      <c r="P136" s="669"/>
      <c r="Q136" s="669"/>
      <c r="R136" s="669"/>
      <c r="S136" s="669"/>
      <c r="T136" s="543">
        <f>+'[60]Final Sales including BIR'!E25*1000000</f>
        <v>1178274116.1241407</v>
      </c>
      <c r="U136" s="556"/>
      <c r="V136" s="669"/>
      <c r="W136" s="669"/>
      <c r="X136" s="669"/>
      <c r="Y136" s="669"/>
      <c r="Z136" s="226">
        <f>$W$135*T136</f>
        <v>150526358.6897049</v>
      </c>
      <c r="AA136" s="669"/>
      <c r="AB136" s="669"/>
      <c r="AC136" s="671">
        <f>ROUND(SUM(O129:O140)/SUM(Z136:Z139),5)</f>
        <v>0.84204000000000001</v>
      </c>
      <c r="AD136" s="671">
        <f>ROUND(SUM(P129:P140)/SUM(Z136:Z139),5)</f>
        <v>0.20358999999999999</v>
      </c>
    </row>
    <row r="137" spans="1:30" x14ac:dyDescent="0.35">
      <c r="A137" s="211">
        <v>44013</v>
      </c>
      <c r="B137" s="669"/>
      <c r="C137" s="669"/>
      <c r="D137" s="669"/>
      <c r="E137" s="669"/>
      <c r="F137" s="669"/>
      <c r="G137" s="669"/>
      <c r="H137" s="669"/>
      <c r="I137" s="669"/>
      <c r="J137" s="669"/>
      <c r="K137" s="669"/>
      <c r="L137" s="669"/>
      <c r="M137" s="669"/>
      <c r="N137" s="669"/>
      <c r="O137" s="673"/>
      <c r="P137" s="669"/>
      <c r="Q137" s="669"/>
      <c r="R137" s="669"/>
      <c r="S137" s="669"/>
      <c r="T137" s="543">
        <f>+'[60]Final Sales including BIR'!E26*1000000</f>
        <v>1598897929.1039245</v>
      </c>
      <c r="U137" s="556"/>
      <c r="V137" s="669"/>
      <c r="W137" s="669"/>
      <c r="X137" s="669"/>
      <c r="Y137" s="669"/>
      <c r="Z137" s="226">
        <f>$W$135*T137</f>
        <v>204261707.77324152</v>
      </c>
      <c r="AA137" s="669"/>
      <c r="AB137" s="669"/>
      <c r="AC137" s="671">
        <f t="shared" ref="AC137:AD139" si="11">AC136</f>
        <v>0.84204000000000001</v>
      </c>
      <c r="AD137" s="671">
        <f t="shared" si="11"/>
        <v>0.20358999999999999</v>
      </c>
    </row>
    <row r="138" spans="1:30" x14ac:dyDescent="0.35">
      <c r="A138" s="211">
        <v>44044</v>
      </c>
      <c r="B138" s="669"/>
      <c r="C138" s="669"/>
      <c r="D138" s="669"/>
      <c r="E138" s="669"/>
      <c r="F138" s="669"/>
      <c r="G138" s="669"/>
      <c r="H138" s="669"/>
      <c r="I138" s="669"/>
      <c r="J138" s="669"/>
      <c r="K138" s="669"/>
      <c r="L138" s="669"/>
      <c r="M138" s="669"/>
      <c r="N138" s="669"/>
      <c r="O138" s="673"/>
      <c r="P138" s="669"/>
      <c r="Q138" s="669"/>
      <c r="R138" s="669"/>
      <c r="S138" s="669"/>
      <c r="T138" s="543">
        <f>+'[60]Final Sales including BIR'!E27*1000000</f>
        <v>1643705614.8475587</v>
      </c>
      <c r="U138" s="556"/>
      <c r="V138" s="669"/>
      <c r="W138" s="669"/>
      <c r="X138" s="669"/>
      <c r="Y138" s="669"/>
      <c r="Z138" s="226">
        <f>$W$135*T138</f>
        <v>209985959.61243856</v>
      </c>
      <c r="AA138" s="669"/>
      <c r="AB138" s="669"/>
      <c r="AC138" s="671">
        <f t="shared" si="11"/>
        <v>0.84204000000000001</v>
      </c>
      <c r="AD138" s="671">
        <f t="shared" si="11"/>
        <v>0.20358999999999999</v>
      </c>
    </row>
    <row r="139" spans="1:30" x14ac:dyDescent="0.35">
      <c r="A139" s="211">
        <v>44075</v>
      </c>
      <c r="B139" s="669"/>
      <c r="C139" s="669"/>
      <c r="D139" s="669"/>
      <c r="E139" s="669"/>
      <c r="F139" s="669"/>
      <c r="G139" s="669"/>
      <c r="H139" s="669"/>
      <c r="I139" s="669"/>
      <c r="J139" s="669"/>
      <c r="K139" s="669"/>
      <c r="L139" s="669"/>
      <c r="M139" s="669"/>
      <c r="N139" s="669"/>
      <c r="O139" s="673"/>
      <c r="P139" s="669"/>
      <c r="Q139" s="669"/>
      <c r="R139" s="669"/>
      <c r="S139" s="669"/>
      <c r="T139" s="543">
        <f>+'[60]Final Sales including BIR'!E28*1000000</f>
        <v>1378192314.256366</v>
      </c>
      <c r="U139" s="556"/>
      <c r="V139" s="669"/>
      <c r="W139" s="669"/>
      <c r="X139" s="669"/>
      <c r="Y139" s="669"/>
      <c r="Z139" s="226">
        <f>$W$135*T139</f>
        <v>176066220.7547732</v>
      </c>
      <c r="AA139" s="669"/>
      <c r="AB139" s="669"/>
      <c r="AC139" s="671">
        <f t="shared" si="11"/>
        <v>0.84204000000000001</v>
      </c>
      <c r="AD139" s="671">
        <f t="shared" si="11"/>
        <v>0.20358999999999999</v>
      </c>
    </row>
    <row r="140" spans="1:30" x14ac:dyDescent="0.35">
      <c r="A140" s="211">
        <v>44105</v>
      </c>
      <c r="B140" s="669"/>
      <c r="C140" s="669"/>
      <c r="D140" s="669"/>
      <c r="E140" s="669"/>
      <c r="F140" s="669"/>
      <c r="G140" s="669"/>
      <c r="H140" s="669"/>
      <c r="I140" s="669"/>
      <c r="J140" s="669"/>
      <c r="K140" s="669"/>
      <c r="L140" s="669"/>
      <c r="M140" s="669"/>
      <c r="N140" s="669"/>
      <c r="O140" s="673"/>
      <c r="P140" s="669"/>
      <c r="Q140" s="669"/>
      <c r="R140" s="669"/>
      <c r="S140" s="669"/>
      <c r="T140" s="543">
        <f>+'[60]Final Sales including BIR'!E29*1000000</f>
        <v>1034000000</v>
      </c>
      <c r="U140" s="556"/>
      <c r="V140" s="669"/>
      <c r="W140" s="669"/>
      <c r="X140" s="669"/>
      <c r="Y140" s="669"/>
      <c r="Z140" s="669"/>
      <c r="AA140" s="669"/>
      <c r="AB140" s="669"/>
      <c r="AC140" s="669"/>
      <c r="AD140" s="669"/>
    </row>
    <row r="141" spans="1:30" x14ac:dyDescent="0.35">
      <c r="A141" s="204">
        <v>44136</v>
      </c>
      <c r="B141" s="555">
        <f>+'Capacity Estimates'!W25</f>
        <v>7.5893999999999995</v>
      </c>
      <c r="C141" s="555">
        <f>+'Capacity Estimates'!W26</f>
        <v>0.223445</v>
      </c>
      <c r="D141" s="555">
        <f>+'Capacity Estimates'!W27</f>
        <v>9.3390000000000001E-2</v>
      </c>
      <c r="E141" s="551">
        <f>+'Capacity Estimates'!W15</f>
        <v>1.1890000000000001</v>
      </c>
      <c r="F141" s="551">
        <f>+'Capacity Estimates'!W16</f>
        <v>0.86599999999999999</v>
      </c>
      <c r="G141" s="551">
        <f>+'Capacity Estimates'!W17</f>
        <v>0.9</v>
      </c>
      <c r="H141" s="556">
        <f>+'Capacity Estimates'!W51</f>
        <v>1.0629999999999999</v>
      </c>
      <c r="I141" s="557">
        <f>+'Capacity Estimates'!W53</f>
        <v>48.57</v>
      </c>
      <c r="J141" s="557">
        <f>+'Capacity Estimates'!W72</f>
        <v>1.67</v>
      </c>
      <c r="K141" s="556"/>
      <c r="L141" s="482">
        <f>+L135</f>
        <v>5584200</v>
      </c>
      <c r="M141" s="556"/>
      <c r="N141" s="556"/>
      <c r="O141" s="482">
        <f>ROUND($L141*I141,0)</f>
        <v>271224594</v>
      </c>
      <c r="P141" s="482">
        <f>ROUND($L141*J141,0)</f>
        <v>9325614</v>
      </c>
      <c r="Q141" s="556"/>
      <c r="R141" s="556"/>
      <c r="S141" s="556"/>
      <c r="T141" s="545">
        <v>1007000000</v>
      </c>
      <c r="U141" s="556"/>
      <c r="V141" s="556"/>
      <c r="W141" s="556"/>
      <c r="X141" s="556"/>
      <c r="Y141" s="556"/>
      <c r="Z141" s="556"/>
      <c r="AA141" s="556"/>
      <c r="AB141" s="556"/>
      <c r="AC141" s="556"/>
      <c r="AD141" s="556"/>
    </row>
    <row r="142" spans="1:30" x14ac:dyDescent="0.35">
      <c r="A142" s="211">
        <v>44166</v>
      </c>
      <c r="B142" s="556"/>
      <c r="C142" s="556"/>
      <c r="D142" s="556"/>
      <c r="E142" s="556"/>
      <c r="F142" s="556"/>
      <c r="G142" s="556"/>
      <c r="H142" s="556"/>
      <c r="I142" s="556"/>
      <c r="J142" s="556"/>
      <c r="K142" s="556"/>
      <c r="L142" s="556"/>
      <c r="M142" s="556"/>
      <c r="N142" s="556"/>
      <c r="O142" s="556"/>
      <c r="P142" s="556"/>
      <c r="Q142" s="556"/>
      <c r="R142" s="556"/>
      <c r="S142" s="556"/>
      <c r="T142" s="545">
        <v>1161000000</v>
      </c>
      <c r="U142" s="556"/>
      <c r="V142" s="556"/>
      <c r="W142" s="556"/>
      <c r="X142" s="556"/>
      <c r="Y142" s="556"/>
      <c r="Z142" s="556"/>
      <c r="AA142" s="556"/>
      <c r="AB142" s="556"/>
      <c r="AC142" s="556"/>
      <c r="AD142" s="556"/>
    </row>
    <row r="143" spans="1:30" x14ac:dyDescent="0.35">
      <c r="A143" s="211">
        <v>44197</v>
      </c>
      <c r="B143" s="556"/>
      <c r="C143" s="556"/>
      <c r="D143" s="556"/>
      <c r="E143" s="556"/>
      <c r="F143" s="556"/>
      <c r="G143" s="556"/>
      <c r="H143" s="556"/>
      <c r="I143" s="556"/>
      <c r="J143" s="556"/>
      <c r="K143" s="556"/>
      <c r="L143" s="556"/>
      <c r="M143" s="556"/>
      <c r="N143" s="556"/>
      <c r="O143" s="556"/>
      <c r="P143" s="556"/>
      <c r="Q143" s="556"/>
      <c r="R143" s="556"/>
      <c r="S143" s="556"/>
      <c r="T143" s="545">
        <v>1231000000</v>
      </c>
      <c r="U143" s="556"/>
      <c r="V143" s="556"/>
      <c r="W143" s="556"/>
      <c r="X143" s="556"/>
      <c r="Y143" s="556"/>
      <c r="Z143" s="556"/>
      <c r="AA143" s="556"/>
      <c r="AB143" s="556"/>
      <c r="AC143" s="556"/>
      <c r="AD143" s="556"/>
    </row>
    <row r="144" spans="1:30" x14ac:dyDescent="0.35">
      <c r="A144" s="211">
        <v>44228</v>
      </c>
      <c r="B144" s="556"/>
      <c r="C144" s="556"/>
      <c r="D144" s="556"/>
      <c r="E144" s="556"/>
      <c r="F144" s="556"/>
      <c r="G144" s="556"/>
      <c r="H144" s="556"/>
      <c r="I144" s="556"/>
      <c r="J144" s="556"/>
      <c r="K144" s="556"/>
      <c r="L144" s="556"/>
      <c r="M144" s="556"/>
      <c r="N144" s="556"/>
      <c r="O144" s="556"/>
      <c r="P144" s="556"/>
      <c r="Q144" s="556"/>
      <c r="R144" s="556"/>
      <c r="S144" s="556"/>
      <c r="T144" s="545">
        <v>1156000000</v>
      </c>
      <c r="U144" s="556"/>
      <c r="V144" s="556"/>
      <c r="W144" s="556"/>
      <c r="X144" s="556"/>
      <c r="Y144" s="556"/>
      <c r="Z144" s="556"/>
      <c r="AA144" s="556"/>
      <c r="AB144" s="556"/>
      <c r="AC144" s="556"/>
      <c r="AD144" s="556"/>
    </row>
    <row r="145" spans="1:30" x14ac:dyDescent="0.35">
      <c r="A145" s="211">
        <v>44256</v>
      </c>
      <c r="B145" s="556"/>
      <c r="C145" s="556"/>
      <c r="D145" s="556"/>
      <c r="E145" s="556"/>
      <c r="F145" s="556"/>
      <c r="G145" s="556"/>
      <c r="H145" s="556"/>
      <c r="I145" s="556"/>
      <c r="J145" s="556"/>
      <c r="K145" s="556"/>
      <c r="L145" s="556"/>
      <c r="M145" s="556"/>
      <c r="N145" s="556"/>
      <c r="O145" s="556"/>
      <c r="P145" s="556"/>
      <c r="Q145" s="556"/>
      <c r="R145" s="556"/>
      <c r="S145" s="556"/>
      <c r="T145" s="545">
        <v>1038000000</v>
      </c>
      <c r="U145" s="556"/>
      <c r="V145" s="556"/>
      <c r="W145" s="556"/>
      <c r="X145" s="556"/>
      <c r="Y145" s="556"/>
      <c r="Z145" s="556"/>
      <c r="AA145" s="556"/>
      <c r="AB145" s="556"/>
      <c r="AC145" s="556"/>
      <c r="AD145" s="556"/>
    </row>
    <row r="146" spans="1:30" x14ac:dyDescent="0.35">
      <c r="A146" s="211">
        <v>44287</v>
      </c>
      <c r="B146" s="556"/>
      <c r="C146" s="556"/>
      <c r="D146" s="556"/>
      <c r="E146" s="556"/>
      <c r="F146" s="556"/>
      <c r="G146" s="556"/>
      <c r="H146" s="556"/>
      <c r="I146" s="556"/>
      <c r="J146" s="556"/>
      <c r="K146" s="556"/>
      <c r="L146" s="556"/>
      <c r="M146" s="556"/>
      <c r="N146" s="556"/>
      <c r="O146" s="556"/>
      <c r="P146" s="556"/>
      <c r="Q146" s="556"/>
      <c r="R146" s="556"/>
      <c r="S146" s="556"/>
      <c r="T146" s="545">
        <v>874000000</v>
      </c>
      <c r="U146" s="556"/>
      <c r="V146" s="556"/>
      <c r="W146" s="556"/>
      <c r="X146" s="556"/>
      <c r="Y146" s="556"/>
      <c r="Z146" s="556"/>
      <c r="AA146" s="556"/>
      <c r="AB146" s="556"/>
      <c r="AC146" s="556"/>
      <c r="AD146" s="556"/>
    </row>
    <row r="147" spans="1:30" x14ac:dyDescent="0.35">
      <c r="A147" s="552">
        <v>44317</v>
      </c>
      <c r="B147" s="557">
        <f>+'Capacity Estimates'!X25</f>
        <v>5.3909739999999999</v>
      </c>
      <c r="C147" s="557">
        <f>+'Capacity Estimates'!X26</f>
        <v>4.395384</v>
      </c>
      <c r="D147" s="557">
        <f>+'Capacity Estimates'!X27</f>
        <v>3.7313069999999997</v>
      </c>
      <c r="E147" s="551">
        <f>+'Capacity Estimates'!X15</f>
        <v>1.2070000000000001</v>
      </c>
      <c r="F147" s="551">
        <f>+'Capacity Estimates'!X16</f>
        <v>0.80300000000000005</v>
      </c>
      <c r="G147" s="551">
        <f>+'Capacity Estimates'!X17</f>
        <v>0.87586799999999998</v>
      </c>
      <c r="H147" s="556">
        <f>+'Capacity Estimates'!X51</f>
        <v>1.0629999999999999</v>
      </c>
      <c r="I147" s="557">
        <f>+'Capacity Estimates'!X53</f>
        <v>39.86</v>
      </c>
      <c r="J147" s="557">
        <f>+'Capacity Estimates'!X72</f>
        <v>36.9</v>
      </c>
      <c r="K147" s="556"/>
      <c r="L147" s="482">
        <f>+'May - Oct Capacity MSC by Class'!B20</f>
        <v>5043620</v>
      </c>
      <c r="M147" s="556"/>
      <c r="N147" s="556"/>
      <c r="O147" s="482">
        <f>ROUND($L147*I147,0)+'May - Oct Capacity MSC by Class'!D18</f>
        <v>265065474.13304347</v>
      </c>
      <c r="P147" s="482">
        <f>ROUND($L147*J147,0)</f>
        <v>186109578</v>
      </c>
      <c r="Q147" s="556"/>
      <c r="R147" s="556"/>
      <c r="S147" s="556"/>
      <c r="T147" s="545">
        <v>859000000</v>
      </c>
      <c r="U147" s="556"/>
      <c r="V147" s="556"/>
      <c r="W147" s="556"/>
      <c r="X147" s="556"/>
      <c r="Y147" s="556"/>
      <c r="Z147" s="545"/>
      <c r="AA147" s="556"/>
      <c r="AB147" s="556"/>
      <c r="AC147" s="556"/>
      <c r="AD147" s="556"/>
    </row>
    <row r="148" spans="1:30" x14ac:dyDescent="0.35">
      <c r="A148" s="553">
        <v>44348</v>
      </c>
      <c r="B148" s="556"/>
      <c r="C148" s="556"/>
      <c r="D148" s="556"/>
      <c r="E148" s="556"/>
      <c r="F148" s="556"/>
      <c r="G148" s="556"/>
      <c r="H148" s="556"/>
      <c r="I148" s="556"/>
      <c r="J148" s="556"/>
      <c r="K148" s="556"/>
      <c r="L148" s="556"/>
      <c r="M148" s="556"/>
      <c r="N148" s="556"/>
      <c r="O148" s="556"/>
      <c r="P148" s="556"/>
      <c r="Q148" s="556"/>
      <c r="R148" s="556"/>
      <c r="S148" s="556"/>
      <c r="T148" s="545">
        <v>1122000000</v>
      </c>
      <c r="U148" s="556"/>
      <c r="V148" s="556"/>
      <c r="W148" s="556"/>
      <c r="X148" s="556"/>
      <c r="Y148" s="556"/>
      <c r="Z148" s="545">
        <f>$W$135*T148</f>
        <v>143337252.45989779</v>
      </c>
      <c r="AA148" s="556"/>
      <c r="AB148" s="556"/>
      <c r="AC148" s="558">
        <f>ROUND(SUM(O141:O152)/SUM(Z148:Z151),5)</f>
        <v>0.71784000000000003</v>
      </c>
      <c r="AD148" s="558">
        <f>ROUND(SUM(P141:P152)/SUM(Z148:Z151),5)</f>
        <v>0.26158999999999999</v>
      </c>
    </row>
    <row r="149" spans="1:30" x14ac:dyDescent="0.35">
      <c r="A149" s="553">
        <v>44378</v>
      </c>
      <c r="B149" s="556"/>
      <c r="C149" s="556"/>
      <c r="D149" s="556"/>
      <c r="E149" s="556"/>
      <c r="F149" s="556"/>
      <c r="G149" s="556"/>
      <c r="H149" s="556"/>
      <c r="I149" s="556"/>
      <c r="J149" s="556"/>
      <c r="K149" s="556"/>
      <c r="L149" s="556"/>
      <c r="M149" s="556"/>
      <c r="N149" s="556"/>
      <c r="O149" s="556"/>
      <c r="P149" s="556"/>
      <c r="Q149" s="556"/>
      <c r="R149" s="556"/>
      <c r="S149" s="556"/>
      <c r="T149" s="545">
        <v>1593000000</v>
      </c>
      <c r="U149" s="556"/>
      <c r="V149" s="556"/>
      <c r="W149" s="556"/>
      <c r="X149" s="556"/>
      <c r="Y149" s="556"/>
      <c r="Z149" s="545">
        <f>$W$135*T149</f>
        <v>203508238.11819714</v>
      </c>
      <c r="AA149" s="556"/>
      <c r="AB149" s="556"/>
      <c r="AC149" s="558">
        <f>AC148</f>
        <v>0.71784000000000003</v>
      </c>
      <c r="AD149" s="558">
        <f t="shared" ref="AD149" si="12">AD148</f>
        <v>0.26158999999999999</v>
      </c>
    </row>
    <row r="150" spans="1:30" x14ac:dyDescent="0.35">
      <c r="A150" s="553">
        <v>44409</v>
      </c>
      <c r="B150" s="556"/>
      <c r="C150" s="556"/>
      <c r="D150" s="559"/>
      <c r="E150" s="556"/>
      <c r="F150" s="556"/>
      <c r="G150" s="556"/>
      <c r="H150" s="556"/>
      <c r="I150" s="556"/>
      <c r="J150" s="556"/>
      <c r="K150" s="556"/>
      <c r="L150" s="556"/>
      <c r="M150" s="556"/>
      <c r="N150" s="556"/>
      <c r="O150" s="556"/>
      <c r="P150" s="556"/>
      <c r="Q150" s="556"/>
      <c r="R150" s="556"/>
      <c r="S150" s="556"/>
      <c r="T150" s="545">
        <v>1680000000</v>
      </c>
      <c r="U150" s="556"/>
      <c r="V150" s="556"/>
      <c r="W150" s="556"/>
      <c r="X150" s="556"/>
      <c r="Y150" s="556"/>
      <c r="Z150" s="545">
        <f>$W$135*T150</f>
        <v>214622624.00412503</v>
      </c>
      <c r="AA150" s="556"/>
      <c r="AB150" s="556"/>
      <c r="AC150" s="558">
        <f>AC149</f>
        <v>0.71784000000000003</v>
      </c>
      <c r="AD150" s="558">
        <f t="shared" ref="AD150" si="13">AD149</f>
        <v>0.26158999999999999</v>
      </c>
    </row>
    <row r="151" spans="1:30" x14ac:dyDescent="0.35">
      <c r="A151" s="553">
        <v>44440</v>
      </c>
      <c r="B151" s="556"/>
      <c r="C151" s="556"/>
      <c r="D151" s="560"/>
      <c r="E151" s="556"/>
      <c r="F151" s="556"/>
      <c r="G151" s="556"/>
      <c r="H151" s="556"/>
      <c r="I151" s="556"/>
      <c r="J151" s="556"/>
      <c r="K151" s="556"/>
      <c r="L151" s="556"/>
      <c r="M151" s="556"/>
      <c r="N151" s="556"/>
      <c r="O151" s="556"/>
      <c r="P151" s="556"/>
      <c r="Q151" s="556"/>
      <c r="R151" s="556"/>
      <c r="S151" s="556"/>
      <c r="T151" s="545">
        <v>1453000000</v>
      </c>
      <c r="U151" s="556"/>
      <c r="V151" s="556"/>
      <c r="W151" s="556"/>
      <c r="X151" s="556"/>
      <c r="Y151" s="556"/>
      <c r="Z151" s="545">
        <f>$W$135*T151</f>
        <v>185623019.45118672</v>
      </c>
      <c r="AA151" s="556"/>
      <c r="AB151" s="556"/>
      <c r="AC151" s="558">
        <f>AC150</f>
        <v>0.71784000000000003</v>
      </c>
      <c r="AD151" s="558">
        <f t="shared" ref="AD151" si="14">AD150</f>
        <v>0.26158999999999999</v>
      </c>
    </row>
    <row r="152" spans="1:30" x14ac:dyDescent="0.35">
      <c r="A152" s="553">
        <v>44470</v>
      </c>
      <c r="B152" s="556"/>
      <c r="C152" s="556"/>
      <c r="D152" s="556"/>
      <c r="E152" s="556"/>
      <c r="F152" s="556"/>
      <c r="G152" s="556"/>
      <c r="H152" s="556"/>
      <c r="I152" s="556"/>
      <c r="J152" s="556"/>
      <c r="K152" s="556"/>
      <c r="L152" s="556"/>
      <c r="M152" s="556"/>
      <c r="N152" s="556"/>
      <c r="O152" s="556"/>
      <c r="P152" s="556"/>
      <c r="Q152" s="556"/>
      <c r="R152" s="556"/>
      <c r="S152" s="556"/>
      <c r="T152" s="545">
        <v>1059000000</v>
      </c>
      <c r="U152" s="556"/>
      <c r="V152" s="556"/>
      <c r="W152" s="556"/>
      <c r="X152" s="556"/>
      <c r="Y152" s="556"/>
      <c r="Z152" s="556"/>
      <c r="AA152" s="556"/>
      <c r="AB152" s="556"/>
      <c r="AC152" s="556"/>
      <c r="AD152" s="556"/>
    </row>
    <row r="153" spans="1:30" x14ac:dyDescent="0.35">
      <c r="A153" s="204">
        <v>44501</v>
      </c>
      <c r="B153" s="557">
        <f>'Capacity Estimates'!Y25</f>
        <v>1.3913899999999999</v>
      </c>
      <c r="C153" s="557">
        <f>'Capacity Estimates'!Y26</f>
        <v>1.0686499999999999</v>
      </c>
      <c r="D153" s="557">
        <f>'Capacity Estimates'!Y27</f>
        <v>0.95257799999999992</v>
      </c>
      <c r="E153" s="551">
        <f t="shared" ref="E153:M153" si="15">+E141</f>
        <v>1.1890000000000001</v>
      </c>
      <c r="F153" s="551">
        <f t="shared" si="15"/>
        <v>0.86599999999999999</v>
      </c>
      <c r="G153" s="551">
        <f t="shared" si="15"/>
        <v>0.9</v>
      </c>
      <c r="H153" s="556">
        <f t="shared" si="15"/>
        <v>1.0629999999999999</v>
      </c>
      <c r="I153" s="557">
        <f>'Capacity Estimates'!Y53</f>
        <v>10.24</v>
      </c>
      <c r="J153" s="557">
        <f>'Capacity Estimates'!Y72</f>
        <v>7.89</v>
      </c>
      <c r="K153" s="556"/>
      <c r="L153" s="482">
        <f>L147</f>
        <v>5043620</v>
      </c>
      <c r="M153" s="556">
        <f t="shared" si="15"/>
        <v>0</v>
      </c>
      <c r="N153" s="556"/>
      <c r="O153" s="482">
        <f>ROUND($L153*I153,0)</f>
        <v>51646669</v>
      </c>
      <c r="P153" s="482">
        <f>ROUND($L153*J153,0)</f>
        <v>39794162</v>
      </c>
      <c r="Q153" s="556"/>
      <c r="R153" s="556"/>
      <c r="S153" s="556"/>
      <c r="T153" s="545">
        <v>927000000</v>
      </c>
      <c r="V153" s="556"/>
      <c r="W153" s="556"/>
      <c r="X153" s="208">
        <f t="shared" ref="X153" si="16">+X141</f>
        <v>0</v>
      </c>
      <c r="Y153" s="556"/>
      <c r="Z153" s="556"/>
      <c r="AA153" s="556"/>
      <c r="AB153" s="556"/>
      <c r="AC153" s="556"/>
      <c r="AD153" s="556"/>
    </row>
    <row r="154" spans="1:30" x14ac:dyDescent="0.35">
      <c r="A154" s="211">
        <v>44531</v>
      </c>
      <c r="B154" s="556"/>
      <c r="C154" s="556"/>
      <c r="D154" s="556"/>
      <c r="E154" s="556"/>
      <c r="F154" s="556"/>
      <c r="G154" s="556"/>
      <c r="H154" s="556"/>
      <c r="I154" s="556"/>
      <c r="J154" s="556"/>
      <c r="K154" s="556"/>
      <c r="L154" s="556"/>
      <c r="M154" s="556"/>
      <c r="N154" s="556"/>
      <c r="O154" s="556"/>
      <c r="P154" s="556"/>
      <c r="Q154" s="556"/>
      <c r="R154" s="556"/>
      <c r="S154" s="556"/>
      <c r="T154" s="545">
        <v>1034000000</v>
      </c>
      <c r="U154" s="556"/>
      <c r="V154" s="556"/>
      <c r="W154" s="556"/>
      <c r="X154" s="556"/>
      <c r="Y154" s="556"/>
      <c r="Z154" s="556"/>
      <c r="AA154" s="556"/>
      <c r="AB154" s="556"/>
      <c r="AC154" s="556"/>
      <c r="AD154" s="556"/>
    </row>
    <row r="155" spans="1:30" x14ac:dyDescent="0.35">
      <c r="A155" s="211">
        <v>44562</v>
      </c>
      <c r="B155" s="556"/>
      <c r="C155" s="556"/>
      <c r="D155" s="556"/>
      <c r="E155" s="556"/>
      <c r="F155" s="556"/>
      <c r="G155" s="556"/>
      <c r="H155" s="556"/>
      <c r="I155" s="556"/>
      <c r="J155" s="556"/>
      <c r="K155" s="556"/>
      <c r="L155" s="556"/>
      <c r="M155" s="556"/>
      <c r="N155" s="556"/>
      <c r="O155" s="556"/>
      <c r="P155" s="556"/>
      <c r="Q155" s="556"/>
      <c r="R155" s="556"/>
      <c r="S155" s="556"/>
      <c r="T155" s="545">
        <v>1109000000</v>
      </c>
      <c r="U155" s="556"/>
      <c r="V155" s="556"/>
      <c r="W155" s="556"/>
      <c r="X155" s="556"/>
      <c r="Y155" s="556"/>
      <c r="Z155" s="556"/>
      <c r="AA155" s="556"/>
      <c r="AB155" s="556"/>
      <c r="AC155" s="556"/>
      <c r="AD155" s="556"/>
    </row>
    <row r="156" spans="1:30" x14ac:dyDescent="0.35">
      <c r="A156" s="211">
        <v>44593</v>
      </c>
      <c r="B156" s="556"/>
      <c r="C156" s="556"/>
      <c r="D156" s="556"/>
      <c r="E156" s="556"/>
      <c r="F156" s="556"/>
      <c r="G156" s="556"/>
      <c r="H156" s="556"/>
      <c r="I156" s="556"/>
      <c r="J156" s="556"/>
      <c r="K156" s="556"/>
      <c r="L156" s="556"/>
      <c r="M156" s="556"/>
      <c r="N156" s="556"/>
      <c r="O156" s="556"/>
      <c r="P156" s="556"/>
      <c r="Q156" s="556"/>
      <c r="R156" s="556"/>
      <c r="S156" s="556"/>
      <c r="T156" s="545">
        <v>1059000000</v>
      </c>
      <c r="U156" s="556"/>
      <c r="V156" s="556"/>
      <c r="W156" s="556"/>
      <c r="X156" s="556"/>
      <c r="Y156" s="556"/>
      <c r="Z156" s="556"/>
      <c r="AA156" s="556"/>
      <c r="AB156" s="556"/>
      <c r="AC156" s="556"/>
      <c r="AD156" s="556"/>
    </row>
    <row r="157" spans="1:30" x14ac:dyDescent="0.35">
      <c r="A157" s="211">
        <v>44621</v>
      </c>
      <c r="B157" s="556"/>
      <c r="C157" s="556"/>
      <c r="D157" s="556"/>
      <c r="E157" s="556"/>
      <c r="F157" s="556"/>
      <c r="G157" s="556"/>
      <c r="H157" s="556"/>
      <c r="I157" s="556"/>
      <c r="J157" s="556"/>
      <c r="K157" s="556"/>
      <c r="L157" s="556"/>
      <c r="M157" s="556"/>
      <c r="N157" s="556"/>
      <c r="O157" s="556"/>
      <c r="P157" s="556"/>
      <c r="Q157" s="556"/>
      <c r="R157" s="556"/>
      <c r="S157" s="556"/>
      <c r="T157" s="545">
        <v>977000000</v>
      </c>
      <c r="U157" s="556"/>
      <c r="V157" s="556"/>
      <c r="W157" s="556"/>
      <c r="X157" s="556"/>
      <c r="Y157" s="556"/>
      <c r="Z157" s="556"/>
      <c r="AA157" s="556"/>
      <c r="AB157" s="556"/>
      <c r="AC157" s="556"/>
      <c r="AD157" s="556"/>
    </row>
    <row r="158" spans="1:30" x14ac:dyDescent="0.35">
      <c r="A158" s="211">
        <v>44652</v>
      </c>
      <c r="B158" s="556"/>
      <c r="C158" s="556"/>
      <c r="D158" s="556"/>
      <c r="E158" s="556"/>
      <c r="F158" s="556"/>
      <c r="G158" s="556"/>
      <c r="H158" s="556"/>
      <c r="I158" s="556"/>
      <c r="J158" s="556"/>
      <c r="K158" s="556"/>
      <c r="L158" s="556"/>
      <c r="M158" s="556"/>
      <c r="N158" s="556"/>
      <c r="O158" s="556"/>
      <c r="P158" s="556"/>
      <c r="Q158" s="556"/>
      <c r="R158" s="556"/>
      <c r="S158" s="556"/>
      <c r="T158" s="545">
        <v>835000000</v>
      </c>
      <c r="U158" s="556"/>
      <c r="V158" s="556"/>
      <c r="W158" s="556"/>
      <c r="X158" s="556"/>
      <c r="Y158" s="556"/>
      <c r="Z158" s="556"/>
      <c r="AA158" s="556"/>
      <c r="AB158" s="556"/>
      <c r="AC158" s="556"/>
      <c r="AD158" s="556"/>
    </row>
    <row r="159" spans="1:30" x14ac:dyDescent="0.35">
      <c r="A159" s="552">
        <v>44682</v>
      </c>
      <c r="B159" s="557">
        <f>+B147</f>
        <v>5.3909739999999999</v>
      </c>
      <c r="C159" s="557">
        <f t="shared" ref="C159:P159" si="17">+C147</f>
        <v>4.395384</v>
      </c>
      <c r="D159" s="557">
        <f t="shared" si="17"/>
        <v>3.7313069999999997</v>
      </c>
      <c r="E159" s="557">
        <f t="shared" si="17"/>
        <v>1.2070000000000001</v>
      </c>
      <c r="F159" s="557">
        <f t="shared" si="17"/>
        <v>0.80300000000000005</v>
      </c>
      <c r="G159" s="557">
        <f t="shared" si="17"/>
        <v>0.87586799999999998</v>
      </c>
      <c r="H159" s="557">
        <f t="shared" si="17"/>
        <v>1.0629999999999999</v>
      </c>
      <c r="I159" s="557">
        <f t="shared" si="17"/>
        <v>39.86</v>
      </c>
      <c r="J159" s="557">
        <f t="shared" si="17"/>
        <v>36.9</v>
      </c>
      <c r="K159" s="557"/>
      <c r="L159" s="482">
        <f t="shared" si="17"/>
        <v>5043620</v>
      </c>
      <c r="M159" s="557">
        <f t="shared" si="17"/>
        <v>0</v>
      </c>
      <c r="N159" s="557"/>
      <c r="O159" s="557">
        <f t="shared" si="17"/>
        <v>265065474.13304347</v>
      </c>
      <c r="P159" s="482">
        <f t="shared" si="17"/>
        <v>186109578</v>
      </c>
      <c r="Q159" s="556"/>
      <c r="R159" s="556"/>
      <c r="S159" s="556"/>
      <c r="T159" s="545">
        <v>825000000</v>
      </c>
      <c r="U159" s="556"/>
      <c r="V159" s="556"/>
      <c r="W159" s="556"/>
      <c r="X159" s="556"/>
      <c r="Y159" s="556"/>
      <c r="Z159" s="556"/>
      <c r="AA159" s="556"/>
      <c r="AB159" s="556"/>
      <c r="AC159" s="556"/>
      <c r="AD159" s="556"/>
    </row>
    <row r="160" spans="1:30" x14ac:dyDescent="0.35">
      <c r="A160" s="553">
        <v>44713</v>
      </c>
      <c r="T160" s="545">
        <v>1058000000</v>
      </c>
      <c r="Z160" s="545">
        <f>$W$135*T160</f>
        <v>135161152.4978359</v>
      </c>
      <c r="AA160" s="556"/>
      <c r="AB160" s="556"/>
      <c r="AC160" s="558">
        <f>ROUND(SUM(O153:O164)/SUM(Z160:Z163),5)</f>
        <v>0.44333</v>
      </c>
      <c r="AD160" s="558">
        <f>ROUND(SUM(P153:P164)/SUM(Z160:Z163),5)</f>
        <v>0.31622</v>
      </c>
    </row>
    <row r="161" spans="1:30" x14ac:dyDescent="0.35">
      <c r="A161" s="553">
        <v>44743</v>
      </c>
      <c r="T161" s="545">
        <v>1525000000</v>
      </c>
      <c r="Z161" s="545">
        <f>$W$135*T161</f>
        <v>194821131.90850636</v>
      </c>
      <c r="AA161" s="556"/>
      <c r="AB161" s="556"/>
      <c r="AC161" s="558">
        <f>AC160</f>
        <v>0.44333</v>
      </c>
      <c r="AD161" s="558">
        <f t="shared" ref="AD161:AD163" si="18">AD160</f>
        <v>0.31622</v>
      </c>
    </row>
    <row r="162" spans="1:30" x14ac:dyDescent="0.35">
      <c r="A162" s="553">
        <v>44774</v>
      </c>
      <c r="O162" s="224"/>
      <c r="P162" s="208"/>
      <c r="T162" s="545">
        <v>1604000000</v>
      </c>
      <c r="Z162" s="545">
        <f>$W$135*T162</f>
        <v>204913505.29917651</v>
      </c>
      <c r="AA162" s="556"/>
      <c r="AB162" s="556"/>
      <c r="AC162" s="558">
        <f>AC161</f>
        <v>0.44333</v>
      </c>
      <c r="AD162" s="558">
        <f t="shared" si="18"/>
        <v>0.31622</v>
      </c>
    </row>
    <row r="163" spans="1:30" x14ac:dyDescent="0.35">
      <c r="A163" s="553">
        <v>44805</v>
      </c>
      <c r="O163" s="224"/>
      <c r="P163" s="208"/>
      <c r="T163" s="545">
        <v>1405000000</v>
      </c>
      <c r="Z163" s="545">
        <f>$W$135*T163</f>
        <v>179490944.47964028</v>
      </c>
      <c r="AA163" s="556"/>
      <c r="AB163" s="556"/>
      <c r="AC163" s="558">
        <f>AC162</f>
        <v>0.44333</v>
      </c>
      <c r="AD163" s="558">
        <f t="shared" si="18"/>
        <v>0.31622</v>
      </c>
    </row>
    <row r="164" spans="1:30" x14ac:dyDescent="0.35">
      <c r="A164" s="553">
        <v>44835</v>
      </c>
      <c r="O164" s="224"/>
      <c r="P164" s="208"/>
      <c r="T164" s="545">
        <v>1029000000</v>
      </c>
    </row>
    <row r="165" spans="1:30" x14ac:dyDescent="0.35">
      <c r="O165" s="224"/>
      <c r="P165" s="208"/>
    </row>
    <row r="166" spans="1:30" x14ac:dyDescent="0.35">
      <c r="O166" s="224"/>
      <c r="P166" s="208"/>
    </row>
    <row r="167" spans="1:30" x14ac:dyDescent="0.35">
      <c r="O167" s="224"/>
      <c r="P167" s="208"/>
    </row>
    <row r="174" spans="1:30" x14ac:dyDescent="0.35">
      <c r="T174" s="561" t="s">
        <v>537</v>
      </c>
    </row>
    <row r="175" spans="1:30" x14ac:dyDescent="0.35">
      <c r="T175" s="562" t="s">
        <v>538</v>
      </c>
    </row>
    <row r="176" spans="1:30" x14ac:dyDescent="0.35">
      <c r="T176" s="561" t="s">
        <v>539</v>
      </c>
    </row>
  </sheetData>
  <pageMargins left="0.7" right="0.7" top="0.75" bottom="0.75" header="0.3" footer="0.3"/>
  <pageSetup scale="80" orientation="portrait" r:id="rId1"/>
  <colBreaks count="1" manualBreakCount="1">
    <brk id="13" max="1048575" man="1"/>
  </col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37073-8921-4F01-8C7D-A8CD8E77D5A1}">
  <sheetPr codeName="Sheet16"/>
  <dimension ref="A1:AQ94"/>
  <sheetViews>
    <sheetView zoomScale="115" zoomScaleNormal="115" workbookViewId="0">
      <selection activeCell="B10" sqref="B10"/>
    </sheetView>
  </sheetViews>
  <sheetFormatPr defaultRowHeight="12.5" x14ac:dyDescent="0.25"/>
  <cols>
    <col min="1" max="1" width="46" bestFit="1" customWidth="1"/>
    <col min="2" max="2" width="19.81640625" bestFit="1" customWidth="1"/>
    <col min="3" max="3" width="1.7265625" customWidth="1"/>
    <col min="4" max="4" width="17.26953125" bestFit="1" customWidth="1"/>
    <col min="5" max="5" width="1.7265625" customWidth="1"/>
    <col min="6" max="6" width="9" style="195" customWidth="1"/>
    <col min="7" max="7" width="17.26953125" style="195" customWidth="1"/>
    <col min="8" max="8" width="6.26953125" style="195" bestFit="1" customWidth="1"/>
    <col min="9" max="9" width="17.26953125" style="195" customWidth="1"/>
    <col min="10" max="10" width="13.453125" bestFit="1" customWidth="1"/>
    <col min="21" max="21" width="16" customWidth="1"/>
    <col min="22" max="22" width="14.54296875" bestFit="1" customWidth="1"/>
    <col min="43" max="43" width="15.54296875" bestFit="1" customWidth="1"/>
  </cols>
  <sheetData>
    <row r="1" spans="1:43" ht="13" x14ac:dyDescent="0.3">
      <c r="A1" s="131" t="s">
        <v>581</v>
      </c>
      <c r="K1" t="s">
        <v>606</v>
      </c>
    </row>
    <row r="2" spans="1:43" ht="13" x14ac:dyDescent="0.3">
      <c r="A2" s="131" t="s">
        <v>582</v>
      </c>
    </row>
    <row r="3" spans="1:43" ht="13" x14ac:dyDescent="0.3">
      <c r="A3" s="131" t="s">
        <v>583</v>
      </c>
    </row>
    <row r="6" spans="1:43" ht="13" x14ac:dyDescent="0.3">
      <c r="A6" s="131" t="s">
        <v>579</v>
      </c>
      <c r="B6" s="131" t="s">
        <v>580</v>
      </c>
      <c r="C6" s="131"/>
      <c r="D6" s="131" t="s">
        <v>584</v>
      </c>
      <c r="E6" s="131"/>
      <c r="F6" s="645"/>
      <c r="G6" s="645"/>
      <c r="H6" s="645"/>
      <c r="I6" s="645"/>
    </row>
    <row r="7" spans="1:43" ht="13" x14ac:dyDescent="0.3">
      <c r="A7" s="131" t="s">
        <v>578</v>
      </c>
      <c r="B7" s="677">
        <f>+[63]Summary!$G$26</f>
        <v>83540243.20788002</v>
      </c>
      <c r="D7" s="678">
        <f>+[63]Summary!$M$26</f>
        <v>57642767.813437209</v>
      </c>
      <c r="F7" s="194">
        <f>+D13-D7</f>
        <v>877242.02656278759</v>
      </c>
      <c r="G7" s="194"/>
      <c r="H7" s="194"/>
      <c r="I7" s="194"/>
    </row>
    <row r="8" spans="1:43" x14ac:dyDescent="0.25">
      <c r="I8" s="195" t="s">
        <v>616</v>
      </c>
      <c r="J8" s="731">
        <v>3.8E-3</v>
      </c>
    </row>
    <row r="9" spans="1:43" x14ac:dyDescent="0.25">
      <c r="A9" t="s">
        <v>591</v>
      </c>
      <c r="I9" s="195" t="s">
        <v>611</v>
      </c>
      <c r="V9" s="413">
        <v>1.077E-2</v>
      </c>
    </row>
    <row r="10" spans="1:43" x14ac:dyDescent="0.25">
      <c r="A10" t="s">
        <v>585</v>
      </c>
      <c r="B10" s="726">
        <f>+[63]Summary!$M$7</f>
        <v>24500000</v>
      </c>
      <c r="D10" s="677">
        <f>+[63]Summary!$M$4</f>
        <v>16905000</v>
      </c>
      <c r="G10" s="717">
        <f>+D7-D10</f>
        <v>40737767.813437209</v>
      </c>
      <c r="H10" s="194"/>
      <c r="I10" s="195" t="s">
        <v>614</v>
      </c>
      <c r="J10" s="13">
        <f>+J15+J16</f>
        <v>615732789</v>
      </c>
      <c r="U10" t="s">
        <v>613</v>
      </c>
    </row>
    <row r="11" spans="1:43" x14ac:dyDescent="0.25">
      <c r="I11" s="194" t="s">
        <v>612</v>
      </c>
      <c r="J11" s="677">
        <f>+J8*J10</f>
        <v>2339784.5981999999</v>
      </c>
      <c r="U11" s="677">
        <v>120745398</v>
      </c>
      <c r="V11" s="688">
        <f>+U11*$V$9</f>
        <v>1300427.93646</v>
      </c>
    </row>
    <row r="12" spans="1:43" x14ac:dyDescent="0.25">
      <c r="B12" s="677"/>
      <c r="I12" s="729"/>
      <c r="U12" s="677">
        <v>717966678</v>
      </c>
      <c r="V12" s="688">
        <f t="shared" ref="V12:V17" si="0">+U12*$V$9</f>
        <v>7732501.12206</v>
      </c>
    </row>
    <row r="13" spans="1:43" ht="13" x14ac:dyDescent="0.3">
      <c r="A13" t="s">
        <v>586</v>
      </c>
      <c r="B13" s="727">
        <f>D13/0.69</f>
        <v>84811608.46376811</v>
      </c>
      <c r="D13" s="699">
        <f>+'[64]07-Summary'!$B$23</f>
        <v>58520009.839999996</v>
      </c>
      <c r="F13" s="643" t="s">
        <v>599</v>
      </c>
      <c r="I13" s="195" t="s">
        <v>617</v>
      </c>
      <c r="U13" s="677">
        <v>1162106066</v>
      </c>
      <c r="V13" s="688">
        <f t="shared" si="0"/>
        <v>12515882.33082</v>
      </c>
    </row>
    <row r="14" spans="1:43" x14ac:dyDescent="0.25">
      <c r="A14" t="s">
        <v>587</v>
      </c>
      <c r="B14" s="689"/>
      <c r="D14" s="108">
        <f>+'[64]07-Summary'!$H$23</f>
        <v>526553.41</v>
      </c>
      <c r="I14" s="195" t="s">
        <v>618</v>
      </c>
      <c r="U14" s="677">
        <v>1273073797</v>
      </c>
      <c r="V14" s="688">
        <f t="shared" si="0"/>
        <v>13711004.79369</v>
      </c>
    </row>
    <row r="15" spans="1:43" ht="13.5" thickBot="1" x14ac:dyDescent="0.35">
      <c r="A15" t="s">
        <v>588</v>
      </c>
      <c r="B15" s="727">
        <f>+B13-B10</f>
        <v>60311608.46376811</v>
      </c>
      <c r="D15" s="690">
        <f>+D13+D14</f>
        <v>59046563.249999993</v>
      </c>
      <c r="F15" s="707">
        <f>+'[65]07-Summary'!$A14</f>
        <v>44155</v>
      </c>
      <c r="G15" s="714">
        <f>+'[65]07-Summary'!C14</f>
        <v>1138097.8700000001</v>
      </c>
      <c r="H15" s="708"/>
      <c r="I15" s="739" t="s">
        <v>353</v>
      </c>
      <c r="J15" s="91">
        <f>+AQ15</f>
        <v>614231776</v>
      </c>
      <c r="U15" s="677">
        <v>1057618323</v>
      </c>
      <c r="V15" s="688">
        <f t="shared" si="0"/>
        <v>11390549.338710001</v>
      </c>
      <c r="AQ15" s="741">
        <v>614231776</v>
      </c>
    </row>
    <row r="16" spans="1:43" ht="13" thickTop="1" x14ac:dyDescent="0.25">
      <c r="B16" s="689"/>
      <c r="F16" s="707">
        <f>+'[65]07-Summary'!$A15</f>
        <v>44185</v>
      </c>
      <c r="G16" s="714">
        <f>+'[65]07-Summary'!C15</f>
        <v>2873352.59</v>
      </c>
      <c r="H16" s="708"/>
      <c r="I16" s="740" t="s">
        <v>619</v>
      </c>
      <c r="J16" s="91">
        <f>+AQ46</f>
        <v>1501013</v>
      </c>
      <c r="U16" s="677">
        <v>739652437</v>
      </c>
      <c r="V16" s="688">
        <f t="shared" si="0"/>
        <v>7966056.7464899998</v>
      </c>
    </row>
    <row r="17" spans="1:22" x14ac:dyDescent="0.25">
      <c r="A17" t="s">
        <v>589</v>
      </c>
      <c r="B17" s="728">
        <f>+D17/0.69</f>
        <v>14381394.666666668</v>
      </c>
      <c r="D17" s="689">
        <f>+'[65]07-Summary'!$C$23</f>
        <v>9923162.3200000003</v>
      </c>
      <c r="F17" s="707">
        <f>+'[65]07-Summary'!$A16</f>
        <v>44217</v>
      </c>
      <c r="G17" s="714">
        <f>+'[65]07-Summary'!C16</f>
        <v>2963887.29</v>
      </c>
      <c r="H17" s="708"/>
      <c r="I17" s="708"/>
      <c r="U17" s="677">
        <v>362450099</v>
      </c>
      <c r="V17" s="688">
        <f t="shared" si="0"/>
        <v>3903587.56623</v>
      </c>
    </row>
    <row r="18" spans="1:22" ht="13" thickBot="1" x14ac:dyDescent="0.3">
      <c r="B18" s="689"/>
      <c r="F18" s="709">
        <f>+'[65]07-Summary'!$A17</f>
        <v>44248</v>
      </c>
      <c r="G18" s="715">
        <f>+'[65]07-Summary'!C17</f>
        <v>2947824.57</v>
      </c>
      <c r="H18" s="708" t="s">
        <v>577</v>
      </c>
      <c r="I18" s="708"/>
      <c r="U18" s="677"/>
      <c r="V18" s="732">
        <f>SUM(V11:V17)</f>
        <v>58520009.834459998</v>
      </c>
    </row>
    <row r="19" spans="1:22" ht="13.5" thickTop="1" thickBot="1" x14ac:dyDescent="0.3">
      <c r="A19" t="s">
        <v>590</v>
      </c>
      <c r="B19" s="728">
        <f>+D19/0.69</f>
        <v>71193334.681159422</v>
      </c>
      <c r="D19" s="691">
        <f>+D15-D17</f>
        <v>49123400.929999992</v>
      </c>
      <c r="F19" s="711" t="s">
        <v>162</v>
      </c>
      <c r="G19" s="710">
        <f>SUM(G15:G18)</f>
        <v>9923162.3200000003</v>
      </c>
      <c r="H19" s="705">
        <f>+G19-D17</f>
        <v>0</v>
      </c>
      <c r="I19" s="708"/>
    </row>
    <row r="20" spans="1:22" ht="13" thickTop="1" x14ac:dyDescent="0.25"/>
    <row r="21" spans="1:22" x14ac:dyDescent="0.25">
      <c r="A21" s="136" t="s">
        <v>577</v>
      </c>
      <c r="B21" s="688">
        <f>+D19-'[64]07-Summary'!$J$23</f>
        <v>0</v>
      </c>
    </row>
    <row r="22" spans="1:22" x14ac:dyDescent="0.25">
      <c r="E22" s="602"/>
    </row>
    <row r="23" spans="1:22" ht="14" x14ac:dyDescent="0.3">
      <c r="A23" s="698" t="s">
        <v>608</v>
      </c>
      <c r="D23" s="677">
        <f>+U40</f>
        <v>2605137.35</v>
      </c>
      <c r="F23" s="712" t="s">
        <v>602</v>
      </c>
      <c r="G23" s="713">
        <f>+U40</f>
        <v>2605137.35</v>
      </c>
    </row>
    <row r="24" spans="1:22" x14ac:dyDescent="0.25">
      <c r="A24" s="698" t="s">
        <v>615</v>
      </c>
      <c r="D24" s="108">
        <f>+J11</f>
        <v>2339784.5981999999</v>
      </c>
    </row>
    <row r="25" spans="1:22" x14ac:dyDescent="0.25">
      <c r="A25" t="s">
        <v>600</v>
      </c>
    </row>
    <row r="26" spans="1:22" ht="13" thickBot="1" x14ac:dyDescent="0.3">
      <c r="A26" t="s">
        <v>596</v>
      </c>
      <c r="B26" s="725">
        <f>+D26/0.69</f>
        <v>64026781.133043468</v>
      </c>
      <c r="D26" s="738">
        <f>+D19-D23-D24</f>
        <v>44178478.98179999</v>
      </c>
      <c r="F26" s="737" t="s">
        <v>162</v>
      </c>
      <c r="G26" s="716">
        <f>+G19+G23</f>
        <v>12528299.67</v>
      </c>
      <c r="I26" s="195">
        <v>2644</v>
      </c>
    </row>
    <row r="27" spans="1:22" ht="13" thickTop="1" x14ac:dyDescent="0.25">
      <c r="F27" s="712"/>
      <c r="G27" s="735"/>
      <c r="I27" s="195">
        <f>+I26*12</f>
        <v>31728</v>
      </c>
    </row>
    <row r="28" spans="1:22" x14ac:dyDescent="0.25">
      <c r="B28" t="s">
        <v>577</v>
      </c>
      <c r="F28" s="712"/>
      <c r="G28" s="713"/>
    </row>
    <row r="29" spans="1:22" x14ac:dyDescent="0.25">
      <c r="B29" s="677">
        <f>+B26*0.69</f>
        <v>44178478.98179999</v>
      </c>
      <c r="D29" s="136" t="s">
        <v>610</v>
      </c>
      <c r="F29" s="712"/>
      <c r="G29" s="713"/>
    </row>
    <row r="30" spans="1:22" x14ac:dyDescent="0.25">
      <c r="D30">
        <f>+'May - Oct Capacity MSC by Class'!G20</f>
        <v>3.4700000000000002E-2</v>
      </c>
      <c r="F30" s="734"/>
      <c r="G30" s="734"/>
    </row>
    <row r="31" spans="1:22" x14ac:dyDescent="0.25">
      <c r="B31" s="108">
        <f>+D26-B29</f>
        <v>0</v>
      </c>
      <c r="F31" s="734"/>
      <c r="G31" s="734"/>
    </row>
    <row r="32" spans="1:22" x14ac:dyDescent="0.25">
      <c r="F32" s="736"/>
      <c r="G32" s="713"/>
    </row>
    <row r="33" spans="6:43" x14ac:dyDescent="0.25">
      <c r="F33" s="734"/>
      <c r="G33" s="734"/>
    </row>
    <row r="34" spans="6:43" x14ac:dyDescent="0.25">
      <c r="G34" s="195">
        <v>8.7249999999999996</v>
      </c>
    </row>
    <row r="35" spans="6:43" x14ac:dyDescent="0.25">
      <c r="G35" s="194">
        <f>+G34*1000000</f>
        <v>8725000</v>
      </c>
    </row>
    <row r="39" spans="6:43" x14ac:dyDescent="0.25">
      <c r="U39" t="s">
        <v>607</v>
      </c>
    </row>
    <row r="40" spans="6:43" x14ac:dyDescent="0.25">
      <c r="U40" s="688">
        <v>2605137.35</v>
      </c>
    </row>
    <row r="46" spans="6:43" ht="13" x14ac:dyDescent="0.3">
      <c r="AQ46" s="741">
        <v>1501013</v>
      </c>
    </row>
    <row r="55" spans="11:11" x14ac:dyDescent="0.25">
      <c r="K55" t="s">
        <v>601</v>
      </c>
    </row>
    <row r="93" spans="21:21" x14ac:dyDescent="0.25">
      <c r="U93" t="s">
        <v>609</v>
      </c>
    </row>
    <row r="94" spans="21:21" x14ac:dyDescent="0.25">
      <c r="U94" s="688">
        <v>2187441.73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7">
    <tabColor indexed="29"/>
    <pageSetUpPr fitToPage="1"/>
  </sheetPr>
  <dimension ref="A1:R629"/>
  <sheetViews>
    <sheetView zoomScaleNormal="100" zoomScaleSheetLayoutView="120" workbookViewId="0">
      <selection sqref="A1:H1"/>
    </sheetView>
  </sheetViews>
  <sheetFormatPr defaultRowHeight="12.5" x14ac:dyDescent="0.25"/>
  <cols>
    <col min="1" max="1" width="39.453125" customWidth="1"/>
    <col min="2" max="3" width="12" bestFit="1" customWidth="1"/>
    <col min="4" max="4" width="14" bestFit="1" customWidth="1"/>
    <col min="5" max="5" width="13" bestFit="1" customWidth="1"/>
    <col min="6" max="6" width="14.26953125" bestFit="1" customWidth="1"/>
    <col min="7" max="7" width="10.81640625" bestFit="1" customWidth="1"/>
    <col min="8" max="8" width="15" bestFit="1" customWidth="1"/>
    <col min="9" max="9" width="1.81640625" customWidth="1"/>
    <col min="10" max="10" width="28" bestFit="1" customWidth="1"/>
    <col min="11" max="11" width="1.54296875" customWidth="1"/>
    <col min="13" max="13" width="15.26953125" style="15" bestFit="1" customWidth="1"/>
    <col min="14" max="14" width="11.26953125" style="15" bestFit="1" customWidth="1"/>
    <col min="15" max="18" width="11.81640625" style="15" bestFit="1" customWidth="1"/>
  </cols>
  <sheetData>
    <row r="1" spans="1:11" x14ac:dyDescent="0.25">
      <c r="A1" s="789" t="s">
        <v>214</v>
      </c>
      <c r="B1" s="789"/>
      <c r="C1" s="789"/>
      <c r="D1" s="789"/>
      <c r="E1" s="789"/>
      <c r="F1" s="789"/>
      <c r="G1" s="789"/>
      <c r="H1" s="789"/>
      <c r="I1" s="159"/>
    </row>
    <row r="3" spans="1:11" x14ac:dyDescent="0.25">
      <c r="A3" s="790" t="s">
        <v>281</v>
      </c>
      <c r="B3" s="790"/>
      <c r="C3" s="790"/>
      <c r="D3" s="790"/>
      <c r="E3" s="790"/>
      <c r="F3" s="790"/>
      <c r="G3" s="790"/>
      <c r="H3" s="790"/>
      <c r="I3" s="160"/>
    </row>
    <row r="4" spans="1:11" x14ac:dyDescent="0.25">
      <c r="A4" s="790" t="s">
        <v>282</v>
      </c>
      <c r="B4" s="790"/>
      <c r="C4" s="790"/>
      <c r="D4" s="790"/>
      <c r="E4" s="790"/>
      <c r="F4" s="790"/>
      <c r="G4" s="790"/>
      <c r="H4" s="790"/>
      <c r="I4" s="160"/>
    </row>
    <row r="5" spans="1:11" x14ac:dyDescent="0.25">
      <c r="A5" s="791" t="str">
        <f>+'Capacity Estimates'!X11</f>
        <v>May 2021 - October 2021</v>
      </c>
      <c r="B5" s="791"/>
      <c r="C5" s="791"/>
      <c r="D5" s="791"/>
      <c r="E5" s="791"/>
      <c r="F5" s="791"/>
      <c r="G5" s="791"/>
      <c r="H5" s="791"/>
      <c r="I5" s="160"/>
    </row>
    <row r="7" spans="1:11" x14ac:dyDescent="0.25">
      <c r="D7" s="10"/>
      <c r="E7" s="10"/>
      <c r="F7" s="10"/>
      <c r="G7" s="10"/>
      <c r="H7" s="10"/>
      <c r="I7" s="10"/>
      <c r="J7" s="10"/>
      <c r="K7" s="10"/>
    </row>
    <row r="8" spans="1:11" x14ac:dyDescent="0.25">
      <c r="G8" s="10" t="s">
        <v>283</v>
      </c>
      <c r="H8" s="10" t="s">
        <v>260</v>
      </c>
      <c r="I8" s="10"/>
      <c r="J8" s="10"/>
      <c r="K8" s="10"/>
    </row>
    <row r="9" spans="1:11" x14ac:dyDescent="0.25">
      <c r="G9" s="10" t="s">
        <v>284</v>
      </c>
      <c r="H9" s="10" t="s">
        <v>284</v>
      </c>
      <c r="I9" s="10"/>
      <c r="J9" s="10"/>
      <c r="K9" s="10"/>
    </row>
    <row r="10" spans="1:11" x14ac:dyDescent="0.25">
      <c r="D10" s="792" t="s">
        <v>285</v>
      </c>
      <c r="E10" s="792"/>
      <c r="F10" s="10" t="s">
        <v>286</v>
      </c>
      <c r="G10" s="10" t="s">
        <v>287</v>
      </c>
      <c r="H10" s="10" t="s">
        <v>287</v>
      </c>
      <c r="I10" s="10"/>
      <c r="J10" s="10"/>
      <c r="K10" s="10"/>
    </row>
    <row r="11" spans="1:11" x14ac:dyDescent="0.25">
      <c r="B11" s="10" t="s">
        <v>288</v>
      </c>
      <c r="C11" s="10" t="s">
        <v>260</v>
      </c>
      <c r="D11" s="10" t="s">
        <v>288</v>
      </c>
      <c r="E11" s="10" t="s">
        <v>260</v>
      </c>
      <c r="F11" s="10" t="s">
        <v>289</v>
      </c>
      <c r="G11" s="10" t="s">
        <v>289</v>
      </c>
      <c r="H11" s="10" t="s">
        <v>289</v>
      </c>
      <c r="I11" s="10"/>
      <c r="J11" s="161"/>
      <c r="K11" s="161"/>
    </row>
    <row r="12" spans="1:11" x14ac:dyDescent="0.25">
      <c r="B12" s="161" t="s">
        <v>290</v>
      </c>
      <c r="C12" s="161" t="str">
        <f>B12</f>
        <v>(May - Oct)</v>
      </c>
      <c r="D12" s="161" t="s">
        <v>291</v>
      </c>
      <c r="E12" s="161" t="s">
        <v>291</v>
      </c>
      <c r="F12" s="161" t="s">
        <v>292</v>
      </c>
      <c r="G12" s="161" t="s">
        <v>292</v>
      </c>
      <c r="H12" s="161" t="s">
        <v>292</v>
      </c>
      <c r="I12" s="161"/>
    </row>
    <row r="13" spans="1:11" x14ac:dyDescent="0.25">
      <c r="B13" s="161"/>
      <c r="C13" s="161"/>
      <c r="D13" s="161"/>
      <c r="E13" s="161"/>
      <c r="F13" s="161"/>
      <c r="G13" s="161"/>
      <c r="H13" s="161"/>
      <c r="I13" s="161"/>
    </row>
    <row r="15" spans="1:11" x14ac:dyDescent="0.25">
      <c r="A15" s="162" t="s">
        <v>293</v>
      </c>
      <c r="J15" s="97"/>
    </row>
    <row r="16" spans="1:11" ht="12.75" customHeight="1" x14ac:dyDescent="0.25">
      <c r="A16" s="162" t="s">
        <v>294</v>
      </c>
      <c r="B16" s="163">
        <f>+'Capacity Estimates'!X53</f>
        <v>39.86</v>
      </c>
      <c r="C16" s="164">
        <f>+'Capacity Estimates'!X72</f>
        <v>36.9</v>
      </c>
      <c r="D16" s="165"/>
      <c r="E16" s="165"/>
      <c r="F16" s="165"/>
      <c r="G16" s="700">
        <f>+G17/G18</f>
        <v>-0.49913394919168586</v>
      </c>
      <c r="H16" s="701">
        <f>+H17/H18</f>
        <v>0.41933605125218387</v>
      </c>
      <c r="I16" s="165"/>
      <c r="J16" s="165"/>
      <c r="K16" s="165"/>
    </row>
    <row r="17" spans="1:18" x14ac:dyDescent="0.25">
      <c r="D17" t="s">
        <v>603</v>
      </c>
      <c r="F17" s="573"/>
      <c r="G17" s="572">
        <f>+G20-G18</f>
        <v>-3.4579999999999993E-2</v>
      </c>
      <c r="H17" s="702">
        <f>+H20-H18</f>
        <v>7.1999999999999981E-3</v>
      </c>
      <c r="J17" s="166"/>
    </row>
    <row r="18" spans="1:18" x14ac:dyDescent="0.25">
      <c r="A18" s="167" t="s">
        <v>296</v>
      </c>
      <c r="D18" s="719">
        <f>+'Summer SC1 Residential Def Rev'!B26</f>
        <v>64026781.133043468</v>
      </c>
      <c r="E18" s="730"/>
      <c r="F18" s="136" t="s">
        <v>597</v>
      </c>
      <c r="G18" s="704">
        <v>6.9279999999999994E-2</v>
      </c>
      <c r="H18" s="703">
        <v>1.7170000000000001E-2</v>
      </c>
      <c r="J18" s="465"/>
      <c r="M18" s="15" t="s">
        <v>348</v>
      </c>
    </row>
    <row r="19" spans="1:18" ht="20.5" x14ac:dyDescent="0.25">
      <c r="B19" s="98"/>
      <c r="C19" s="602"/>
      <c r="D19" s="602"/>
      <c r="E19" s="602"/>
      <c r="F19" s="682"/>
      <c r="G19" s="603"/>
      <c r="H19" s="604"/>
      <c r="I19" s="602"/>
      <c r="J19" s="465"/>
      <c r="M19" s="15" t="s">
        <v>577</v>
      </c>
      <c r="O19" s="724" t="s">
        <v>604</v>
      </c>
      <c r="P19" s="15" t="s">
        <v>32</v>
      </c>
      <c r="Q19" s="15" t="s">
        <v>605</v>
      </c>
      <c r="R19" s="15" t="s">
        <v>32</v>
      </c>
    </row>
    <row r="20" spans="1:18" x14ac:dyDescent="0.25">
      <c r="A20" s="168" t="s">
        <v>297</v>
      </c>
      <c r="B20" s="17">
        <f>+'[66]Final 2021 Capacity'!$D$8+'[66]Final 2021 Capacity'!$D$13</f>
        <v>5043620</v>
      </c>
      <c r="C20" s="17">
        <f>B20</f>
        <v>5043620</v>
      </c>
      <c r="D20" s="693">
        <f>+B20/$B$38*$D$39+D18</f>
        <v>265065474.33304349</v>
      </c>
      <c r="E20" s="169">
        <f>ROUND($C$16*C20,0)</f>
        <v>186109578</v>
      </c>
      <c r="F20" s="8">
        <f>SUM('Adj Sales Forecast'!B6:G6)</f>
        <v>7637000000</v>
      </c>
      <c r="G20" s="463">
        <f>ROUND(D20/F20,4)</f>
        <v>3.4700000000000002E-2</v>
      </c>
      <c r="H20" s="542">
        <f>ROUND(E20/F20,5)</f>
        <v>2.4369999999999999E-2</v>
      </c>
      <c r="I20" s="170"/>
      <c r="J20" s="99" t="s">
        <v>298</v>
      </c>
      <c r="K20" s="99"/>
      <c r="M20" s="169">
        <f>B20/$B$36*$D$36</f>
        <v>232240431.02452728</v>
      </c>
      <c r="N20" s="184">
        <f>+D20-M20</f>
        <v>32825043.308516204</v>
      </c>
      <c r="O20" s="169">
        <f>(B20*B16)+D18</f>
        <v>265065474.33304346</v>
      </c>
      <c r="P20" s="169">
        <f>D20-O20</f>
        <v>0</v>
      </c>
      <c r="Q20" s="169">
        <f>C20*$C$16</f>
        <v>186109578</v>
      </c>
      <c r="R20" s="169">
        <f>Q20-E20</f>
        <v>0</v>
      </c>
    </row>
    <row r="21" spans="1:18" x14ac:dyDescent="0.25">
      <c r="A21" s="100" t="s">
        <v>1</v>
      </c>
      <c r="B21" s="17">
        <f>+'[66]Final 2021 Capacity'!$D$9</f>
        <v>594494</v>
      </c>
      <c r="C21" s="171">
        <f t="shared" ref="C21:C35" si="0">B21</f>
        <v>594494</v>
      </c>
      <c r="D21" s="169">
        <f>+B21/$B$38*$D$39</f>
        <v>23696530.84</v>
      </c>
      <c r="E21" s="169">
        <f>ROUND($C$16*C21,0)</f>
        <v>21936829</v>
      </c>
      <c r="F21" s="99">
        <f>SUM('Adj Sales Forecast'!B13:G13)</f>
        <v>1182000000</v>
      </c>
      <c r="G21" s="463">
        <f>ROUND(D21/F21,4)</f>
        <v>0.02</v>
      </c>
      <c r="H21" s="463">
        <f>ROUND(E21/F21,4)</f>
        <v>1.8599999999999998E-2</v>
      </c>
      <c r="I21" s="172"/>
      <c r="J21" s="99" t="s">
        <v>299</v>
      </c>
      <c r="K21" s="99"/>
      <c r="M21" s="169">
        <f t="shared" ref="M21:M35" si="1">B21/$B$36*$D$36</f>
        <v>27374295.208896648</v>
      </c>
      <c r="N21" s="184">
        <f t="shared" ref="N21:N35" si="2">+D21-M21</f>
        <v>-3677764.3688966483</v>
      </c>
      <c r="O21" s="169">
        <f>B21*$B$16</f>
        <v>23696530.84</v>
      </c>
      <c r="P21" s="169">
        <f t="shared" ref="P21:P35" si="3">D21-O21</f>
        <v>0</v>
      </c>
      <c r="Q21" s="169">
        <f t="shared" ref="Q21:Q35" si="4">C21*$C$16</f>
        <v>21936828.599999998</v>
      </c>
      <c r="R21" s="169">
        <f t="shared" ref="R21:R35" si="5">Q21-E21</f>
        <v>-0.40000000223517418</v>
      </c>
    </row>
    <row r="22" spans="1:18" x14ac:dyDescent="0.25">
      <c r="A22" s="100" t="s">
        <v>300</v>
      </c>
      <c r="B22" s="17">
        <f>+'[66]Final 2021 Capacity'!$D$10</f>
        <v>3849</v>
      </c>
      <c r="C22" s="171">
        <f t="shared" si="0"/>
        <v>3849</v>
      </c>
      <c r="D22" s="169">
        <v>0</v>
      </c>
      <c r="E22" s="169">
        <v>0</v>
      </c>
      <c r="F22" s="99">
        <f>SUM('Adj Demand Forecast '!B6:G6)</f>
        <v>845</v>
      </c>
      <c r="G22" s="464">
        <f>ROUND(D22/F22,2)</f>
        <v>0</v>
      </c>
      <c r="H22" s="464">
        <f>ROUND(E22/F22,2)</f>
        <v>0</v>
      </c>
      <c r="I22" s="173"/>
      <c r="J22" s="99" t="s">
        <v>301</v>
      </c>
      <c r="K22" s="99"/>
      <c r="M22" s="169"/>
      <c r="N22" s="184"/>
      <c r="O22" s="169">
        <f t="shared" ref="O22:O35" si="6">B22*$B$16</f>
        <v>153421.13999999998</v>
      </c>
      <c r="P22" s="169"/>
      <c r="Q22" s="169">
        <f t="shared" si="4"/>
        <v>142028.1</v>
      </c>
      <c r="R22" s="169"/>
    </row>
    <row r="23" spans="1:18" ht="12.75" customHeight="1" x14ac:dyDescent="0.25">
      <c r="A23" s="100" t="s">
        <v>4</v>
      </c>
      <c r="B23" s="17">
        <f>+'[66]Final 2021 Capacity'!$D$11</f>
        <v>11257</v>
      </c>
      <c r="C23" s="171">
        <f>B23</f>
        <v>11257</v>
      </c>
      <c r="D23" s="169">
        <v>0</v>
      </c>
      <c r="E23" s="169">
        <v>0</v>
      </c>
      <c r="F23" s="99">
        <f>'Forecasted TOD kW by Period'!G6+'Forecasted TOD kW by Period'!H5+'Forecasted TOD kW by Period'!I5+'Forecasted TOD kW by Period'!J5+'Forecasted TOD kW by Period'!K5+'Forecasted TOD kW by Period'!L6</f>
        <v>101273</v>
      </c>
      <c r="G23" s="464">
        <f>ROUND(D23/F23,2)</f>
        <v>0</v>
      </c>
      <c r="H23" s="464">
        <f>ROUND(E23/F23,2)</f>
        <v>0</v>
      </c>
      <c r="I23" s="173"/>
      <c r="J23" s="99" t="s">
        <v>4</v>
      </c>
      <c r="K23" s="99"/>
      <c r="M23" s="169"/>
      <c r="N23" s="184"/>
      <c r="O23" s="169">
        <f t="shared" si="6"/>
        <v>448704.02</v>
      </c>
      <c r="P23" s="169"/>
      <c r="Q23" s="169">
        <f t="shared" si="4"/>
        <v>415383.3</v>
      </c>
      <c r="R23" s="169"/>
    </row>
    <row r="24" spans="1:18" x14ac:dyDescent="0.25">
      <c r="A24" s="168">
        <v>5</v>
      </c>
      <c r="B24" s="8">
        <f>B22+B23</f>
        <v>15106</v>
      </c>
      <c r="C24" s="99">
        <f>C22+C23</f>
        <v>15106</v>
      </c>
      <c r="D24" s="169">
        <f>+B24/$B$38*$D$39</f>
        <v>602125.15999999992</v>
      </c>
      <c r="E24" s="169">
        <f t="shared" ref="E24:E35" si="7">ROUND($C$16*C24,0)</f>
        <v>557411</v>
      </c>
      <c r="F24" s="465">
        <f>F22+F23</f>
        <v>102118</v>
      </c>
      <c r="G24" s="464">
        <f>ROUND(D24/F24,2)</f>
        <v>5.9</v>
      </c>
      <c r="H24" s="464">
        <f>ROUND(E24/F24,2)</f>
        <v>5.46</v>
      </c>
      <c r="I24" s="173"/>
      <c r="J24" s="174" t="s">
        <v>2</v>
      </c>
      <c r="K24" s="99"/>
      <c r="M24" s="169">
        <f t="shared" si="1"/>
        <v>695576.58012628008</v>
      </c>
      <c r="N24" s="184">
        <f t="shared" si="2"/>
        <v>-93451.420126280165</v>
      </c>
      <c r="O24" s="169">
        <f t="shared" si="6"/>
        <v>602125.16</v>
      </c>
      <c r="P24" s="169">
        <f t="shared" si="3"/>
        <v>0</v>
      </c>
      <c r="Q24" s="169">
        <f t="shared" si="4"/>
        <v>557411.4</v>
      </c>
      <c r="R24" s="169">
        <f t="shared" si="5"/>
        <v>0.40000000002328306</v>
      </c>
    </row>
    <row r="25" spans="1:18" x14ac:dyDescent="0.25">
      <c r="A25" s="100" t="s">
        <v>5</v>
      </c>
      <c r="B25" s="17">
        <f>+'[66]Final 2021 Capacity'!$D$12</f>
        <v>36</v>
      </c>
      <c r="C25" s="171">
        <f t="shared" si="0"/>
        <v>36</v>
      </c>
      <c r="D25" s="169">
        <f t="shared" ref="D25:D28" si="8">+B25/$B$38*$D$39</f>
        <v>1434.9599999999998</v>
      </c>
      <c r="E25" s="169">
        <f t="shared" si="7"/>
        <v>1328</v>
      </c>
      <c r="F25" s="465">
        <f>SUM('Adj Sales Forecast'!B18:G18)</f>
        <v>3230887</v>
      </c>
      <c r="G25" s="463">
        <f>ROUND(D25/F25,4)</f>
        <v>4.0000000000000002E-4</v>
      </c>
      <c r="H25" s="463">
        <f>ROUND(E25/F25,4)</f>
        <v>4.0000000000000002E-4</v>
      </c>
      <c r="I25" s="172"/>
      <c r="J25" s="174" t="s">
        <v>5</v>
      </c>
      <c r="K25" s="99"/>
      <c r="M25" s="169">
        <f t="shared" si="1"/>
        <v>1657.6695938399369</v>
      </c>
      <c r="N25" s="184">
        <f t="shared" si="2"/>
        <v>-222.70959383993704</v>
      </c>
      <c r="O25" s="169">
        <f t="shared" si="6"/>
        <v>1434.96</v>
      </c>
      <c r="P25" s="169">
        <f t="shared" si="3"/>
        <v>0</v>
      </c>
      <c r="Q25" s="169">
        <f t="shared" si="4"/>
        <v>1328.3999999999999</v>
      </c>
      <c r="R25" s="169">
        <f t="shared" si="5"/>
        <v>0.39999999999986358</v>
      </c>
    </row>
    <row r="26" spans="1:18" hidden="1" x14ac:dyDescent="0.25">
      <c r="A26" s="100" t="s">
        <v>6</v>
      </c>
      <c r="B26" s="17">
        <v>0</v>
      </c>
      <c r="C26" s="171">
        <f t="shared" si="0"/>
        <v>0</v>
      </c>
      <c r="D26" s="169">
        <f t="shared" si="8"/>
        <v>0</v>
      </c>
      <c r="E26" s="169">
        <f t="shared" si="7"/>
        <v>0</v>
      </c>
      <c r="F26" s="465">
        <f>'Adj Sales Forecast'!B19+'Adj Sales Forecast'!C19+'Adj Sales Forecast'!D19+'Adj Sales Forecast'!E19+'Adj Sales Forecast'!F19+'Adj Sales Forecast'!G19</f>
        <v>0</v>
      </c>
      <c r="G26" s="542" t="e">
        <f>ROUND(D26/F26,5)</f>
        <v>#DIV/0!</v>
      </c>
      <c r="H26" s="542" t="e">
        <f>ROUND(E26/F26,5)</f>
        <v>#DIV/0!</v>
      </c>
      <c r="I26" s="170"/>
      <c r="J26" s="99" t="s">
        <v>302</v>
      </c>
      <c r="K26" s="99"/>
      <c r="M26" s="169">
        <f t="shared" si="1"/>
        <v>0</v>
      </c>
      <c r="N26" s="184">
        <f t="shared" si="2"/>
        <v>0</v>
      </c>
      <c r="O26" s="169">
        <f t="shared" si="6"/>
        <v>0</v>
      </c>
      <c r="P26" s="169">
        <f t="shared" si="3"/>
        <v>0</v>
      </c>
      <c r="Q26" s="169">
        <f t="shared" si="4"/>
        <v>0</v>
      </c>
      <c r="R26" s="169">
        <f t="shared" si="5"/>
        <v>0</v>
      </c>
    </row>
    <row r="27" spans="1:18" x14ac:dyDescent="0.25">
      <c r="A27" s="100" t="s">
        <v>303</v>
      </c>
      <c r="B27" s="17">
        <f>+'[66]Final 2021 Capacity'!$D$14</f>
        <v>384325</v>
      </c>
      <c r="C27" s="171">
        <f t="shared" si="0"/>
        <v>384325</v>
      </c>
      <c r="D27" s="169">
        <f t="shared" si="8"/>
        <v>15319194.499999998</v>
      </c>
      <c r="E27" s="169">
        <f t="shared" si="7"/>
        <v>14181593</v>
      </c>
      <c r="F27" s="465">
        <f>SUM('Adj Demand Forecast '!B8:G8)+SUM('Adj Demand Forecast '!B10:G10)</f>
        <v>2049000</v>
      </c>
      <c r="G27" s="464">
        <f>ROUND(D27/F27,2)</f>
        <v>7.48</v>
      </c>
      <c r="H27" s="464">
        <f>ROUND(E27/F27,2)</f>
        <v>6.92</v>
      </c>
      <c r="I27" s="173"/>
      <c r="J27" s="99" t="s">
        <v>304</v>
      </c>
      <c r="K27" s="99"/>
      <c r="M27" s="169">
        <f t="shared" si="1"/>
        <v>17696774.073681492</v>
      </c>
      <c r="N27" s="184">
        <f t="shared" si="2"/>
        <v>-2377579.5736814942</v>
      </c>
      <c r="O27" s="169">
        <f t="shared" si="6"/>
        <v>15319194.5</v>
      </c>
      <c r="P27" s="169">
        <f t="shared" si="3"/>
        <v>0</v>
      </c>
      <c r="Q27" s="169">
        <f t="shared" si="4"/>
        <v>14181592.5</v>
      </c>
      <c r="R27" s="169">
        <f t="shared" si="5"/>
        <v>-0.5</v>
      </c>
    </row>
    <row r="28" spans="1:18" x14ac:dyDescent="0.25">
      <c r="A28" s="100" t="s">
        <v>9</v>
      </c>
      <c r="B28" s="17">
        <f>+'[66]Final 2021 Capacity'!$D$15</f>
        <v>34615</v>
      </c>
      <c r="C28" s="171">
        <f t="shared" si="0"/>
        <v>34615</v>
      </c>
      <c r="D28" s="169">
        <f t="shared" si="8"/>
        <v>1379753.9</v>
      </c>
      <c r="E28" s="169">
        <f t="shared" si="7"/>
        <v>1277294</v>
      </c>
      <c r="F28" s="465">
        <f>'Forecasted TOD kW by Period'!G10+'Forecasted TOD kW by Period'!H9+'Forecasted TOD kW by Period'!I9+'Forecasted TOD kW by Period'!J9+'Forecasted TOD kW by Period'!K9+'Forecasted TOD kW by Period'!L10</f>
        <v>274967</v>
      </c>
      <c r="G28" s="464">
        <f>ROUND(D28/F28,2)</f>
        <v>5.0199999999999996</v>
      </c>
      <c r="H28" s="464">
        <f>ROUND(E28/F28,2)</f>
        <v>4.6500000000000004</v>
      </c>
      <c r="I28" s="173"/>
      <c r="J28" s="99" t="s">
        <v>9</v>
      </c>
      <c r="K28" s="99"/>
      <c r="M28" s="169">
        <f t="shared" si="1"/>
        <v>1593895.3608547058</v>
      </c>
      <c r="N28" s="184">
        <f t="shared" si="2"/>
        <v>-214141.46085470589</v>
      </c>
      <c r="O28" s="169">
        <f t="shared" si="6"/>
        <v>1379753.9</v>
      </c>
      <c r="P28" s="169">
        <f t="shared" si="3"/>
        <v>0</v>
      </c>
      <c r="Q28" s="169">
        <f t="shared" si="4"/>
        <v>1277293.5</v>
      </c>
      <c r="R28" s="169">
        <f t="shared" si="5"/>
        <v>-0.5</v>
      </c>
    </row>
    <row r="29" spans="1:18" x14ac:dyDescent="0.25">
      <c r="A29" s="549" t="s">
        <v>305</v>
      </c>
      <c r="B29" s="674">
        <f>+'[66]Final 2021 Capacity'!$D$16</f>
        <v>3010291</v>
      </c>
      <c r="C29" s="675">
        <f t="shared" si="0"/>
        <v>3010291</v>
      </c>
      <c r="D29" s="416">
        <f>+B29/$B$38*$D$39</f>
        <v>119990199.26000001</v>
      </c>
      <c r="E29" s="416">
        <f t="shared" si="7"/>
        <v>111079738</v>
      </c>
      <c r="F29" s="465">
        <f>SUM('Adj Demand Forecast '!B12:G12)+SUM('Adj Demand Forecast '!B16:G16)</f>
        <v>24297000</v>
      </c>
      <c r="G29" s="464">
        <f>ROUND(D29/F29,2)</f>
        <v>4.9400000000000004</v>
      </c>
      <c r="H29" s="464">
        <f>ROUND(E29/F29,2)</f>
        <v>4.57</v>
      </c>
      <c r="I29" s="175"/>
      <c r="J29" s="99" t="s">
        <v>306</v>
      </c>
      <c r="K29" s="99"/>
      <c r="M29" s="169">
        <f t="shared" si="1"/>
        <v>138612996.09194493</v>
      </c>
      <c r="N29" s="184">
        <f t="shared" si="2"/>
        <v>-18622796.831944928</v>
      </c>
      <c r="O29" s="169">
        <f t="shared" si="6"/>
        <v>119990199.26000001</v>
      </c>
      <c r="P29" s="169">
        <f t="shared" si="3"/>
        <v>0</v>
      </c>
      <c r="Q29" s="169">
        <f t="shared" si="4"/>
        <v>111079737.89999999</v>
      </c>
      <c r="R29" s="169">
        <f t="shared" si="5"/>
        <v>-0.10000000894069672</v>
      </c>
    </row>
    <row r="30" spans="1:18" x14ac:dyDescent="0.25">
      <c r="A30" s="100" t="s">
        <v>307</v>
      </c>
      <c r="B30" s="176"/>
      <c r="C30" s="177"/>
      <c r="D30" s="169"/>
      <c r="E30" s="169"/>
      <c r="F30" s="465"/>
      <c r="G30" s="463"/>
      <c r="H30" s="463"/>
      <c r="I30" s="175"/>
      <c r="J30" s="99" t="s">
        <v>56</v>
      </c>
      <c r="K30" s="99"/>
      <c r="M30" s="169">
        <f t="shared" si="1"/>
        <v>0</v>
      </c>
      <c r="N30" s="184">
        <f t="shared" si="2"/>
        <v>0</v>
      </c>
      <c r="O30" s="169">
        <f t="shared" si="6"/>
        <v>0</v>
      </c>
      <c r="P30" s="169">
        <f t="shared" si="3"/>
        <v>0</v>
      </c>
      <c r="Q30" s="169">
        <f t="shared" si="4"/>
        <v>0</v>
      </c>
      <c r="R30" s="169">
        <f t="shared" si="5"/>
        <v>0</v>
      </c>
    </row>
    <row r="31" spans="1:18" x14ac:dyDescent="0.25">
      <c r="A31" s="100" t="s">
        <v>12</v>
      </c>
      <c r="B31" s="17">
        <f>+'[66]Final 2021 Capacity'!$D$17</f>
        <v>1214716</v>
      </c>
      <c r="C31" s="171">
        <f t="shared" si="0"/>
        <v>1214716</v>
      </c>
      <c r="D31" s="169">
        <f t="shared" ref="D31:D34" si="9">+B31/$B$38*$D$39</f>
        <v>48418579.759999998</v>
      </c>
      <c r="E31" s="169">
        <f t="shared" si="7"/>
        <v>44823020</v>
      </c>
      <c r="F31" s="465">
        <f>'Forecasted TOD kW by Period'!G14+'Forecasted TOD kW by Period'!H13+'Forecasted TOD kW by Period'!I13+'Forecasted TOD kW by Period'!J13+'Forecasted TOD kW by Period'!K13+'Forecasted TOD kW by Period'!L14</f>
        <v>8661727</v>
      </c>
      <c r="G31" s="464">
        <f>ROUND(D31/F31,2)</f>
        <v>5.59</v>
      </c>
      <c r="H31" s="464">
        <f>ROUND(E31/F31,2)</f>
        <v>5.17</v>
      </c>
      <c r="I31" s="173"/>
      <c r="J31" s="99" t="s">
        <v>12</v>
      </c>
      <c r="K31" s="99"/>
      <c r="M31" s="169">
        <f t="shared" si="1"/>
        <v>55933271.620857574</v>
      </c>
      <c r="N31" s="184">
        <f t="shared" si="2"/>
        <v>-7514691.8608575761</v>
      </c>
      <c r="O31" s="169">
        <f t="shared" si="6"/>
        <v>48418579.759999998</v>
      </c>
      <c r="P31" s="169">
        <f t="shared" si="3"/>
        <v>0</v>
      </c>
      <c r="Q31" s="169">
        <f t="shared" si="4"/>
        <v>44823020.399999999</v>
      </c>
      <c r="R31" s="169">
        <f t="shared" si="5"/>
        <v>0.39999999850988388</v>
      </c>
    </row>
    <row r="32" spans="1:18" x14ac:dyDescent="0.25">
      <c r="A32" s="100" t="s">
        <v>308</v>
      </c>
      <c r="B32" s="17">
        <f>+'[66]Final 2021 Capacity'!$D$18</f>
        <v>170</v>
      </c>
      <c r="C32" s="171">
        <f t="shared" si="0"/>
        <v>170</v>
      </c>
      <c r="D32" s="169">
        <f t="shared" si="9"/>
        <v>6776.2000000000007</v>
      </c>
      <c r="E32" s="169">
        <f t="shared" si="7"/>
        <v>6273</v>
      </c>
      <c r="F32" s="465">
        <f>SUM('Adj Sales Forecast'!B31:G31)</f>
        <v>395334</v>
      </c>
      <c r="G32" s="463">
        <f>ROUND(D32/F32,4)</f>
        <v>1.7100000000000001E-2</v>
      </c>
      <c r="H32" s="463">
        <f>ROUND(E32/F32,4)</f>
        <v>1.5900000000000001E-2</v>
      </c>
      <c r="I32" s="172"/>
      <c r="J32" s="99" t="s">
        <v>309</v>
      </c>
      <c r="K32" s="99"/>
      <c r="M32" s="169">
        <f t="shared" si="1"/>
        <v>7827.8841931330344</v>
      </c>
      <c r="N32" s="184">
        <f t="shared" si="2"/>
        <v>-1051.6841931330337</v>
      </c>
      <c r="O32" s="169">
        <f t="shared" si="6"/>
        <v>6776.2</v>
      </c>
      <c r="P32" s="169">
        <f t="shared" si="3"/>
        <v>0</v>
      </c>
      <c r="Q32" s="169">
        <f t="shared" si="4"/>
        <v>6273</v>
      </c>
      <c r="R32" s="169">
        <f t="shared" si="5"/>
        <v>0</v>
      </c>
    </row>
    <row r="33" spans="1:18" x14ac:dyDescent="0.25">
      <c r="A33" s="100" t="s">
        <v>310</v>
      </c>
      <c r="B33" s="17">
        <f>+'[66]Final 2021 Capacity'!$D$19</f>
        <v>23021</v>
      </c>
      <c r="C33" s="171">
        <f t="shared" si="0"/>
        <v>23021</v>
      </c>
      <c r="D33" s="169">
        <f t="shared" si="9"/>
        <v>917617.05999999994</v>
      </c>
      <c r="E33" s="169">
        <f t="shared" si="7"/>
        <v>849475</v>
      </c>
      <c r="F33" s="465">
        <f>SUM('Adj Demand Forecast '!B20:G20)</f>
        <v>127000</v>
      </c>
      <c r="G33" s="464">
        <f>ROUND(D33/F33,2)</f>
        <v>7.23</v>
      </c>
      <c r="H33" s="464">
        <f>ROUND(E33/F33,2)</f>
        <v>6.69</v>
      </c>
      <c r="I33" s="173"/>
      <c r="J33" s="99" t="s">
        <v>311</v>
      </c>
      <c r="K33" s="99"/>
      <c r="M33" s="169">
        <f t="shared" si="1"/>
        <v>1060033.6588830331</v>
      </c>
      <c r="N33" s="184">
        <f t="shared" si="2"/>
        <v>-142416.59888303315</v>
      </c>
      <c r="O33" s="169">
        <f t="shared" si="6"/>
        <v>917617.05999999994</v>
      </c>
      <c r="P33" s="169">
        <f t="shared" si="3"/>
        <v>0</v>
      </c>
      <c r="Q33" s="169">
        <f t="shared" si="4"/>
        <v>849474.9</v>
      </c>
      <c r="R33" s="169">
        <f t="shared" si="5"/>
        <v>-9.9999999976716936E-2</v>
      </c>
    </row>
    <row r="34" spans="1:18" x14ac:dyDescent="0.25">
      <c r="A34" s="100" t="s">
        <v>16</v>
      </c>
      <c r="B34" s="17">
        <f>+'[66]Final 2021 Capacity'!$D$20</f>
        <v>29085</v>
      </c>
      <c r="C34" s="171">
        <f t="shared" si="0"/>
        <v>29085</v>
      </c>
      <c r="D34" s="169">
        <f t="shared" si="9"/>
        <v>1159328.1000000001</v>
      </c>
      <c r="E34" s="169">
        <f t="shared" si="7"/>
        <v>1073237</v>
      </c>
      <c r="F34" s="99">
        <f>'Forecasted TOD kW by Period'!G18+'Forecasted TOD kW by Period'!H17+'Forecasted TOD kW by Period'!I17+'Forecasted TOD kW by Period'!J17+'Forecasted TOD kW by Period'!K17+'Forecasted TOD kW by Period'!L18</f>
        <v>127775</v>
      </c>
      <c r="G34" s="464">
        <f>ROUND(D34/F34,2)</f>
        <v>9.07</v>
      </c>
      <c r="H34" s="464">
        <f>ROUND(E34/F34,2)</f>
        <v>8.4</v>
      </c>
      <c r="I34" s="173"/>
      <c r="J34" s="99" t="s">
        <v>16</v>
      </c>
      <c r="K34" s="99"/>
      <c r="M34" s="169">
        <f t="shared" si="1"/>
        <v>1339258.892689849</v>
      </c>
      <c r="N34" s="184">
        <f t="shared" si="2"/>
        <v>-179930.79268984892</v>
      </c>
      <c r="O34" s="169">
        <f t="shared" si="6"/>
        <v>1159328.1000000001</v>
      </c>
      <c r="P34" s="169">
        <f t="shared" si="3"/>
        <v>0</v>
      </c>
      <c r="Q34" s="169">
        <f t="shared" si="4"/>
        <v>1073236.5</v>
      </c>
      <c r="R34" s="169">
        <f t="shared" si="5"/>
        <v>-0.5</v>
      </c>
    </row>
    <row r="35" spans="1:18" ht="13.5" x14ac:dyDescent="0.35">
      <c r="A35" s="100" t="s">
        <v>17</v>
      </c>
      <c r="B35" s="178">
        <f>+'[66]Final 2021 Capacity'!$D$21</f>
        <v>161</v>
      </c>
      <c r="C35" s="179">
        <f t="shared" si="0"/>
        <v>161</v>
      </c>
      <c r="D35" s="180">
        <f>+B35/$B$38*$D$39</f>
        <v>6417.46</v>
      </c>
      <c r="E35" s="180">
        <f t="shared" si="7"/>
        <v>5941</v>
      </c>
      <c r="F35" s="99">
        <f>'Forecasted TOD kW by Period'!G22+'Forecasted TOD kW by Period'!H21+'Forecasted TOD kW by Period'!I21+'Forecasted TOD kW by Period'!J21+'Forecasted TOD kW by Period'!K21+'Forecasted TOD kW by Period'!L22</f>
        <v>76158</v>
      </c>
      <c r="G35" s="464">
        <f>ROUND(D35/F35,2)</f>
        <v>0.08</v>
      </c>
      <c r="H35" s="464">
        <f>ROUND(E35/F35,2)</f>
        <v>0.08</v>
      </c>
      <c r="I35" s="173"/>
      <c r="J35" s="99" t="s">
        <v>17</v>
      </c>
      <c r="K35" s="181"/>
      <c r="M35" s="169">
        <f t="shared" si="1"/>
        <v>7413.4667946730515</v>
      </c>
      <c r="N35" s="184">
        <f t="shared" si="2"/>
        <v>-996.00679467305144</v>
      </c>
      <c r="O35" s="169">
        <f t="shared" si="6"/>
        <v>6417.46</v>
      </c>
      <c r="P35" s="169">
        <f t="shared" si="3"/>
        <v>0</v>
      </c>
      <c r="Q35" s="169">
        <f t="shared" si="4"/>
        <v>5940.9</v>
      </c>
      <c r="R35" s="169">
        <f t="shared" si="5"/>
        <v>-0.1000000000003638</v>
      </c>
    </row>
    <row r="36" spans="1:18" x14ac:dyDescent="0.25">
      <c r="A36" s="100" t="s">
        <v>162</v>
      </c>
      <c r="B36" s="99">
        <f>SUM(B20:B35)-SUM(B22:B23)</f>
        <v>10349640</v>
      </c>
      <c r="C36" s="99">
        <f>SUM(C20:C35)-SUM(C22:C23)</f>
        <v>10349640</v>
      </c>
      <c r="D36" s="99">
        <f>SUM(D20:D35)-SUM(D22:D23)</f>
        <v>476563431.53304344</v>
      </c>
      <c r="E36" s="99">
        <f>SUM(E20:E35)-SUM(E22:E23)</f>
        <v>381901717</v>
      </c>
      <c r="F36" s="99"/>
      <c r="G36" s="465"/>
      <c r="H36" s="465"/>
      <c r="I36" s="99"/>
      <c r="J36" s="99"/>
      <c r="K36" s="99"/>
      <c r="M36" s="169">
        <f t="shared" ref="M36:M38" si="10">B36/$B$36*$D$36</f>
        <v>476563431.53304344</v>
      </c>
      <c r="N36" s="184">
        <f t="shared" ref="N36:N38" si="11">+D36-M36</f>
        <v>0</v>
      </c>
      <c r="O36" s="169">
        <f>(B36*$B$16)+D18</f>
        <v>476563431.53304344</v>
      </c>
      <c r="P36" s="169">
        <f t="shared" ref="P36:P38" si="12">D36-O36</f>
        <v>0</v>
      </c>
      <c r="Q36" s="169">
        <f t="shared" ref="Q36:Q38" si="13">C36*$C$16</f>
        <v>381901716</v>
      </c>
      <c r="R36" s="169">
        <f t="shared" ref="R36:R38" si="14">Q36-E36</f>
        <v>-1</v>
      </c>
    </row>
    <row r="37" spans="1:18" x14ac:dyDescent="0.25">
      <c r="A37" s="549" t="s">
        <v>540</v>
      </c>
      <c r="B37" s="476">
        <f>+'[66]Final 2021 Capacity'!$C$48</f>
        <v>1708533.1910073189</v>
      </c>
      <c r="C37" s="476">
        <f>+'[66]Final 2021 Capacity'!$C$48</f>
        <v>1708533.1910073189</v>
      </c>
      <c r="D37" s="416">
        <f>+B37/$B$38*$D$39</f>
        <v>68102132.993551731</v>
      </c>
      <c r="E37" s="565">
        <f>C37/$C$38*$E$38</f>
        <v>63044874.74817007</v>
      </c>
      <c r="G37" s="195"/>
      <c r="H37" s="195"/>
      <c r="M37" s="169">
        <f>B37/$B$36*$D$36</f>
        <v>78671764.466643155</v>
      </c>
      <c r="N37" s="184">
        <f t="shared" si="11"/>
        <v>-10569631.473091424</v>
      </c>
      <c r="O37" s="169">
        <f t="shared" ref="O37:O38" si="15">B37*$B$16</f>
        <v>68102132.993551731</v>
      </c>
      <c r="P37" s="169">
        <f t="shared" si="12"/>
        <v>0</v>
      </c>
      <c r="Q37" s="169">
        <f t="shared" si="13"/>
        <v>63044874.748170063</v>
      </c>
      <c r="R37" s="169">
        <f t="shared" si="14"/>
        <v>0</v>
      </c>
    </row>
    <row r="38" spans="1:18" x14ac:dyDescent="0.25">
      <c r="A38" s="550" t="s">
        <v>541</v>
      </c>
      <c r="B38" s="563">
        <f>+B36+B37</f>
        <v>12058173.19100732</v>
      </c>
      <c r="C38" s="563">
        <f>+C36+C37</f>
        <v>12058173.19100732</v>
      </c>
      <c r="D38" s="564">
        <f>+D36+D37</f>
        <v>544665564.52659512</v>
      </c>
      <c r="E38" s="564">
        <f>+C38*C16</f>
        <v>444946590.74817008</v>
      </c>
      <c r="F38" s="183"/>
      <c r="G38" s="169"/>
      <c r="H38" s="10"/>
      <c r="I38" s="10"/>
      <c r="J38" s="10"/>
      <c r="K38" s="10"/>
      <c r="M38" s="169">
        <f t="shared" si="10"/>
        <v>555235195.99968672</v>
      </c>
      <c r="N38" s="184">
        <f t="shared" si="11"/>
        <v>-10569631.473091602</v>
      </c>
      <c r="O38" s="169">
        <f t="shared" si="15"/>
        <v>480638783.39355177</v>
      </c>
      <c r="P38" s="169">
        <f t="shared" si="12"/>
        <v>64026781.133043349</v>
      </c>
      <c r="Q38" s="169">
        <f t="shared" si="13"/>
        <v>444946590.74817008</v>
      </c>
      <c r="R38" s="169">
        <f t="shared" si="14"/>
        <v>0</v>
      </c>
    </row>
    <row r="39" spans="1:18" x14ac:dyDescent="0.25">
      <c r="A39" s="15"/>
      <c r="B39" s="10"/>
      <c r="C39" s="718">
        <f>+D38-D39</f>
        <v>64026781.133043349</v>
      </c>
      <c r="D39" s="476">
        <f>+B38*B16</f>
        <v>480638783.39355177</v>
      </c>
      <c r="E39" s="476">
        <f>+C38*C16</f>
        <v>444946590.74817008</v>
      </c>
      <c r="F39" s="183"/>
      <c r="G39" s="416"/>
      <c r="H39" s="463"/>
      <c r="I39" s="172"/>
      <c r="J39" s="68"/>
      <c r="K39" s="10"/>
      <c r="M39" s="169"/>
      <c r="N39" s="184"/>
      <c r="O39" s="169"/>
      <c r="P39" s="169"/>
      <c r="Q39" s="169"/>
      <c r="R39" s="169"/>
    </row>
    <row r="40" spans="1:18" x14ac:dyDescent="0.25">
      <c r="A40" s="550" t="s">
        <v>543</v>
      </c>
      <c r="B40" s="161"/>
      <c r="C40" s="161"/>
      <c r="D40" s="694">
        <f>+D20</f>
        <v>265065474.33304349</v>
      </c>
      <c r="E40" s="694">
        <f>E20</f>
        <v>186109578</v>
      </c>
      <c r="F40" s="476">
        <f>ROUND(('Adj Sales Forecast'!$B$6*'TODS On Off %'!E11)+('Adj Sales Forecast'!$C$6*'TODS On Off %'!E7)+('TODS On Off %'!E7*'Adj Sales Forecast'!$D$6)+('TODS On Off %'!E7*'Adj Sales Forecast'!$E$6)+('TODS On Off %'!E7*'Adj Sales Forecast'!$F$6)+('TODS On Off %'!E11*'Adj Sales Forecast'!$G$6),0)</f>
        <v>3401344000</v>
      </c>
      <c r="G40" s="463">
        <f>ROUND(D40/F40,4)</f>
        <v>7.7899999999999997E-2</v>
      </c>
      <c r="H40" s="463">
        <f>ROUND(E40/F40,4)</f>
        <v>5.4699999999999999E-2</v>
      </c>
      <c r="I40" s="172"/>
      <c r="J40" s="68" t="s">
        <v>313</v>
      </c>
      <c r="K40" s="161"/>
      <c r="M40" s="169"/>
      <c r="N40" s="184"/>
      <c r="O40" s="169"/>
      <c r="P40" s="169"/>
      <c r="Q40" s="169"/>
      <c r="R40" s="169"/>
    </row>
    <row r="41" spans="1:18" x14ac:dyDescent="0.25">
      <c r="A41" s="550" t="s">
        <v>42</v>
      </c>
      <c r="B41" s="751"/>
      <c r="C41" s="751"/>
      <c r="D41" s="694">
        <f>+D40</f>
        <v>265065474.33304349</v>
      </c>
      <c r="E41" s="694">
        <f t="shared" ref="E41" si="16">+E40</f>
        <v>186109578</v>
      </c>
      <c r="F41" s="476">
        <f>+F42</f>
        <v>1876224600</v>
      </c>
      <c r="G41" s="463">
        <f>ROUND(D41/F41,4)</f>
        <v>0.14130000000000001</v>
      </c>
      <c r="H41" s="463">
        <f>ROUND(E41/F41,4)</f>
        <v>9.9199999999999997E-2</v>
      </c>
      <c r="I41" s="172"/>
      <c r="J41" s="461" t="s">
        <v>479</v>
      </c>
      <c r="K41" s="472"/>
      <c r="M41" s="169"/>
      <c r="N41" s="184"/>
      <c r="O41" s="169"/>
      <c r="P41" s="169"/>
      <c r="Q41" s="169"/>
      <c r="R41" s="169"/>
    </row>
    <row r="42" spans="1:18" s="27" customFormat="1" x14ac:dyDescent="0.25">
      <c r="A42" s="550" t="s">
        <v>314</v>
      </c>
      <c r="B42" s="751"/>
      <c r="C42" s="751"/>
      <c r="D42" s="694">
        <f>+D41</f>
        <v>265065474.33304349</v>
      </c>
      <c r="E42" s="694">
        <f>E20</f>
        <v>186109578</v>
      </c>
      <c r="F42" s="476">
        <f>ROUND(('Adj Sales Forecast'!$B$6*'TODS On Off %'!L9)+('Adj Sales Forecast'!$C$6*'TODS On Off %'!L5)+('Adj Sales Forecast'!$D$6*'TODS On Off %'!L5)+('Adj Sales Forecast'!$E$6*'TODS On Off %'!L5)+('Adj Sales Forecast'!$F$6*'TODS On Off %'!L5)+('Adj Sales Forecast'!$G$6*'TODS On Off %'!L9),0)</f>
        <v>1876224600</v>
      </c>
      <c r="G42" s="463">
        <f>ROUND(D42/F42,4)</f>
        <v>0.14130000000000001</v>
      </c>
      <c r="H42" s="463">
        <f>ROUND(E42/F42,4)</f>
        <v>9.9199999999999997E-2</v>
      </c>
      <c r="I42" s="172"/>
      <c r="J42" s="68" t="s">
        <v>315</v>
      </c>
      <c r="K42" s="161"/>
      <c r="M42" s="15"/>
      <c r="N42" s="15"/>
      <c r="O42" s="15"/>
      <c r="P42" s="15"/>
      <c r="Q42" s="15"/>
      <c r="R42" s="15"/>
    </row>
    <row r="43" spans="1:18" x14ac:dyDescent="0.25">
      <c r="A43" s="15" t="s">
        <v>316</v>
      </c>
      <c r="B43" s="161"/>
      <c r="C43" s="161"/>
      <c r="D43" s="184">
        <f>D21</f>
        <v>23696530.84</v>
      </c>
      <c r="E43" s="184">
        <f>E21</f>
        <v>21936829</v>
      </c>
      <c r="F43" s="8">
        <f>ROUND(('TODS On Off %'!E27*'Adj Sales Forecast'!B13)+('Adj Sales Forecast'!C13*'TODS On Off %'!E23)+('TODS On Off %'!E23*'Adj Sales Forecast'!D13)+('TODS On Off %'!E23*'Adj Sales Forecast'!E13)+('TODS On Off %'!E23*'Adj Sales Forecast'!F13)+('TODS On Off %'!E27*'Adj Sales Forecast'!G13),0)</f>
        <v>574591400</v>
      </c>
      <c r="G43" s="463">
        <f>ROUND(D43/F43,4)</f>
        <v>4.1200000000000001E-2</v>
      </c>
      <c r="H43" s="463">
        <f>ROUND(E43/F43,4)</f>
        <v>3.8199999999999998E-2</v>
      </c>
      <c r="I43" s="172"/>
      <c r="J43" s="68" t="s">
        <v>317</v>
      </c>
      <c r="K43" s="161"/>
    </row>
    <row r="44" spans="1:18" hidden="1" x14ac:dyDescent="0.25">
      <c r="A44" s="68" t="s">
        <v>318</v>
      </c>
      <c r="D44" s="184">
        <f>D26</f>
        <v>0</v>
      </c>
      <c r="E44" s="184">
        <f>E26</f>
        <v>0</v>
      </c>
      <c r="F44" s="8" t="e">
        <f>ROUND(('TODS On Off %'!E43*'Adj Sales Forecast'!B19)+('Adj Sales Forecast'!C19*'TODS On Off %'!E39)+('TODS On Off %'!E39*'Adj Sales Forecast'!D19)+('TODS On Off %'!E39*'Adj Sales Forecast'!E19)+('TODS On Off %'!E39*'Adj Sales Forecast'!F19)+('TODS On Off %'!E43*'Adj Sales Forecast'!G19),0)</f>
        <v>#DIV/0!</v>
      </c>
      <c r="G44" s="463" t="e">
        <f>ROUND(D44/F44,4)</f>
        <v>#DIV/0!</v>
      </c>
      <c r="H44" s="463" t="e">
        <f>ROUND(E44/F44,4)</f>
        <v>#DIV/0!</v>
      </c>
      <c r="I44" s="172"/>
      <c r="J44" s="68" t="s">
        <v>319</v>
      </c>
    </row>
    <row r="45" spans="1:18" x14ac:dyDescent="0.25">
      <c r="A45" s="68" t="s">
        <v>320</v>
      </c>
      <c r="B45" s="169"/>
      <c r="C45" s="169"/>
      <c r="D45" s="169">
        <f>D27</f>
        <v>15319194.499999998</v>
      </c>
      <c r="E45" s="169">
        <f>E27</f>
        <v>14181593</v>
      </c>
      <c r="F45" s="8">
        <f>'Forecasted Conv kW by Period'!G23+'Forecasted Conv kW by Period'!H22+'Forecasted Conv kW by Period'!I22+'Forecasted Conv kW by Period'!J22+'Forecasted Conv kW by Period'!K22+'Forecasted Conv kW by Period'!L23+'Forecasted TOD kW by Period'!G26+'Forecasted TOD kW by Period'!H25+'Forecasted TOD kW by Period'!I25+'Forecasted TOD kW by Period'!J25+'Forecasted TOD kW by Period'!K25+'Forecasted TOD kW by Period'!L26</f>
        <v>1880637</v>
      </c>
      <c r="G45" s="464">
        <f>ROUND(D45/F45,2)</f>
        <v>8.15</v>
      </c>
      <c r="H45" s="464">
        <f>ROUND(E45/F45,2)</f>
        <v>7.54</v>
      </c>
      <c r="I45" s="169"/>
      <c r="J45" s="68" t="s">
        <v>321</v>
      </c>
      <c r="K45" s="169"/>
    </row>
    <row r="46" spans="1:18" x14ac:dyDescent="0.25">
      <c r="A46" s="550" t="s">
        <v>322</v>
      </c>
      <c r="B46" s="416"/>
      <c r="C46" s="416"/>
      <c r="D46" s="416">
        <f>D29+D30</f>
        <v>119990199.26000001</v>
      </c>
      <c r="E46" s="416">
        <f>E29+E30</f>
        <v>111079738</v>
      </c>
      <c r="F46" s="476">
        <f>'Forecasted Conv kW by Period'!G26+'Forecasted Conv kW by Period'!H25+'Forecasted Conv kW by Period'!I25+'Forecasted Conv kW by Period'!J25+'Forecasted Conv kW by Period'!K25+'Forecasted Conv kW by Period'!L26+'Forecasted TOD kW by Period'!G30+'Forecasted TOD kW by Period'!H29+'Forecasted TOD kW by Period'!I29+'Forecasted TOD kW by Period'!J29+'Forecasted TOD kW by Period'!K29+'Forecasted TOD kW by Period'!L30</f>
        <v>23746480</v>
      </c>
      <c r="G46" s="464">
        <f>ROUND(D46/F46,2)</f>
        <v>5.05</v>
      </c>
      <c r="H46" s="464">
        <f>ROUND(E46/F46,2)</f>
        <v>4.68</v>
      </c>
      <c r="I46" s="169"/>
      <c r="J46" s="68" t="s">
        <v>323</v>
      </c>
      <c r="K46" s="169"/>
    </row>
    <row r="47" spans="1:18" x14ac:dyDescent="0.25">
      <c r="A47" s="15" t="s">
        <v>324</v>
      </c>
      <c r="B47" s="169"/>
      <c r="C47" s="169"/>
      <c r="D47" s="169">
        <f>D33</f>
        <v>917617.05999999994</v>
      </c>
      <c r="E47" s="169">
        <f>E33</f>
        <v>849475</v>
      </c>
      <c r="F47" s="8">
        <f>'Forecasted Conv kW by Period'!G29+'Forecasted Conv kW by Period'!H28+'Forecasted Conv kW by Period'!I28+'Forecasted Conv kW by Period'!J28+'Forecasted Conv kW by Period'!K28+'Forecasted Conv kW by Period'!L29</f>
        <v>119300</v>
      </c>
      <c r="G47" s="464">
        <f>ROUND(D47/F47,2)</f>
        <v>7.69</v>
      </c>
      <c r="H47" s="464">
        <f>ROUND(E47/F47,2)</f>
        <v>7.12</v>
      </c>
      <c r="I47" s="169"/>
      <c r="J47" s="68" t="s">
        <v>325</v>
      </c>
      <c r="K47" s="169"/>
    </row>
    <row r="48" spans="1:18" x14ac:dyDescent="0.25">
      <c r="A48" s="15" t="s">
        <v>326</v>
      </c>
      <c r="B48" s="169"/>
      <c r="C48" s="169"/>
      <c r="D48" s="169">
        <f>D43</f>
        <v>23696530.84</v>
      </c>
      <c r="E48" s="169">
        <f>E43</f>
        <v>21936829</v>
      </c>
      <c r="F48" s="8">
        <f>F43</f>
        <v>574591400</v>
      </c>
      <c r="G48" s="463">
        <f>G43</f>
        <v>4.1200000000000001E-2</v>
      </c>
      <c r="H48" s="463">
        <f>H43</f>
        <v>3.8199999999999998E-2</v>
      </c>
      <c r="I48" s="169"/>
      <c r="J48" s="68" t="s">
        <v>317</v>
      </c>
      <c r="K48" s="169"/>
    </row>
    <row r="49" spans="1:11" x14ac:dyDescent="0.25">
      <c r="A49" s="100"/>
      <c r="B49" s="169"/>
      <c r="C49" s="169"/>
      <c r="D49" s="169"/>
      <c r="E49" s="169"/>
      <c r="F49" s="169"/>
      <c r="G49" s="416"/>
      <c r="H49" s="416"/>
      <c r="I49" s="169"/>
      <c r="J49" s="169"/>
      <c r="K49" s="169"/>
    </row>
    <row r="50" spans="1:11" x14ac:dyDescent="0.25">
      <c r="A50" s="100" t="s">
        <v>542</v>
      </c>
      <c r="B50" s="169"/>
      <c r="C50" s="169"/>
      <c r="D50" s="720">
        <f>SUM('SC 1 Rate III MSC Cap'!O141:O147)</f>
        <v>536290068.13304347</v>
      </c>
      <c r="E50" s="185">
        <f>SUM('SC 1 Rate III MSC Cap'!P141:P147)</f>
        <v>195435192</v>
      </c>
      <c r="F50" s="17">
        <f>SUM('SC 1 Rate III MSC Cap'!Z148:Z151)</f>
        <v>747091134.03340673</v>
      </c>
      <c r="G50" s="753">
        <f>+'SC 1 Rate III MSC Cap'!AC148</f>
        <v>0.71784000000000003</v>
      </c>
      <c r="H50" s="753">
        <f>+'SC 1 Rate III MSC Cap'!AD148</f>
        <v>0.26158999999999999</v>
      </c>
      <c r="I50" s="169"/>
      <c r="J50" s="68" t="s">
        <v>328</v>
      </c>
      <c r="K50" s="169"/>
    </row>
    <row r="51" spans="1:11" x14ac:dyDescent="0.25">
      <c r="A51" s="742" t="s">
        <v>626</v>
      </c>
      <c r="B51" s="652"/>
      <c r="C51" s="652"/>
      <c r="D51" s="652">
        <f>+D50</f>
        <v>536290068.13304347</v>
      </c>
      <c r="E51" s="652">
        <f>+E50</f>
        <v>195435192</v>
      </c>
      <c r="F51" s="652">
        <f>+[67]Summary!$E$10</f>
        <v>43073843.123111241</v>
      </c>
      <c r="G51" s="750">
        <f>+[67]Summary!$E$13</f>
        <v>12.450481060331809</v>
      </c>
      <c r="H51" s="750">
        <f>+[67]Summary!$F$13</f>
        <v>4.5372127915639684</v>
      </c>
      <c r="I51" s="652"/>
      <c r="J51" s="652" t="s">
        <v>627</v>
      </c>
      <c r="K51" s="169"/>
    </row>
    <row r="52" spans="1:11" x14ac:dyDescent="0.25">
      <c r="A52" s="15"/>
      <c r="C52" s="169"/>
      <c r="D52" s="695"/>
      <c r="E52" s="169"/>
      <c r="F52" s="169"/>
      <c r="G52" s="169"/>
      <c r="H52" s="574"/>
      <c r="I52" s="169"/>
      <c r="J52" s="169"/>
      <c r="K52" s="169"/>
    </row>
    <row r="53" spans="1:11" x14ac:dyDescent="0.25">
      <c r="A53" s="15" t="s">
        <v>621</v>
      </c>
      <c r="C53" s="169"/>
      <c r="D53" s="743" t="s">
        <v>631</v>
      </c>
      <c r="E53" s="59"/>
      <c r="F53" s="59"/>
      <c r="G53" s="169"/>
      <c r="H53" s="574"/>
      <c r="I53" s="169"/>
      <c r="J53" s="169"/>
      <c r="K53" s="169"/>
    </row>
    <row r="54" spans="1:11" x14ac:dyDescent="0.25">
      <c r="A54" s="15" t="s">
        <v>630</v>
      </c>
      <c r="C54" s="169"/>
      <c r="D54" s="695" t="s">
        <v>633</v>
      </c>
      <c r="E54" s="169"/>
      <c r="F54" s="169"/>
      <c r="G54" s="169"/>
      <c r="H54" s="169"/>
      <c r="I54" s="169"/>
      <c r="J54" s="169"/>
      <c r="K54" s="169"/>
    </row>
    <row r="55" spans="1:11" x14ac:dyDescent="0.25">
      <c r="A55" s="752" t="s">
        <v>629</v>
      </c>
      <c r="B55" s="191"/>
      <c r="C55" s="169"/>
      <c r="D55" s="169"/>
      <c r="E55" s="169"/>
      <c r="F55" s="169"/>
      <c r="G55" s="169"/>
      <c r="H55" s="169"/>
      <c r="I55" s="169"/>
      <c r="J55" s="169"/>
      <c r="K55" s="169"/>
    </row>
    <row r="56" spans="1:11" x14ac:dyDescent="0.25">
      <c r="C56" s="169"/>
      <c r="D56" s="169"/>
      <c r="E56" s="169"/>
      <c r="F56" s="169"/>
      <c r="G56" s="169"/>
      <c r="H56" s="169"/>
      <c r="I56" s="169"/>
      <c r="J56" s="169"/>
      <c r="K56" s="169"/>
    </row>
    <row r="57" spans="1:11" x14ac:dyDescent="0.25">
      <c r="A57" s="100" t="s">
        <v>329</v>
      </c>
      <c r="B57" s="8">
        <f>+B29</f>
        <v>3010291</v>
      </c>
      <c r="C57" s="99">
        <f>B57</f>
        <v>3010291</v>
      </c>
      <c r="D57" s="169">
        <f>ROUND(B57*$B$16,0)</f>
        <v>119990199</v>
      </c>
      <c r="E57" s="169">
        <f>ROUND($C$16*C57,0)</f>
        <v>111079738</v>
      </c>
      <c r="F57" s="8">
        <f>+'Adj Sales Forecast'!B25+'Adj Sales Forecast'!C25+'Adj Sales Forecast'!D25+'Adj Sales Forecast'!E25+'Adj Sales Forecast'!F25+'Adj Sales Forecast'!G25+'Adj Sales Forecast'!B29+'Adj Sales Forecast'!C29+'Adj Sales Forecast'!D29+'Adj Sales Forecast'!E29+'Adj Sales Forecast'!F29+'Adj Sales Forecast'!G29</f>
        <v>9028000000</v>
      </c>
      <c r="G57" s="170">
        <f>ROUND(D57/F57,5)</f>
        <v>1.329E-2</v>
      </c>
      <c r="H57" s="170">
        <f>ROUND(E57/F57,5)</f>
        <v>1.23E-2</v>
      </c>
      <c r="I57" s="8"/>
      <c r="J57" s="99" t="s">
        <v>330</v>
      </c>
      <c r="K57" s="169"/>
    </row>
    <row r="58" spans="1:11" x14ac:dyDescent="0.25">
      <c r="C58" s="169"/>
      <c r="D58" s="169"/>
      <c r="E58" s="169"/>
      <c r="F58" s="169"/>
      <c r="G58" s="169"/>
      <c r="H58" s="169"/>
      <c r="I58" s="169"/>
      <c r="J58" s="169"/>
      <c r="K58" s="169"/>
    </row>
    <row r="59" spans="1:11" x14ac:dyDescent="0.25">
      <c r="C59" s="169"/>
      <c r="D59" s="169"/>
      <c r="E59" s="169"/>
      <c r="F59" s="169"/>
      <c r="G59" s="169"/>
      <c r="H59" s="169"/>
      <c r="I59" s="169"/>
      <c r="J59" s="169"/>
      <c r="K59" s="169"/>
    </row>
    <row r="60" spans="1:11" x14ac:dyDescent="0.25">
      <c r="C60" s="169"/>
      <c r="D60" s="169"/>
      <c r="E60" s="169"/>
      <c r="F60" s="169"/>
      <c r="G60" s="169"/>
      <c r="H60" s="169"/>
      <c r="I60" s="169"/>
      <c r="J60" s="169"/>
      <c r="K60" s="169"/>
    </row>
    <row r="61" spans="1:11" x14ac:dyDescent="0.25">
      <c r="C61" s="169"/>
      <c r="D61" s="169"/>
      <c r="E61" s="169"/>
      <c r="F61" s="169"/>
      <c r="G61" s="169"/>
      <c r="H61" s="169"/>
      <c r="I61" s="169"/>
      <c r="J61" s="169"/>
      <c r="K61" s="169"/>
    </row>
    <row r="62" spans="1:11" x14ac:dyDescent="0.25">
      <c r="C62" s="169"/>
      <c r="D62" s="169"/>
      <c r="E62" s="169"/>
      <c r="F62" s="169"/>
      <c r="G62" s="169"/>
      <c r="H62" s="169"/>
      <c r="I62" s="169"/>
      <c r="J62" s="169"/>
      <c r="K62" s="169"/>
    </row>
    <row r="63" spans="1:11" x14ac:dyDescent="0.25">
      <c r="C63" s="169"/>
      <c r="D63" s="169"/>
      <c r="E63" s="169"/>
      <c r="F63" s="169"/>
      <c r="G63" s="169"/>
      <c r="H63" s="169"/>
      <c r="I63" s="169"/>
      <c r="J63" s="169"/>
      <c r="K63" s="169"/>
    </row>
    <row r="64" spans="1:11" x14ac:dyDescent="0.25">
      <c r="C64" s="169"/>
      <c r="D64" s="169"/>
      <c r="E64" s="169"/>
      <c r="F64" s="169"/>
      <c r="G64" s="169"/>
      <c r="H64" s="169"/>
      <c r="I64" s="169"/>
      <c r="J64" s="169"/>
      <c r="K64" s="169"/>
    </row>
    <row r="65" spans="1:11" x14ac:dyDescent="0.25">
      <c r="C65" s="169"/>
      <c r="D65" s="169"/>
      <c r="E65" s="169"/>
      <c r="F65" s="169"/>
      <c r="G65" s="169"/>
      <c r="H65" s="169"/>
      <c r="I65" s="169"/>
      <c r="J65" s="169"/>
      <c r="K65" s="169"/>
    </row>
    <row r="66" spans="1:11" ht="13" thickBot="1" x14ac:dyDescent="0.3">
      <c r="C66" s="169"/>
      <c r="D66" s="169"/>
      <c r="E66" s="169"/>
      <c r="F66" s="169"/>
      <c r="G66" s="169"/>
      <c r="H66" s="169"/>
      <c r="I66" s="169"/>
      <c r="J66" s="169"/>
      <c r="K66" s="169"/>
    </row>
    <row r="67" spans="1:11" ht="14.5" x14ac:dyDescent="0.35">
      <c r="A67" s="575" t="s">
        <v>544</v>
      </c>
      <c r="B67" s="576">
        <v>2020</v>
      </c>
      <c r="C67" s="577">
        <v>2019</v>
      </c>
      <c r="D67" s="576" t="s">
        <v>104</v>
      </c>
      <c r="E67" s="578" t="s">
        <v>545</v>
      </c>
      <c r="F67" s="169"/>
      <c r="G67" s="169"/>
      <c r="H67" s="169"/>
      <c r="I67" s="169"/>
      <c r="J67" s="169"/>
      <c r="K67" s="169"/>
    </row>
    <row r="68" spans="1:11" ht="14.5" x14ac:dyDescent="0.35">
      <c r="A68" s="579" t="s">
        <v>546</v>
      </c>
      <c r="B68" s="580">
        <f>+'[68]Final 2020 Capacity'!$D$77+'[68]Final 2020 Capacity'!$D$82</f>
        <v>5584200</v>
      </c>
      <c r="C68" s="580">
        <f>+'[68]Final 2020 Capacity'!$F$77+'[68]Final 2020 Capacity'!$F$82</f>
        <v>4009646</v>
      </c>
      <c r="D68" s="580">
        <f>+B68-C68</f>
        <v>1574554</v>
      </c>
      <c r="E68" s="581">
        <f>+D68/C68</f>
        <v>0.39269152438893606</v>
      </c>
      <c r="F68" s="169"/>
      <c r="G68" s="169"/>
      <c r="H68" s="169"/>
      <c r="I68" s="169"/>
      <c r="J68" s="169"/>
      <c r="K68" s="169"/>
    </row>
    <row r="69" spans="1:11" ht="14.5" x14ac:dyDescent="0.35">
      <c r="A69" s="594" t="s">
        <v>548</v>
      </c>
      <c r="B69" s="582">
        <f>+'Capacity Estimates'!$AB$30</f>
        <v>106.29</v>
      </c>
      <c r="C69" s="582">
        <f>+'Capacity Estimates'!$AA$30</f>
        <v>75.39</v>
      </c>
      <c r="D69" s="582">
        <f>+B69-C69</f>
        <v>30.900000000000006</v>
      </c>
      <c r="E69" s="581">
        <f>+D69/C69</f>
        <v>0.40986868284918432</v>
      </c>
      <c r="F69" s="169"/>
      <c r="G69" s="169"/>
      <c r="H69" s="169"/>
      <c r="I69" s="169"/>
      <c r="J69" s="169"/>
      <c r="K69" s="169"/>
    </row>
    <row r="70" spans="1:11" ht="14.5" x14ac:dyDescent="0.35">
      <c r="A70" s="579" t="s">
        <v>254</v>
      </c>
      <c r="B70" s="583">
        <f>+'Capacity Estimates'!$U$16</f>
        <v>0.86599999999999999</v>
      </c>
      <c r="C70" s="583">
        <f>+'Capacity Estimates'!$S$16</f>
        <v>0.82799999999999996</v>
      </c>
      <c r="D70" s="584">
        <f>+B70-C70</f>
        <v>3.8000000000000034E-2</v>
      </c>
      <c r="E70" s="581">
        <f>+D70/C70</f>
        <v>4.5893719806763329E-2</v>
      </c>
      <c r="F70" s="169"/>
      <c r="G70" s="169"/>
      <c r="H70" s="169"/>
      <c r="I70" s="169"/>
      <c r="J70" s="169"/>
      <c r="K70" s="169"/>
    </row>
    <row r="71" spans="1:11" ht="13" x14ac:dyDescent="0.3">
      <c r="A71" s="585" t="s">
        <v>162</v>
      </c>
      <c r="B71" s="586"/>
      <c r="C71" s="586"/>
      <c r="D71" s="586"/>
      <c r="E71" s="587">
        <f>SUM(E68:E70)</f>
        <v>0.84845392704488376</v>
      </c>
      <c r="F71" s="169"/>
      <c r="G71" s="169"/>
      <c r="H71" s="169"/>
      <c r="I71" s="169"/>
      <c r="J71" s="169"/>
      <c r="K71" s="169"/>
    </row>
    <row r="72" spans="1:11" ht="14.5" x14ac:dyDescent="0.35">
      <c r="A72" s="588"/>
      <c r="B72" s="589"/>
      <c r="C72" s="589"/>
      <c r="D72" s="589"/>
      <c r="E72" s="590"/>
      <c r="F72" s="169"/>
      <c r="G72" s="169"/>
      <c r="H72" s="169"/>
      <c r="I72" s="169"/>
      <c r="J72" s="169"/>
      <c r="K72" s="169"/>
    </row>
    <row r="73" spans="1:11" ht="15" thickBot="1" x14ac:dyDescent="0.4">
      <c r="A73" s="591" t="s">
        <v>547</v>
      </c>
      <c r="B73" s="592">
        <f>+'May - Oct Capacity MSC by Class'!$G$20</f>
        <v>3.4700000000000002E-2</v>
      </c>
      <c r="C73" s="592">
        <f>+'[59]May - Oct Capacity MSC by Class'!$G$20</f>
        <v>4.1180000000000001E-2</v>
      </c>
      <c r="D73" s="592">
        <f>+B73-C73</f>
        <v>-6.4799999999999996E-3</v>
      </c>
      <c r="E73" s="593">
        <f>+D73/C73</f>
        <v>-0.15735794074793588</v>
      </c>
      <c r="F73" s="169"/>
      <c r="G73" s="169"/>
      <c r="H73" s="169"/>
      <c r="I73" s="169"/>
      <c r="J73" s="169"/>
      <c r="K73" s="169"/>
    </row>
    <row r="74" spans="1:11" x14ac:dyDescent="0.25">
      <c r="C74" s="169"/>
      <c r="D74" s="169"/>
      <c r="E74" s="169"/>
      <c r="F74" s="169"/>
      <c r="G74" s="169"/>
      <c r="H74" s="169"/>
      <c r="I74" s="169"/>
      <c r="J74" s="169"/>
      <c r="K74" s="169"/>
    </row>
    <row r="75" spans="1:11" x14ac:dyDescent="0.25">
      <c r="C75" s="169"/>
      <c r="D75" s="169"/>
      <c r="E75" s="169"/>
      <c r="F75" s="169"/>
      <c r="G75" s="169"/>
      <c r="H75" s="169"/>
      <c r="I75" s="169"/>
      <c r="J75" s="169"/>
      <c r="K75" s="169"/>
    </row>
    <row r="76" spans="1:11" x14ac:dyDescent="0.25">
      <c r="C76" s="169"/>
      <c r="D76" s="169"/>
      <c r="E76" s="169"/>
      <c r="F76" s="169"/>
      <c r="G76" s="169"/>
      <c r="H76" s="169"/>
      <c r="I76" s="169"/>
      <c r="J76" s="169"/>
      <c r="K76" s="169"/>
    </row>
    <row r="77" spans="1:11" x14ac:dyDescent="0.25">
      <c r="C77" s="169"/>
      <c r="D77" s="184"/>
      <c r="E77" s="184"/>
      <c r="F77" s="184"/>
      <c r="G77" s="184"/>
      <c r="H77" s="184"/>
      <c r="I77" s="184"/>
      <c r="J77" s="184"/>
      <c r="K77" s="184"/>
    </row>
    <row r="78" spans="1:11" x14ac:dyDescent="0.25">
      <c r="C78" s="169"/>
      <c r="D78" s="184"/>
      <c r="E78" s="184"/>
      <c r="F78" s="184"/>
      <c r="G78" s="184"/>
      <c r="H78" s="184"/>
      <c r="I78" s="184"/>
      <c r="J78" s="184"/>
      <c r="K78" s="184"/>
    </row>
    <row r="79" spans="1:11" x14ac:dyDescent="0.25">
      <c r="C79" s="169"/>
      <c r="D79" s="184"/>
      <c r="E79" s="184"/>
      <c r="F79" s="184"/>
      <c r="G79" s="184"/>
      <c r="H79" s="184"/>
      <c r="I79" s="184"/>
      <c r="J79" s="184"/>
      <c r="K79" s="184"/>
    </row>
    <row r="80" spans="1:11" x14ac:dyDescent="0.25">
      <c r="C80" s="186"/>
      <c r="D80" s="184"/>
      <c r="E80" s="184"/>
      <c r="F80" s="184"/>
      <c r="G80" s="184"/>
      <c r="H80" s="184"/>
      <c r="I80" s="184"/>
      <c r="J80" s="184"/>
      <c r="K80" s="184"/>
    </row>
    <row r="81" spans="1:11" x14ac:dyDescent="0.25">
      <c r="C81" s="10"/>
      <c r="D81" s="184"/>
      <c r="E81" s="184"/>
      <c r="F81" s="184"/>
      <c r="G81" s="184"/>
      <c r="H81" s="184"/>
      <c r="I81" s="184"/>
      <c r="J81" s="184"/>
      <c r="K81" s="184"/>
    </row>
    <row r="82" spans="1:11" x14ac:dyDescent="0.25">
      <c r="C82" s="58"/>
      <c r="D82" s="15"/>
      <c r="E82" s="15"/>
      <c r="F82" s="15"/>
      <c r="G82" s="15"/>
      <c r="H82" s="15"/>
      <c r="I82" s="15"/>
      <c r="J82" s="15"/>
      <c r="K82" s="15"/>
    </row>
    <row r="83" spans="1:11" x14ac:dyDescent="0.25">
      <c r="C83" s="169"/>
      <c r="D83" s="15"/>
      <c r="E83" s="15"/>
      <c r="F83" s="99"/>
      <c r="G83" s="15"/>
      <c r="H83" s="15"/>
      <c r="I83" s="15"/>
      <c r="J83" s="15"/>
      <c r="K83" s="15"/>
    </row>
    <row r="84" spans="1:11" x14ac:dyDescent="0.25">
      <c r="C84" s="169"/>
      <c r="D84" s="10"/>
      <c r="E84" s="10"/>
      <c r="F84" s="10"/>
      <c r="G84" s="10"/>
      <c r="H84" s="10"/>
      <c r="I84" s="10"/>
      <c r="J84" s="10"/>
      <c r="K84" s="10"/>
    </row>
    <row r="85" spans="1:11" x14ac:dyDescent="0.25">
      <c r="C85" s="15"/>
      <c r="D85" s="8"/>
      <c r="E85" s="8"/>
      <c r="F85" s="8"/>
      <c r="G85" s="8"/>
      <c r="H85" s="8"/>
      <c r="I85" s="8"/>
      <c r="J85" s="8"/>
      <c r="K85" s="8"/>
    </row>
    <row r="86" spans="1:11" x14ac:dyDescent="0.25">
      <c r="C86" s="8"/>
      <c r="D86" s="8"/>
      <c r="E86" s="8"/>
      <c r="F86" s="8"/>
      <c r="G86" s="8"/>
      <c r="H86" s="8"/>
      <c r="I86" s="8"/>
      <c r="J86" s="8"/>
      <c r="K86" s="8"/>
    </row>
    <row r="87" spans="1:11" x14ac:dyDescent="0.25">
      <c r="C87" s="8"/>
      <c r="D87" s="8"/>
      <c r="E87" s="8"/>
      <c r="F87" s="8"/>
      <c r="G87" s="8"/>
      <c r="H87" s="8"/>
      <c r="I87" s="8"/>
      <c r="J87" s="8"/>
      <c r="K87" s="8"/>
    </row>
    <row r="89" spans="1:11" x14ac:dyDescent="0.25">
      <c r="C89" s="8"/>
      <c r="D89" s="8"/>
      <c r="E89" s="8"/>
      <c r="F89" s="8"/>
      <c r="G89" s="8"/>
      <c r="H89" s="8"/>
      <c r="I89" s="8"/>
      <c r="J89" s="8"/>
      <c r="K89" s="8"/>
    </row>
    <row r="90" spans="1:11" x14ac:dyDescent="0.25">
      <c r="C90" s="8"/>
      <c r="D90" s="8"/>
      <c r="E90" s="8"/>
      <c r="F90" s="8"/>
      <c r="G90" s="8"/>
      <c r="H90" s="8"/>
      <c r="I90" s="8"/>
      <c r="J90" s="8"/>
      <c r="K90" s="8"/>
    </row>
    <row r="91" spans="1:11" x14ac:dyDescent="0.25">
      <c r="C91" s="8"/>
      <c r="D91" s="8"/>
      <c r="E91" s="8"/>
      <c r="F91" s="8"/>
      <c r="G91" s="8"/>
      <c r="H91" s="8"/>
      <c r="I91" s="8"/>
      <c r="J91" s="8"/>
      <c r="K91" s="8"/>
    </row>
    <row r="92" spans="1:11" x14ac:dyDescent="0.25">
      <c r="C92" s="8"/>
      <c r="D92" s="8"/>
      <c r="E92" s="8"/>
      <c r="F92" s="8"/>
      <c r="G92" s="8"/>
      <c r="H92" s="8"/>
      <c r="I92" s="8"/>
      <c r="J92" s="8"/>
      <c r="K92" s="8"/>
    </row>
    <row r="93" spans="1:11" x14ac:dyDescent="0.25">
      <c r="A93" s="100"/>
      <c r="B93" s="8"/>
      <c r="C93" s="8"/>
      <c r="D93" s="8"/>
      <c r="E93" s="8"/>
      <c r="F93" s="8"/>
      <c r="G93" s="8"/>
      <c r="H93" s="8"/>
      <c r="I93" s="8"/>
      <c r="J93" s="8"/>
      <c r="K93" s="8"/>
    </row>
    <row r="94" spans="1:11" x14ac:dyDescent="0.25">
      <c r="A94" s="100"/>
      <c r="B94" s="8"/>
      <c r="C94" s="8"/>
      <c r="D94" s="8"/>
      <c r="E94" s="8"/>
      <c r="F94" s="8"/>
      <c r="G94" s="8"/>
      <c r="H94" s="8"/>
      <c r="I94" s="8"/>
      <c r="J94" s="8"/>
      <c r="K94" s="8"/>
    </row>
    <row r="95" spans="1:11" x14ac:dyDescent="0.25">
      <c r="A95" s="100"/>
      <c r="B95" s="8"/>
      <c r="C95" s="8"/>
      <c r="D95" s="8"/>
      <c r="E95" s="8"/>
      <c r="F95" s="8"/>
      <c r="G95" s="8"/>
      <c r="H95" s="8"/>
      <c r="I95" s="8"/>
      <c r="J95" s="8"/>
      <c r="K95" s="8"/>
    </row>
    <row r="96" spans="1:11" x14ac:dyDescent="0.25">
      <c r="A96" s="100"/>
      <c r="B96" s="8"/>
      <c r="C96" s="8"/>
      <c r="D96" s="8"/>
      <c r="E96" s="8"/>
      <c r="F96" s="8"/>
      <c r="G96" s="8"/>
      <c r="H96" s="8"/>
      <c r="I96" s="8"/>
      <c r="J96" s="8"/>
      <c r="K96" s="8"/>
    </row>
    <row r="97" spans="1:11" hidden="1" x14ac:dyDescent="0.25">
      <c r="A97" s="100"/>
      <c r="B97" s="8"/>
      <c r="C97" s="8"/>
      <c r="D97" s="8"/>
      <c r="E97" s="8"/>
      <c r="F97" s="8"/>
      <c r="G97" s="8"/>
      <c r="H97" s="8"/>
      <c r="I97" s="8"/>
      <c r="J97" s="8"/>
      <c r="K97" s="8"/>
    </row>
    <row r="98" spans="1:11" x14ac:dyDescent="0.25">
      <c r="A98" s="100"/>
      <c r="B98" s="8"/>
      <c r="C98" s="8"/>
      <c r="D98" s="8"/>
      <c r="E98" s="8"/>
      <c r="F98" s="8"/>
      <c r="G98" s="8"/>
      <c r="H98" s="8"/>
      <c r="I98" s="8"/>
      <c r="J98" s="8"/>
      <c r="K98" s="8"/>
    </row>
    <row r="99" spans="1:11" x14ac:dyDescent="0.25">
      <c r="A99" s="100"/>
      <c r="B99" s="8"/>
      <c r="C99" s="8"/>
      <c r="D99" s="8"/>
      <c r="E99" s="8"/>
      <c r="F99" s="8"/>
      <c r="G99" s="8"/>
      <c r="H99" s="8"/>
      <c r="I99" s="8"/>
      <c r="J99" s="8"/>
      <c r="K99" s="8"/>
    </row>
    <row r="100" spans="1:11" x14ac:dyDescent="0.25">
      <c r="A100" s="100"/>
      <c r="B100" s="8"/>
      <c r="C100" s="8"/>
      <c r="D100" s="8"/>
      <c r="E100" s="8"/>
      <c r="F100" s="8"/>
      <c r="G100" s="8"/>
      <c r="H100" s="8"/>
      <c r="I100" s="8"/>
      <c r="J100" s="8"/>
      <c r="K100" s="8"/>
    </row>
    <row r="101" spans="1:11" hidden="1" x14ac:dyDescent="0.25">
      <c r="A101" s="187"/>
      <c r="B101" s="8"/>
      <c r="C101" s="8"/>
      <c r="D101" s="8"/>
      <c r="E101" s="8"/>
      <c r="F101" s="8"/>
      <c r="G101" s="8"/>
      <c r="H101" s="8"/>
      <c r="I101" s="8"/>
      <c r="J101" s="8"/>
      <c r="K101" s="8"/>
    </row>
    <row r="102" spans="1:11" hidden="1" x14ac:dyDescent="0.25">
      <c r="A102" s="100"/>
      <c r="B102" s="8"/>
      <c r="C102" s="8"/>
      <c r="D102" s="8"/>
      <c r="E102" s="8"/>
      <c r="F102" s="8"/>
      <c r="G102" s="8"/>
      <c r="H102" s="8"/>
      <c r="I102" s="8"/>
      <c r="J102" s="8"/>
      <c r="K102" s="8"/>
    </row>
    <row r="103" spans="1:11" hidden="1" x14ac:dyDescent="0.25">
      <c r="A103" s="100"/>
      <c r="B103" s="8"/>
      <c r="C103" s="8"/>
      <c r="D103" s="8"/>
      <c r="E103" s="8"/>
      <c r="F103" s="8"/>
      <c r="G103" s="8"/>
      <c r="H103" s="8"/>
      <c r="I103" s="8"/>
      <c r="J103" s="8"/>
      <c r="K103" s="8"/>
    </row>
    <row r="104" spans="1:11" hidden="1" x14ac:dyDescent="0.25">
      <c r="A104" s="187"/>
      <c r="B104" s="8"/>
      <c r="C104" s="8"/>
      <c r="D104" s="8"/>
      <c r="E104" s="8"/>
      <c r="F104" s="8"/>
      <c r="G104" s="8"/>
      <c r="H104" s="8"/>
      <c r="I104" s="8"/>
      <c r="J104" s="8"/>
      <c r="K104" s="8"/>
    </row>
    <row r="105" spans="1:11" hidden="1" x14ac:dyDescent="0.25">
      <c r="A105" s="187"/>
      <c r="B105" s="8"/>
      <c r="C105" s="8"/>
      <c r="D105" s="8"/>
      <c r="E105" s="8"/>
      <c r="F105" s="8"/>
      <c r="G105" s="8"/>
      <c r="H105" s="8"/>
      <c r="I105" s="8"/>
      <c r="J105" s="8"/>
      <c r="K105" s="8"/>
    </row>
    <row r="106" spans="1:11" hidden="1" x14ac:dyDescent="0.25">
      <c r="A106" s="100"/>
      <c r="B106" s="8"/>
      <c r="C106" s="8"/>
      <c r="D106" s="8"/>
      <c r="E106" s="8"/>
      <c r="F106" s="8"/>
      <c r="G106" s="8"/>
      <c r="H106" s="8"/>
      <c r="I106" s="8"/>
      <c r="J106" s="8"/>
      <c r="K106" s="8"/>
    </row>
    <row r="107" spans="1:11" hidden="1" x14ac:dyDescent="0.25">
      <c r="A107" s="100"/>
      <c r="B107" s="8"/>
      <c r="C107" s="8"/>
      <c r="D107" s="8"/>
      <c r="E107" s="8"/>
      <c r="F107" s="8"/>
      <c r="G107" s="8"/>
      <c r="H107" s="8"/>
      <c r="I107" s="8"/>
      <c r="J107" s="8"/>
      <c r="K107" s="8"/>
    </row>
    <row r="108" spans="1:11" hidden="1" x14ac:dyDescent="0.25">
      <c r="A108" s="100"/>
      <c r="B108" s="8"/>
      <c r="C108" s="8"/>
      <c r="D108" s="8"/>
      <c r="E108" s="8"/>
      <c r="F108" s="8"/>
      <c r="G108" s="8"/>
      <c r="H108" s="8"/>
      <c r="I108" s="8"/>
      <c r="J108" s="8"/>
      <c r="K108" s="8"/>
    </row>
    <row r="109" spans="1:11" x14ac:dyDescent="0.25">
      <c r="B109" s="99"/>
      <c r="C109" s="99"/>
      <c r="D109" s="99"/>
      <c r="E109" s="99"/>
      <c r="F109" s="99"/>
      <c r="G109" s="99"/>
      <c r="H109" s="99"/>
      <c r="I109" s="99"/>
      <c r="J109" s="99"/>
      <c r="K109" s="99"/>
    </row>
    <row r="110" spans="1:11" x14ac:dyDescent="0.25">
      <c r="B110" s="8"/>
      <c r="C110" s="8"/>
      <c r="D110" s="15"/>
      <c r="E110" s="15"/>
      <c r="F110" s="15"/>
      <c r="G110" s="15"/>
      <c r="H110" s="15"/>
      <c r="I110" s="15"/>
      <c r="J110" s="15"/>
      <c r="K110" s="15"/>
    </row>
    <row r="111" spans="1:11" x14ac:dyDescent="0.25">
      <c r="B111" s="10"/>
      <c r="C111" s="10"/>
      <c r="D111" s="10"/>
      <c r="E111" s="10"/>
      <c r="F111" s="10"/>
      <c r="G111" s="10"/>
      <c r="H111" s="10"/>
      <c r="I111" s="10"/>
      <c r="J111" s="10"/>
      <c r="K111" s="10"/>
    </row>
    <row r="112" spans="1:11" x14ac:dyDescent="0.25">
      <c r="B112" s="10"/>
      <c r="C112" s="10"/>
      <c r="D112" s="10"/>
      <c r="E112" s="10"/>
      <c r="F112" s="10"/>
      <c r="G112" s="10"/>
      <c r="H112" s="10"/>
      <c r="I112" s="10"/>
      <c r="J112" s="10"/>
      <c r="K112" s="10"/>
    </row>
    <row r="113" spans="1:11" x14ac:dyDescent="0.25">
      <c r="A113" s="167"/>
      <c r="B113" s="161"/>
      <c r="C113" s="161"/>
      <c r="D113" s="161"/>
      <c r="E113" s="161"/>
      <c r="F113" s="161"/>
      <c r="G113" s="161"/>
      <c r="H113" s="161"/>
      <c r="I113" s="161"/>
      <c r="J113" s="161"/>
      <c r="K113" s="161"/>
    </row>
    <row r="114" spans="1:11" x14ac:dyDescent="0.25">
      <c r="B114" s="15"/>
      <c r="C114" s="15"/>
      <c r="D114" s="15"/>
      <c r="E114" s="15"/>
      <c r="F114" s="15"/>
      <c r="G114" s="15"/>
      <c r="H114" s="15"/>
      <c r="I114" s="15"/>
      <c r="J114" s="15"/>
      <c r="K114" s="15"/>
    </row>
    <row r="115" spans="1:11" x14ac:dyDescent="0.25">
      <c r="A115" s="168"/>
      <c r="B115" s="170"/>
      <c r="C115" s="170"/>
      <c r="D115" s="170"/>
      <c r="E115" s="170"/>
      <c r="F115" s="170"/>
      <c r="G115" s="170"/>
      <c r="H115" s="170"/>
      <c r="I115" s="170"/>
      <c r="J115" s="170"/>
      <c r="K115" s="170"/>
    </row>
    <row r="116" spans="1:11" x14ac:dyDescent="0.25">
      <c r="A116" s="100"/>
      <c r="B116" s="170"/>
      <c r="C116" s="170"/>
      <c r="D116" s="170"/>
      <c r="E116" s="170"/>
      <c r="F116" s="170"/>
      <c r="G116" s="170"/>
      <c r="H116" s="170"/>
      <c r="I116" s="170"/>
      <c r="J116" s="170"/>
      <c r="K116" s="170"/>
    </row>
    <row r="117" spans="1:11" x14ac:dyDescent="0.25">
      <c r="A117" s="100"/>
      <c r="B117" s="172"/>
      <c r="C117" s="172"/>
      <c r="D117" s="172"/>
      <c r="E117" s="172"/>
      <c r="F117" s="172"/>
      <c r="G117" s="172"/>
      <c r="H117" s="172"/>
      <c r="I117" s="172"/>
      <c r="J117" s="172"/>
      <c r="K117" s="172"/>
    </row>
    <row r="118" spans="1:11" x14ac:dyDescent="0.25">
      <c r="A118" s="100"/>
      <c r="B118" s="172"/>
      <c r="C118" s="172"/>
      <c r="D118" s="172"/>
      <c r="E118" s="172"/>
      <c r="F118" s="172"/>
      <c r="G118" s="172"/>
      <c r="H118" s="172"/>
      <c r="I118" s="172"/>
      <c r="J118" s="172"/>
      <c r="K118" s="172"/>
    </row>
    <row r="119" spans="1:11" x14ac:dyDescent="0.25">
      <c r="A119" s="100"/>
      <c r="B119" s="172"/>
      <c r="C119" s="172"/>
      <c r="D119" s="172"/>
      <c r="E119" s="172"/>
      <c r="F119" s="172"/>
      <c r="G119" s="172"/>
      <c r="H119" s="172"/>
      <c r="I119" s="172"/>
      <c r="J119" s="172"/>
      <c r="K119" s="172"/>
    </row>
    <row r="120" spans="1:11" x14ac:dyDescent="0.25">
      <c r="A120" s="100"/>
      <c r="B120" s="172"/>
      <c r="C120" s="172"/>
      <c r="D120" s="172"/>
      <c r="E120" s="172"/>
      <c r="F120" s="172"/>
      <c r="G120" s="172"/>
      <c r="H120" s="172"/>
      <c r="I120" s="172"/>
      <c r="J120" s="172"/>
      <c r="K120" s="172"/>
    </row>
    <row r="121" spans="1:11" x14ac:dyDescent="0.25">
      <c r="A121" s="100"/>
      <c r="B121" s="172"/>
      <c r="C121" s="172"/>
      <c r="D121" s="172"/>
      <c r="E121" s="172"/>
      <c r="F121" s="172"/>
      <c r="G121" s="172"/>
      <c r="H121" s="172"/>
      <c r="I121" s="172"/>
      <c r="J121" s="172"/>
      <c r="K121" s="172"/>
    </row>
    <row r="122" spans="1:11" x14ac:dyDescent="0.25">
      <c r="A122" s="100"/>
      <c r="B122" s="172"/>
      <c r="C122" s="172"/>
      <c r="D122" s="172"/>
      <c r="E122" s="172"/>
      <c r="F122" s="172"/>
      <c r="G122" s="172"/>
      <c r="H122" s="172"/>
      <c r="I122" s="172"/>
      <c r="J122" s="172"/>
      <c r="K122" s="172"/>
    </row>
    <row r="123" spans="1:11" x14ac:dyDescent="0.25">
      <c r="A123" s="100"/>
      <c r="B123" s="170"/>
      <c r="C123" s="170"/>
      <c r="D123" s="170"/>
      <c r="E123" s="170"/>
      <c r="F123" s="170"/>
      <c r="G123" s="170"/>
      <c r="H123" s="170"/>
      <c r="I123" s="170"/>
      <c r="J123" s="170"/>
      <c r="K123" s="170"/>
    </row>
    <row r="124" spans="1:11" x14ac:dyDescent="0.25">
      <c r="A124" s="100"/>
      <c r="B124" s="172"/>
      <c r="C124" s="172"/>
      <c r="D124" s="172"/>
      <c r="E124" s="172"/>
      <c r="F124" s="172"/>
      <c r="G124" s="172"/>
      <c r="H124" s="172"/>
      <c r="I124" s="172"/>
      <c r="J124" s="172"/>
      <c r="K124" s="172"/>
    </row>
    <row r="125" spans="1:11" x14ac:dyDescent="0.25">
      <c r="A125" s="100"/>
      <c r="B125" s="172"/>
      <c r="C125" s="172"/>
      <c r="D125" s="172"/>
      <c r="E125" s="172"/>
      <c r="F125" s="172"/>
      <c r="G125" s="172"/>
      <c r="H125" s="172"/>
      <c r="I125" s="172"/>
      <c r="J125" s="172"/>
      <c r="K125" s="172"/>
    </row>
    <row r="126" spans="1:11" x14ac:dyDescent="0.25">
      <c r="A126" s="100"/>
      <c r="B126" s="172"/>
      <c r="C126" s="172"/>
      <c r="D126" s="172"/>
      <c r="E126" s="172"/>
      <c r="F126" s="172"/>
      <c r="G126" s="172"/>
      <c r="H126" s="172"/>
      <c r="I126" s="172"/>
      <c r="J126" s="172"/>
      <c r="K126" s="172"/>
    </row>
    <row r="127" spans="1:11" x14ac:dyDescent="0.25">
      <c r="A127" s="100"/>
      <c r="B127" s="172"/>
      <c r="C127" s="172"/>
      <c r="D127" s="172"/>
      <c r="E127" s="172"/>
      <c r="F127" s="172"/>
      <c r="G127" s="172"/>
      <c r="H127" s="172"/>
      <c r="I127" s="172"/>
      <c r="J127" s="172"/>
      <c r="K127" s="172"/>
    </row>
    <row r="128" spans="1:11" hidden="1" x14ac:dyDescent="0.25">
      <c r="A128" s="100"/>
      <c r="B128" s="172"/>
      <c r="C128" s="172"/>
      <c r="D128" s="172"/>
      <c r="E128" s="172"/>
      <c r="F128" s="172"/>
      <c r="G128" s="172"/>
      <c r="H128" s="172"/>
      <c r="I128" s="172"/>
      <c r="J128" s="172"/>
      <c r="K128" s="172"/>
    </row>
    <row r="129" spans="1:11" x14ac:dyDescent="0.25">
      <c r="A129" s="100"/>
      <c r="B129" s="172"/>
      <c r="C129" s="172"/>
      <c r="D129" s="172"/>
      <c r="E129" s="172"/>
      <c r="F129" s="172"/>
      <c r="G129" s="172"/>
      <c r="H129" s="172"/>
      <c r="I129" s="172"/>
      <c r="J129" s="172"/>
      <c r="K129" s="172"/>
    </row>
    <row r="130" spans="1:11" x14ac:dyDescent="0.25">
      <c r="A130" s="100"/>
      <c r="B130" s="172"/>
      <c r="C130" s="172"/>
      <c r="D130" s="172"/>
      <c r="E130" s="172"/>
      <c r="F130" s="172"/>
      <c r="G130" s="172"/>
      <c r="H130" s="172"/>
      <c r="I130" s="172"/>
      <c r="J130" s="172"/>
      <c r="K130" s="172"/>
    </row>
    <row r="131" spans="1:11" x14ac:dyDescent="0.25">
      <c r="A131" s="100"/>
      <c r="B131" s="172"/>
      <c r="C131" s="172"/>
      <c r="D131" s="172"/>
      <c r="E131" s="172"/>
      <c r="F131" s="172"/>
      <c r="G131" s="172"/>
      <c r="H131" s="172"/>
      <c r="I131" s="172"/>
      <c r="J131" s="172"/>
      <c r="K131" s="172"/>
    </row>
    <row r="132" spans="1:11" hidden="1" x14ac:dyDescent="0.25">
      <c r="A132" s="187"/>
      <c r="B132" s="170"/>
      <c r="C132" s="170"/>
      <c r="D132" s="170"/>
      <c r="E132" s="170"/>
      <c r="F132" s="170"/>
      <c r="G132" s="170"/>
      <c r="H132" s="170"/>
      <c r="I132" s="170"/>
    </row>
    <row r="133" spans="1:11" hidden="1" x14ac:dyDescent="0.25">
      <c r="A133" s="100"/>
      <c r="B133" s="170"/>
      <c r="C133" s="170"/>
      <c r="D133" s="170"/>
      <c r="E133" s="170"/>
      <c r="F133" s="170"/>
      <c r="G133" s="170"/>
      <c r="H133" s="170"/>
      <c r="I133" s="170"/>
    </row>
    <row r="134" spans="1:11" hidden="1" x14ac:dyDescent="0.25">
      <c r="A134" s="100"/>
      <c r="B134" s="170"/>
      <c r="C134" s="170"/>
      <c r="D134" s="170"/>
      <c r="E134" s="170"/>
      <c r="F134" s="170"/>
      <c r="G134" s="170"/>
      <c r="H134" s="170"/>
      <c r="I134" s="170"/>
    </row>
    <row r="135" spans="1:11" hidden="1" x14ac:dyDescent="0.25">
      <c r="A135" s="187"/>
      <c r="B135" s="170"/>
      <c r="C135" s="170"/>
      <c r="D135" s="170"/>
      <c r="E135" s="170"/>
      <c r="F135" s="170"/>
      <c r="G135" s="170"/>
      <c r="H135" s="170"/>
      <c r="I135" s="170"/>
    </row>
    <row r="136" spans="1:11" hidden="1" x14ac:dyDescent="0.25">
      <c r="A136" s="187"/>
      <c r="B136" s="170"/>
      <c r="C136" s="170"/>
      <c r="D136" s="170"/>
      <c r="E136" s="170"/>
      <c r="F136" s="170"/>
      <c r="G136" s="170"/>
      <c r="H136" s="170"/>
      <c r="I136" s="170"/>
    </row>
    <row r="137" spans="1:11" hidden="1" x14ac:dyDescent="0.25">
      <c r="A137" s="100"/>
      <c r="B137" s="170"/>
      <c r="C137" s="170"/>
      <c r="D137" s="170"/>
      <c r="E137" s="170"/>
      <c r="F137" s="170"/>
      <c r="G137" s="170"/>
      <c r="H137" s="170"/>
      <c r="I137" s="170"/>
    </row>
    <row r="138" spans="1:11" hidden="1" x14ac:dyDescent="0.25">
      <c r="A138" s="100"/>
      <c r="B138" s="170"/>
      <c r="C138" s="170"/>
      <c r="D138" s="170"/>
      <c r="E138" s="170"/>
      <c r="F138" s="170"/>
      <c r="G138" s="170"/>
      <c r="H138" s="170"/>
      <c r="I138" s="170"/>
    </row>
    <row r="139" spans="1:11" hidden="1" x14ac:dyDescent="0.25">
      <c r="A139" s="100"/>
      <c r="B139" s="170"/>
      <c r="C139" s="170"/>
      <c r="D139" s="170"/>
      <c r="E139" s="170"/>
      <c r="F139" s="170"/>
      <c r="G139" s="170"/>
      <c r="H139" s="170"/>
      <c r="I139" s="170"/>
    </row>
    <row r="140" spans="1:11" x14ac:dyDescent="0.25">
      <c r="B140" s="15"/>
      <c r="C140" s="15"/>
      <c r="D140" s="15"/>
      <c r="E140" s="15"/>
      <c r="F140" s="15"/>
      <c r="G140" s="15"/>
      <c r="H140" s="15"/>
      <c r="I140" s="15"/>
    </row>
    <row r="141" spans="1:11" x14ac:dyDescent="0.25">
      <c r="B141" s="15"/>
      <c r="C141" s="15"/>
      <c r="D141" s="15"/>
      <c r="E141" s="15"/>
      <c r="F141" s="15"/>
      <c r="G141" s="15"/>
      <c r="H141" s="15"/>
      <c r="I141" s="15"/>
    </row>
    <row r="142" spans="1:11" x14ac:dyDescent="0.25">
      <c r="B142" s="15"/>
      <c r="C142" s="15"/>
      <c r="D142" s="15"/>
      <c r="E142" s="15"/>
      <c r="F142" s="15"/>
      <c r="G142" s="15"/>
      <c r="H142" s="15"/>
      <c r="I142" s="15"/>
    </row>
    <row r="143" spans="1:11" x14ac:dyDescent="0.25">
      <c r="B143" s="15"/>
      <c r="C143" s="15"/>
      <c r="D143" s="15"/>
      <c r="E143" s="15"/>
      <c r="F143" s="15"/>
      <c r="G143" s="15"/>
      <c r="H143" s="15"/>
      <c r="I143" s="15"/>
    </row>
    <row r="144" spans="1:11" x14ac:dyDescent="0.25">
      <c r="B144" s="15"/>
      <c r="C144" s="15"/>
      <c r="D144" s="15"/>
      <c r="E144" s="15"/>
      <c r="F144" s="15"/>
      <c r="G144" s="15"/>
      <c r="H144" s="15"/>
      <c r="I144" s="15"/>
    </row>
    <row r="145" spans="2:9" x14ac:dyDescent="0.25">
      <c r="B145" s="15"/>
      <c r="C145" s="15"/>
      <c r="D145" s="15"/>
      <c r="E145" s="15"/>
      <c r="F145" s="15"/>
      <c r="G145" s="15"/>
      <c r="H145" s="15"/>
      <c r="I145" s="15"/>
    </row>
    <row r="146" spans="2:9" x14ac:dyDescent="0.25">
      <c r="B146" s="15"/>
      <c r="C146" s="15"/>
      <c r="D146" s="15"/>
      <c r="E146" s="15"/>
      <c r="F146" s="15"/>
      <c r="G146" s="15"/>
      <c r="H146" s="15"/>
      <c r="I146" s="15"/>
    </row>
    <row r="147" spans="2:9" x14ac:dyDescent="0.25">
      <c r="B147" s="15"/>
      <c r="C147" s="15"/>
      <c r="D147" s="15"/>
      <c r="E147" s="15"/>
      <c r="F147" s="15"/>
      <c r="G147" s="15"/>
      <c r="H147" s="15"/>
      <c r="I147" s="15"/>
    </row>
    <row r="148" spans="2:9" x14ac:dyDescent="0.25">
      <c r="B148" s="15"/>
      <c r="C148" s="15"/>
      <c r="D148" s="15"/>
      <c r="E148" s="15"/>
      <c r="F148" s="15"/>
      <c r="G148" s="15"/>
      <c r="H148" s="15"/>
      <c r="I148" s="15"/>
    </row>
    <row r="149" spans="2:9" x14ac:dyDescent="0.25">
      <c r="B149" s="15"/>
      <c r="C149" s="15"/>
      <c r="D149" s="15"/>
      <c r="E149" s="15"/>
      <c r="F149" s="15"/>
      <c r="G149" s="15"/>
      <c r="H149" s="15"/>
      <c r="I149" s="15"/>
    </row>
    <row r="150" spans="2:9" x14ac:dyDescent="0.25">
      <c r="B150" s="15"/>
      <c r="C150" s="15"/>
      <c r="D150" s="15"/>
      <c r="E150" s="15"/>
      <c r="F150" s="15"/>
      <c r="G150" s="15"/>
      <c r="H150" s="15"/>
      <c r="I150" s="15"/>
    </row>
    <row r="151" spans="2:9" x14ac:dyDescent="0.25">
      <c r="B151" s="15"/>
      <c r="C151" s="15"/>
      <c r="D151" s="15"/>
      <c r="E151" s="15"/>
      <c r="F151" s="15"/>
      <c r="G151" s="15"/>
      <c r="H151" s="15"/>
      <c r="I151" s="15"/>
    </row>
    <row r="152" spans="2:9" x14ac:dyDescent="0.25">
      <c r="B152" s="15"/>
      <c r="C152" s="15"/>
      <c r="D152" s="15"/>
      <c r="E152" s="15"/>
      <c r="F152" s="15"/>
      <c r="G152" s="15"/>
      <c r="H152" s="15"/>
      <c r="I152" s="15"/>
    </row>
    <row r="153" spans="2:9" x14ac:dyDescent="0.25">
      <c r="B153" s="15"/>
      <c r="C153" s="15"/>
      <c r="D153" s="15"/>
      <c r="E153" s="15"/>
      <c r="F153" s="15"/>
      <c r="G153" s="15"/>
      <c r="H153" s="15"/>
      <c r="I153" s="15"/>
    </row>
    <row r="154" spans="2:9" x14ac:dyDescent="0.25">
      <c r="B154" s="15"/>
      <c r="C154" s="15"/>
      <c r="D154" s="15"/>
      <c r="E154" s="15"/>
      <c r="F154" s="15"/>
      <c r="G154" s="15"/>
      <c r="H154" s="15"/>
      <c r="I154" s="15"/>
    </row>
    <row r="155" spans="2:9" x14ac:dyDescent="0.25">
      <c r="B155" s="15"/>
      <c r="C155" s="15"/>
      <c r="D155" s="15"/>
      <c r="E155" s="15"/>
      <c r="F155" s="15"/>
      <c r="G155" s="15"/>
      <c r="H155" s="15"/>
      <c r="I155" s="15"/>
    </row>
    <row r="156" spans="2:9" x14ac:dyDescent="0.25">
      <c r="B156" s="15"/>
      <c r="C156" s="15"/>
      <c r="D156" s="15"/>
      <c r="E156" s="15"/>
      <c r="F156" s="15"/>
      <c r="G156" s="15"/>
      <c r="H156" s="15"/>
      <c r="I156" s="15"/>
    </row>
    <row r="157" spans="2:9" x14ac:dyDescent="0.25">
      <c r="B157" s="15"/>
      <c r="C157" s="15"/>
      <c r="D157" s="15"/>
      <c r="E157" s="15"/>
      <c r="F157" s="15"/>
      <c r="G157" s="15"/>
      <c r="H157" s="15"/>
      <c r="I157" s="15"/>
    </row>
    <row r="158" spans="2:9" x14ac:dyDescent="0.25">
      <c r="B158" s="15"/>
      <c r="C158" s="15"/>
      <c r="D158" s="15"/>
      <c r="E158" s="15"/>
      <c r="F158" s="15"/>
      <c r="G158" s="15"/>
      <c r="H158" s="15"/>
      <c r="I158" s="15"/>
    </row>
    <row r="159" spans="2:9" x14ac:dyDescent="0.25">
      <c r="B159" s="15"/>
      <c r="C159" s="15"/>
      <c r="D159" s="15"/>
      <c r="E159" s="15"/>
      <c r="F159" s="15"/>
      <c r="G159" s="15"/>
      <c r="H159" s="15"/>
      <c r="I159" s="15"/>
    </row>
    <row r="160" spans="2:9" x14ac:dyDescent="0.25">
      <c r="B160" s="15"/>
      <c r="C160" s="15"/>
      <c r="D160" s="15"/>
      <c r="E160" s="15"/>
      <c r="F160" s="15"/>
      <c r="G160" s="15"/>
      <c r="H160" s="15"/>
      <c r="I160" s="15"/>
    </row>
    <row r="161" spans="2:9" x14ac:dyDescent="0.25">
      <c r="B161" s="15"/>
      <c r="C161" s="15"/>
      <c r="D161" s="15"/>
      <c r="E161" s="15"/>
      <c r="F161" s="15"/>
      <c r="G161" s="15"/>
      <c r="H161" s="15"/>
      <c r="I161" s="15"/>
    </row>
    <row r="162" spans="2:9" x14ac:dyDescent="0.25">
      <c r="B162" s="15"/>
      <c r="C162" s="15"/>
      <c r="D162" s="15"/>
      <c r="E162" s="15"/>
      <c r="F162" s="15"/>
      <c r="G162" s="15"/>
      <c r="H162" s="15"/>
      <c r="I162" s="15"/>
    </row>
    <row r="163" spans="2:9" x14ac:dyDescent="0.25">
      <c r="B163" s="15"/>
      <c r="C163" s="15"/>
      <c r="D163" s="15"/>
      <c r="E163" s="15"/>
      <c r="F163" s="15"/>
      <c r="G163" s="15"/>
      <c r="H163" s="15"/>
      <c r="I163" s="15"/>
    </row>
    <row r="164" spans="2:9" x14ac:dyDescent="0.25">
      <c r="B164" s="15"/>
      <c r="C164" s="15"/>
      <c r="D164" s="15"/>
      <c r="E164" s="15"/>
      <c r="F164" s="15"/>
      <c r="G164" s="15"/>
      <c r="H164" s="15"/>
      <c r="I164" s="15"/>
    </row>
    <row r="165" spans="2:9" x14ac:dyDescent="0.25">
      <c r="B165" s="15"/>
      <c r="C165" s="15"/>
      <c r="D165" s="15"/>
      <c r="E165" s="15"/>
      <c r="F165" s="15"/>
      <c r="G165" s="15"/>
      <c r="H165" s="15"/>
      <c r="I165" s="15"/>
    </row>
    <row r="166" spans="2:9" x14ac:dyDescent="0.25">
      <c r="B166" s="15"/>
      <c r="C166" s="15"/>
      <c r="D166" s="15"/>
      <c r="E166" s="15"/>
      <c r="F166" s="15"/>
      <c r="G166" s="15"/>
      <c r="H166" s="15"/>
      <c r="I166" s="15"/>
    </row>
    <row r="167" spans="2:9" x14ac:dyDescent="0.25">
      <c r="B167" s="15"/>
      <c r="C167" s="15"/>
      <c r="D167" s="15"/>
      <c r="E167" s="15"/>
      <c r="F167" s="15"/>
      <c r="G167" s="15"/>
      <c r="H167" s="15"/>
      <c r="I167" s="15"/>
    </row>
    <row r="168" spans="2:9" x14ac:dyDescent="0.25">
      <c r="B168" s="15"/>
      <c r="C168" s="15"/>
      <c r="D168" s="15"/>
      <c r="E168" s="15"/>
      <c r="F168" s="15"/>
      <c r="G168" s="15"/>
      <c r="H168" s="15"/>
      <c r="I168" s="15"/>
    </row>
    <row r="169" spans="2:9" x14ac:dyDescent="0.25">
      <c r="B169" s="15"/>
      <c r="C169" s="15"/>
      <c r="D169" s="15"/>
      <c r="E169" s="15"/>
      <c r="F169" s="15"/>
      <c r="G169" s="15"/>
      <c r="H169" s="15"/>
      <c r="I169" s="15"/>
    </row>
    <row r="170" spans="2:9" x14ac:dyDescent="0.25">
      <c r="B170" s="15"/>
      <c r="C170" s="15"/>
      <c r="D170" s="15"/>
      <c r="E170" s="15"/>
      <c r="F170" s="15"/>
      <c r="G170" s="15"/>
      <c r="H170" s="15"/>
      <c r="I170" s="15"/>
    </row>
    <row r="171" spans="2:9" x14ac:dyDescent="0.25">
      <c r="B171" s="15"/>
      <c r="C171" s="15"/>
      <c r="D171" s="15"/>
      <c r="E171" s="15"/>
      <c r="F171" s="15"/>
      <c r="G171" s="15"/>
      <c r="H171" s="15"/>
      <c r="I171" s="15"/>
    </row>
    <row r="172" spans="2:9" x14ac:dyDescent="0.25">
      <c r="B172" s="15"/>
      <c r="C172" s="15"/>
      <c r="D172" s="15"/>
      <c r="E172" s="15"/>
      <c r="F172" s="15"/>
      <c r="G172" s="15"/>
      <c r="H172" s="15"/>
      <c r="I172" s="15"/>
    </row>
    <row r="173" spans="2:9" x14ac:dyDescent="0.25">
      <c r="B173" s="15"/>
      <c r="C173" s="15"/>
      <c r="D173" s="15"/>
      <c r="E173" s="15"/>
      <c r="F173" s="15"/>
      <c r="G173" s="15"/>
      <c r="H173" s="15"/>
      <c r="I173" s="15"/>
    </row>
    <row r="174" spans="2:9" x14ac:dyDescent="0.25">
      <c r="B174" s="15"/>
      <c r="C174" s="15"/>
      <c r="D174" s="15"/>
      <c r="E174" s="15"/>
      <c r="F174" s="15"/>
      <c r="G174" s="15"/>
      <c r="H174" s="15"/>
      <c r="I174" s="15"/>
    </row>
    <row r="175" spans="2:9" x14ac:dyDescent="0.25">
      <c r="B175" s="15"/>
      <c r="C175" s="15"/>
      <c r="D175" s="15"/>
      <c r="E175" s="15"/>
      <c r="F175" s="15"/>
      <c r="G175" s="15"/>
      <c r="H175" s="15"/>
      <c r="I175" s="15"/>
    </row>
    <row r="176" spans="2:9" x14ac:dyDescent="0.25">
      <c r="B176" s="15"/>
      <c r="C176" s="15"/>
      <c r="D176" s="15"/>
      <c r="E176" s="15"/>
      <c r="F176" s="15"/>
      <c r="G176" s="15"/>
      <c r="H176" s="15"/>
      <c r="I176" s="15"/>
    </row>
    <row r="177" spans="2:9" x14ac:dyDescent="0.25">
      <c r="B177" s="15"/>
      <c r="C177" s="15"/>
      <c r="D177" s="15"/>
      <c r="E177" s="15"/>
      <c r="F177" s="15"/>
      <c r="G177" s="15"/>
      <c r="H177" s="15"/>
      <c r="I177" s="15"/>
    </row>
    <row r="178" spans="2:9" x14ac:dyDescent="0.25">
      <c r="B178" s="15"/>
      <c r="C178" s="15"/>
      <c r="D178" s="15"/>
      <c r="E178" s="15"/>
      <c r="F178" s="15"/>
      <c r="G178" s="15"/>
      <c r="H178" s="15"/>
      <c r="I178" s="15"/>
    </row>
    <row r="179" spans="2:9" x14ac:dyDescent="0.25">
      <c r="B179" s="15"/>
      <c r="C179" s="15"/>
      <c r="D179" s="15"/>
      <c r="E179" s="15"/>
      <c r="F179" s="15"/>
      <c r="G179" s="15"/>
      <c r="H179" s="15"/>
      <c r="I179" s="15"/>
    </row>
    <row r="180" spans="2:9" x14ac:dyDescent="0.25">
      <c r="B180" s="15"/>
      <c r="C180" s="15"/>
      <c r="D180" s="15"/>
      <c r="E180" s="15"/>
      <c r="F180" s="15"/>
      <c r="G180" s="15"/>
      <c r="H180" s="15"/>
      <c r="I180" s="15"/>
    </row>
    <row r="181" spans="2:9" x14ac:dyDescent="0.25">
      <c r="B181" s="15"/>
      <c r="C181" s="15"/>
      <c r="D181" s="15"/>
      <c r="E181" s="15"/>
      <c r="F181" s="15"/>
      <c r="G181" s="15"/>
      <c r="H181" s="15"/>
      <c r="I181" s="15"/>
    </row>
    <row r="182" spans="2:9" x14ac:dyDescent="0.25">
      <c r="B182" s="15"/>
      <c r="C182" s="15"/>
      <c r="D182" s="15"/>
      <c r="E182" s="15"/>
      <c r="F182" s="15"/>
      <c r="G182" s="15"/>
      <c r="H182" s="15"/>
      <c r="I182" s="15"/>
    </row>
    <row r="183" spans="2:9" x14ac:dyDescent="0.25">
      <c r="B183" s="15"/>
      <c r="C183" s="15"/>
      <c r="D183" s="15"/>
      <c r="E183" s="15"/>
      <c r="F183" s="15"/>
      <c r="G183" s="15"/>
      <c r="H183" s="15"/>
      <c r="I183" s="15"/>
    </row>
    <row r="184" spans="2:9" x14ac:dyDescent="0.25">
      <c r="B184" s="15"/>
      <c r="C184" s="15"/>
      <c r="D184" s="15"/>
      <c r="E184" s="15"/>
      <c r="F184" s="15"/>
      <c r="G184" s="15"/>
      <c r="H184" s="15"/>
      <c r="I184" s="15"/>
    </row>
    <row r="185" spans="2:9" x14ac:dyDescent="0.25">
      <c r="B185" s="15"/>
      <c r="C185" s="15"/>
      <c r="D185" s="15"/>
      <c r="E185" s="15"/>
      <c r="F185" s="15"/>
      <c r="G185" s="15"/>
      <c r="H185" s="15"/>
      <c r="I185" s="15"/>
    </row>
    <row r="186" spans="2:9" x14ac:dyDescent="0.25">
      <c r="B186" s="15"/>
      <c r="C186" s="15"/>
      <c r="D186" s="15"/>
      <c r="E186" s="15"/>
      <c r="F186" s="15"/>
      <c r="G186" s="15"/>
      <c r="H186" s="15"/>
      <c r="I186" s="15"/>
    </row>
    <row r="187" spans="2:9" x14ac:dyDescent="0.25">
      <c r="B187" s="15"/>
      <c r="C187" s="15"/>
      <c r="D187" s="15"/>
      <c r="E187" s="15"/>
      <c r="F187" s="15"/>
      <c r="G187" s="15"/>
      <c r="H187" s="15"/>
      <c r="I187" s="15"/>
    </row>
    <row r="188" spans="2:9" x14ac:dyDescent="0.25">
      <c r="B188" s="15"/>
      <c r="C188" s="15"/>
      <c r="D188" s="15"/>
      <c r="E188" s="15"/>
      <c r="F188" s="15"/>
      <c r="G188" s="15"/>
      <c r="H188" s="15"/>
      <c r="I188" s="15"/>
    </row>
    <row r="189" spans="2:9" x14ac:dyDescent="0.25">
      <c r="B189" s="15"/>
      <c r="C189" s="15"/>
      <c r="D189" s="15"/>
      <c r="E189" s="15"/>
      <c r="F189" s="15"/>
      <c r="G189" s="15"/>
      <c r="H189" s="15"/>
      <c r="I189" s="15"/>
    </row>
    <row r="190" spans="2:9" x14ac:dyDescent="0.25">
      <c r="B190" s="15"/>
      <c r="C190" s="15"/>
      <c r="D190" s="15"/>
      <c r="E190" s="15"/>
      <c r="F190" s="15"/>
      <c r="G190" s="15"/>
      <c r="H190" s="15"/>
      <c r="I190" s="15"/>
    </row>
    <row r="191" spans="2:9" x14ac:dyDescent="0.25">
      <c r="B191" s="15"/>
      <c r="C191" s="15"/>
      <c r="D191" s="15"/>
      <c r="E191" s="15"/>
      <c r="F191" s="15"/>
      <c r="G191" s="15"/>
      <c r="H191" s="15"/>
      <c r="I191" s="15"/>
    </row>
    <row r="192" spans="2:9" x14ac:dyDescent="0.25">
      <c r="B192" s="15"/>
      <c r="C192" s="15"/>
      <c r="D192" s="15"/>
      <c r="E192" s="15"/>
      <c r="F192" s="15"/>
      <c r="G192" s="15"/>
      <c r="H192" s="15"/>
      <c r="I192" s="15"/>
    </row>
    <row r="193" spans="2:9" x14ac:dyDescent="0.25">
      <c r="B193" s="15"/>
      <c r="C193" s="15"/>
      <c r="D193" s="15"/>
      <c r="E193" s="15"/>
      <c r="F193" s="15"/>
      <c r="G193" s="15"/>
      <c r="H193" s="15"/>
      <c r="I193" s="15"/>
    </row>
    <row r="194" spans="2:9" x14ac:dyDescent="0.25">
      <c r="B194" s="15"/>
      <c r="C194" s="15"/>
      <c r="D194" s="15"/>
      <c r="E194" s="15"/>
      <c r="F194" s="15"/>
      <c r="G194" s="15"/>
      <c r="H194" s="15"/>
      <c r="I194" s="15"/>
    </row>
    <row r="195" spans="2:9" x14ac:dyDescent="0.25">
      <c r="B195" s="15"/>
      <c r="C195" s="15"/>
      <c r="D195" s="15"/>
      <c r="E195" s="15"/>
      <c r="F195" s="15"/>
      <c r="G195" s="15"/>
      <c r="H195" s="15"/>
      <c r="I195" s="15"/>
    </row>
    <row r="196" spans="2:9" x14ac:dyDescent="0.25">
      <c r="B196" s="15"/>
      <c r="C196" s="15"/>
      <c r="D196" s="15"/>
      <c r="E196" s="15"/>
      <c r="F196" s="15"/>
      <c r="G196" s="15"/>
      <c r="H196" s="15"/>
      <c r="I196" s="15"/>
    </row>
    <row r="197" spans="2:9" x14ac:dyDescent="0.25">
      <c r="B197" s="15"/>
      <c r="C197" s="15"/>
      <c r="D197" s="15"/>
      <c r="E197" s="15"/>
      <c r="F197" s="15"/>
      <c r="G197" s="15"/>
      <c r="H197" s="15"/>
      <c r="I197" s="15"/>
    </row>
    <row r="198" spans="2:9" x14ac:dyDescent="0.25">
      <c r="B198" s="15"/>
      <c r="C198" s="15"/>
      <c r="D198" s="15"/>
      <c r="E198" s="15"/>
      <c r="F198" s="15"/>
      <c r="G198" s="15"/>
      <c r="H198" s="15"/>
      <c r="I198" s="15"/>
    </row>
    <row r="199" spans="2:9" x14ac:dyDescent="0.25">
      <c r="B199" s="15"/>
      <c r="C199" s="15"/>
      <c r="D199" s="15"/>
      <c r="E199" s="15"/>
      <c r="F199" s="15"/>
      <c r="G199" s="15"/>
      <c r="H199" s="15"/>
      <c r="I199" s="15"/>
    </row>
    <row r="200" spans="2:9" x14ac:dyDescent="0.25">
      <c r="B200" s="15"/>
      <c r="C200" s="15"/>
      <c r="D200" s="15"/>
      <c r="E200" s="15"/>
      <c r="F200" s="15"/>
      <c r="G200" s="15"/>
      <c r="H200" s="15"/>
      <c r="I200" s="15"/>
    </row>
    <row r="201" spans="2:9" x14ac:dyDescent="0.25">
      <c r="B201" s="15"/>
      <c r="C201" s="15"/>
      <c r="D201" s="15"/>
      <c r="E201" s="15"/>
      <c r="F201" s="15"/>
      <c r="G201" s="15"/>
      <c r="H201" s="15"/>
      <c r="I201" s="15"/>
    </row>
    <row r="202" spans="2:9" x14ac:dyDescent="0.25">
      <c r="B202" s="15"/>
      <c r="C202" s="15"/>
      <c r="D202" s="15"/>
      <c r="E202" s="15"/>
      <c r="F202" s="15"/>
      <c r="G202" s="15"/>
      <c r="H202" s="15"/>
      <c r="I202" s="15"/>
    </row>
    <row r="203" spans="2:9" x14ac:dyDescent="0.25">
      <c r="B203" s="15"/>
      <c r="C203" s="15"/>
      <c r="D203" s="15"/>
      <c r="E203" s="15"/>
      <c r="F203" s="15"/>
      <c r="G203" s="15"/>
      <c r="H203" s="15"/>
      <c r="I203" s="15"/>
    </row>
    <row r="204" spans="2:9" x14ac:dyDescent="0.25">
      <c r="B204" s="15"/>
      <c r="C204" s="15"/>
      <c r="D204" s="15"/>
      <c r="E204" s="15"/>
      <c r="F204" s="15"/>
      <c r="G204" s="15"/>
      <c r="H204" s="15"/>
      <c r="I204" s="15"/>
    </row>
    <row r="205" spans="2:9" x14ac:dyDescent="0.25">
      <c r="B205" s="15"/>
      <c r="C205" s="15"/>
      <c r="D205" s="15"/>
      <c r="E205" s="15"/>
      <c r="F205" s="15"/>
      <c r="G205" s="15"/>
      <c r="H205" s="15"/>
      <c r="I205" s="15"/>
    </row>
    <row r="206" spans="2:9" x14ac:dyDescent="0.25">
      <c r="B206" s="15"/>
      <c r="C206" s="15"/>
      <c r="D206" s="15"/>
      <c r="E206" s="15"/>
      <c r="F206" s="15"/>
      <c r="G206" s="15"/>
      <c r="H206" s="15"/>
      <c r="I206" s="15"/>
    </row>
    <row r="207" spans="2:9" x14ac:dyDescent="0.25">
      <c r="B207" s="15"/>
      <c r="C207" s="15"/>
      <c r="D207" s="15"/>
      <c r="E207" s="15"/>
      <c r="F207" s="15"/>
      <c r="G207" s="15"/>
      <c r="H207" s="15"/>
      <c r="I207" s="15"/>
    </row>
    <row r="208" spans="2:9" x14ac:dyDescent="0.25">
      <c r="B208" s="15"/>
      <c r="C208" s="15"/>
      <c r="D208" s="15"/>
      <c r="E208" s="15"/>
      <c r="F208" s="15"/>
      <c r="G208" s="15"/>
      <c r="H208" s="15"/>
      <c r="I208" s="15"/>
    </row>
    <row r="209" spans="2:9" x14ac:dyDescent="0.25">
      <c r="B209" s="15"/>
      <c r="C209" s="15"/>
      <c r="D209" s="15"/>
      <c r="E209" s="15"/>
      <c r="F209" s="15"/>
      <c r="G209" s="15"/>
      <c r="H209" s="15"/>
      <c r="I209" s="15"/>
    </row>
    <row r="210" spans="2:9" x14ac:dyDescent="0.25">
      <c r="B210" s="15"/>
      <c r="C210" s="15"/>
      <c r="D210" s="15"/>
      <c r="E210" s="15"/>
      <c r="F210" s="15"/>
      <c r="G210" s="15"/>
      <c r="H210" s="15"/>
      <c r="I210" s="15"/>
    </row>
    <row r="211" spans="2:9" x14ac:dyDescent="0.25">
      <c r="B211" s="15"/>
      <c r="C211" s="15"/>
      <c r="D211" s="15"/>
      <c r="E211" s="15"/>
      <c r="F211" s="15"/>
      <c r="G211" s="15"/>
      <c r="H211" s="15"/>
      <c r="I211" s="15"/>
    </row>
    <row r="212" spans="2:9" x14ac:dyDescent="0.25">
      <c r="B212" s="15"/>
      <c r="C212" s="15"/>
      <c r="D212" s="15"/>
      <c r="E212" s="15"/>
      <c r="F212" s="15"/>
      <c r="G212" s="15"/>
      <c r="H212" s="15"/>
      <c r="I212" s="15"/>
    </row>
    <row r="213" spans="2:9" x14ac:dyDescent="0.25">
      <c r="B213" s="15"/>
      <c r="C213" s="15"/>
      <c r="D213" s="15"/>
      <c r="E213" s="15"/>
      <c r="F213" s="15"/>
      <c r="G213" s="15"/>
      <c r="H213" s="15"/>
      <c r="I213" s="15"/>
    </row>
    <row r="214" spans="2:9" x14ac:dyDescent="0.25">
      <c r="B214" s="15"/>
      <c r="C214" s="15"/>
      <c r="D214" s="15"/>
      <c r="E214" s="15"/>
      <c r="F214" s="15"/>
      <c r="G214" s="15"/>
      <c r="H214" s="15"/>
      <c r="I214" s="15"/>
    </row>
    <row r="215" spans="2:9" x14ac:dyDescent="0.25">
      <c r="B215" s="15"/>
      <c r="C215" s="15"/>
      <c r="D215" s="15"/>
      <c r="E215" s="15"/>
      <c r="F215" s="15"/>
      <c r="G215" s="15"/>
      <c r="H215" s="15"/>
      <c r="I215" s="15"/>
    </row>
    <row r="216" spans="2:9" x14ac:dyDescent="0.25">
      <c r="B216" s="15"/>
      <c r="C216" s="15"/>
      <c r="D216" s="15"/>
      <c r="E216" s="15"/>
      <c r="F216" s="15"/>
      <c r="G216" s="15"/>
      <c r="H216" s="15"/>
      <c r="I216" s="15"/>
    </row>
    <row r="217" spans="2:9" x14ac:dyDescent="0.25">
      <c r="B217" s="15"/>
      <c r="C217" s="15"/>
      <c r="D217" s="15"/>
      <c r="E217" s="15"/>
      <c r="F217" s="15"/>
      <c r="G217" s="15"/>
      <c r="H217" s="15"/>
      <c r="I217" s="15"/>
    </row>
    <row r="218" spans="2:9" x14ac:dyDescent="0.25">
      <c r="B218" s="15"/>
      <c r="C218" s="15"/>
      <c r="D218" s="15"/>
      <c r="E218" s="15"/>
      <c r="F218" s="15"/>
      <c r="G218" s="15"/>
      <c r="H218" s="15"/>
      <c r="I218" s="15"/>
    </row>
    <row r="219" spans="2:9" x14ac:dyDescent="0.25">
      <c r="B219" s="15"/>
      <c r="C219" s="15"/>
      <c r="D219" s="15"/>
      <c r="E219" s="15"/>
      <c r="F219" s="15"/>
      <c r="G219" s="15"/>
      <c r="H219" s="15"/>
      <c r="I219" s="15"/>
    </row>
    <row r="220" spans="2:9" x14ac:dyDescent="0.25">
      <c r="B220" s="15"/>
      <c r="C220" s="15"/>
      <c r="D220" s="15"/>
      <c r="E220" s="15"/>
      <c r="F220" s="15"/>
      <c r="G220" s="15"/>
      <c r="H220" s="15"/>
      <c r="I220" s="15"/>
    </row>
    <row r="221" spans="2:9" x14ac:dyDescent="0.25">
      <c r="B221" s="15"/>
      <c r="C221" s="15"/>
      <c r="D221" s="15"/>
      <c r="E221" s="15"/>
      <c r="F221" s="15"/>
      <c r="G221" s="15"/>
      <c r="H221" s="15"/>
      <c r="I221" s="15"/>
    </row>
    <row r="222" spans="2:9" x14ac:dyDescent="0.25">
      <c r="B222" s="15"/>
      <c r="C222" s="15"/>
      <c r="D222" s="15"/>
      <c r="E222" s="15"/>
      <c r="F222" s="15"/>
      <c r="G222" s="15"/>
      <c r="H222" s="15"/>
      <c r="I222" s="15"/>
    </row>
    <row r="223" spans="2:9" x14ac:dyDescent="0.25">
      <c r="B223" s="15"/>
      <c r="C223" s="15"/>
      <c r="D223" s="15"/>
      <c r="E223" s="15"/>
      <c r="F223" s="15"/>
      <c r="G223" s="15"/>
      <c r="H223" s="15"/>
      <c r="I223" s="15"/>
    </row>
    <row r="224" spans="2:9" x14ac:dyDescent="0.25">
      <c r="B224" s="15"/>
      <c r="C224" s="15"/>
      <c r="D224" s="15"/>
      <c r="E224" s="15"/>
      <c r="F224" s="15"/>
      <c r="G224" s="15"/>
      <c r="H224" s="15"/>
      <c r="I224" s="15"/>
    </row>
    <row r="225" spans="2:9" x14ac:dyDescent="0.25">
      <c r="B225" s="15"/>
      <c r="C225" s="15"/>
      <c r="D225" s="15"/>
      <c r="E225" s="15"/>
      <c r="F225" s="15"/>
      <c r="G225" s="15"/>
      <c r="H225" s="15"/>
      <c r="I225" s="15"/>
    </row>
    <row r="226" spans="2:9" x14ac:dyDescent="0.25">
      <c r="B226" s="15"/>
      <c r="C226" s="15"/>
      <c r="D226" s="15"/>
      <c r="E226" s="15"/>
      <c r="F226" s="15"/>
      <c r="G226" s="15"/>
      <c r="H226" s="15"/>
      <c r="I226" s="15"/>
    </row>
    <row r="227" spans="2:9" x14ac:dyDescent="0.25">
      <c r="B227" s="15"/>
      <c r="C227" s="15"/>
      <c r="D227" s="15"/>
      <c r="E227" s="15"/>
      <c r="F227" s="15"/>
      <c r="G227" s="15"/>
      <c r="H227" s="15"/>
      <c r="I227" s="15"/>
    </row>
    <row r="228" spans="2:9" x14ac:dyDescent="0.25">
      <c r="B228" s="15"/>
      <c r="C228" s="15"/>
      <c r="D228" s="15"/>
      <c r="E228" s="15"/>
      <c r="F228" s="15"/>
      <c r="G228" s="15"/>
      <c r="H228" s="15"/>
      <c r="I228" s="15"/>
    </row>
    <row r="229" spans="2:9" x14ac:dyDescent="0.25">
      <c r="B229" s="15"/>
      <c r="C229" s="15"/>
      <c r="D229" s="15"/>
      <c r="E229" s="15"/>
      <c r="F229" s="15"/>
      <c r="G229" s="15"/>
      <c r="H229" s="15"/>
      <c r="I229" s="15"/>
    </row>
    <row r="230" spans="2:9" x14ac:dyDescent="0.25">
      <c r="B230" s="15"/>
      <c r="C230" s="15"/>
      <c r="D230" s="15"/>
      <c r="E230" s="15"/>
      <c r="F230" s="15"/>
      <c r="G230" s="15"/>
      <c r="H230" s="15"/>
      <c r="I230" s="15"/>
    </row>
    <row r="231" spans="2:9" x14ac:dyDescent="0.25">
      <c r="B231" s="15"/>
      <c r="C231" s="15"/>
      <c r="D231" s="15"/>
      <c r="E231" s="15"/>
      <c r="F231" s="15"/>
      <c r="G231" s="15"/>
      <c r="H231" s="15"/>
      <c r="I231" s="15"/>
    </row>
    <row r="232" spans="2:9" x14ac:dyDescent="0.25">
      <c r="B232" s="15"/>
      <c r="C232" s="15"/>
      <c r="D232" s="15"/>
      <c r="E232" s="15"/>
      <c r="F232" s="15"/>
      <c r="G232" s="15"/>
      <c r="H232" s="15"/>
      <c r="I232" s="15"/>
    </row>
    <row r="233" spans="2:9" x14ac:dyDescent="0.25">
      <c r="B233" s="15"/>
      <c r="C233" s="15"/>
      <c r="D233" s="15"/>
      <c r="E233" s="15"/>
      <c r="F233" s="15"/>
      <c r="G233" s="15"/>
      <c r="H233" s="15"/>
      <c r="I233" s="15"/>
    </row>
    <row r="234" spans="2:9" x14ac:dyDescent="0.25">
      <c r="B234" s="15"/>
      <c r="C234" s="15"/>
      <c r="D234" s="15"/>
      <c r="E234" s="15"/>
      <c r="F234" s="15"/>
      <c r="G234" s="15"/>
      <c r="H234" s="15"/>
      <c r="I234" s="15"/>
    </row>
    <row r="235" spans="2:9" x14ac:dyDescent="0.25">
      <c r="B235" s="15"/>
      <c r="C235" s="15"/>
      <c r="D235" s="15"/>
      <c r="E235" s="15"/>
      <c r="F235" s="15"/>
      <c r="G235" s="15"/>
      <c r="H235" s="15"/>
      <c r="I235" s="15"/>
    </row>
    <row r="236" spans="2:9" x14ac:dyDescent="0.25">
      <c r="B236" s="15"/>
      <c r="C236" s="15"/>
      <c r="D236" s="15"/>
      <c r="E236" s="15"/>
      <c r="F236" s="15"/>
      <c r="G236" s="15"/>
      <c r="H236" s="15"/>
      <c r="I236" s="15"/>
    </row>
    <row r="237" spans="2:9" x14ac:dyDescent="0.25">
      <c r="B237" s="15"/>
      <c r="C237" s="15"/>
      <c r="D237" s="15"/>
      <c r="E237" s="15"/>
      <c r="F237" s="15"/>
      <c r="G237" s="15"/>
      <c r="H237" s="15"/>
      <c r="I237" s="15"/>
    </row>
    <row r="238" spans="2:9" x14ac:dyDescent="0.25">
      <c r="B238" s="15"/>
      <c r="C238" s="15"/>
      <c r="D238" s="15"/>
      <c r="E238" s="15"/>
      <c r="F238" s="15"/>
      <c r="G238" s="15"/>
      <c r="H238" s="15"/>
      <c r="I238" s="15"/>
    </row>
    <row r="239" spans="2:9" x14ac:dyDescent="0.25">
      <c r="B239" s="15"/>
      <c r="C239" s="15"/>
      <c r="D239" s="15"/>
      <c r="E239" s="15"/>
      <c r="F239" s="15"/>
      <c r="G239" s="15"/>
      <c r="H239" s="15"/>
      <c r="I239" s="15"/>
    </row>
    <row r="240" spans="2:9" x14ac:dyDescent="0.25">
      <c r="B240" s="15"/>
      <c r="C240" s="15"/>
      <c r="D240" s="15"/>
      <c r="E240" s="15"/>
      <c r="F240" s="15"/>
      <c r="G240" s="15"/>
      <c r="H240" s="15"/>
      <c r="I240" s="15"/>
    </row>
    <row r="241" spans="2:9" x14ac:dyDescent="0.25">
      <c r="B241" s="15"/>
      <c r="C241" s="15"/>
      <c r="D241" s="15"/>
      <c r="E241" s="15"/>
      <c r="F241" s="15"/>
      <c r="G241" s="15"/>
      <c r="H241" s="15"/>
      <c r="I241" s="15"/>
    </row>
    <row r="242" spans="2:9" x14ac:dyDescent="0.25">
      <c r="B242" s="15"/>
      <c r="C242" s="15"/>
      <c r="D242" s="15"/>
      <c r="E242" s="15"/>
      <c r="F242" s="15"/>
      <c r="G242" s="15"/>
      <c r="H242" s="15"/>
      <c r="I242" s="15"/>
    </row>
    <row r="243" spans="2:9" x14ac:dyDescent="0.25">
      <c r="B243" s="15"/>
      <c r="C243" s="15"/>
      <c r="D243" s="15"/>
      <c r="E243" s="15"/>
      <c r="F243" s="15"/>
      <c r="G243" s="15"/>
      <c r="H243" s="15"/>
      <c r="I243" s="15"/>
    </row>
    <row r="244" spans="2:9" x14ac:dyDescent="0.25">
      <c r="B244" s="15"/>
      <c r="C244" s="15"/>
      <c r="D244" s="15"/>
      <c r="E244" s="15"/>
      <c r="F244" s="15"/>
      <c r="G244" s="15"/>
      <c r="H244" s="15"/>
      <c r="I244" s="15"/>
    </row>
    <row r="245" spans="2:9" x14ac:dyDescent="0.25">
      <c r="B245" s="15"/>
      <c r="C245" s="15"/>
      <c r="D245" s="15"/>
      <c r="E245" s="15"/>
      <c r="F245" s="15"/>
      <c r="G245" s="15"/>
      <c r="H245" s="15"/>
      <c r="I245" s="15"/>
    </row>
    <row r="246" spans="2:9" x14ac:dyDescent="0.25">
      <c r="B246" s="15"/>
      <c r="C246" s="15"/>
      <c r="D246" s="15"/>
      <c r="E246" s="15"/>
      <c r="F246" s="15"/>
      <c r="G246" s="15"/>
      <c r="H246" s="15"/>
      <c r="I246" s="15"/>
    </row>
    <row r="247" spans="2:9" x14ac:dyDescent="0.25">
      <c r="B247" s="15"/>
      <c r="C247" s="15"/>
      <c r="D247" s="15"/>
      <c r="E247" s="15"/>
      <c r="F247" s="15"/>
      <c r="G247" s="15"/>
      <c r="H247" s="15"/>
      <c r="I247" s="15"/>
    </row>
    <row r="248" spans="2:9" x14ac:dyDescent="0.25">
      <c r="B248" s="15"/>
      <c r="C248" s="15"/>
      <c r="D248" s="15"/>
      <c r="E248" s="15"/>
      <c r="F248" s="15"/>
      <c r="G248" s="15"/>
      <c r="H248" s="15"/>
      <c r="I248" s="15"/>
    </row>
    <row r="249" spans="2:9" x14ac:dyDescent="0.25">
      <c r="B249" s="15"/>
      <c r="C249" s="15"/>
      <c r="D249" s="15"/>
      <c r="E249" s="15"/>
      <c r="F249" s="15"/>
      <c r="G249" s="15"/>
      <c r="H249" s="15"/>
      <c r="I249" s="15"/>
    </row>
    <row r="250" spans="2:9" x14ac:dyDescent="0.25">
      <c r="B250" s="15"/>
      <c r="C250" s="15"/>
      <c r="D250" s="15"/>
      <c r="E250" s="15"/>
      <c r="F250" s="15"/>
      <c r="G250" s="15"/>
      <c r="H250" s="15"/>
      <c r="I250" s="15"/>
    </row>
    <row r="251" spans="2:9" x14ac:dyDescent="0.25">
      <c r="B251" s="15"/>
      <c r="C251" s="15"/>
      <c r="D251" s="15"/>
      <c r="E251" s="15"/>
      <c r="F251" s="15"/>
      <c r="G251" s="15"/>
      <c r="H251" s="15"/>
      <c r="I251" s="15"/>
    </row>
    <row r="252" spans="2:9" x14ac:dyDescent="0.25">
      <c r="B252" s="15"/>
      <c r="C252" s="15"/>
      <c r="D252" s="15"/>
      <c r="E252" s="15"/>
      <c r="F252" s="15"/>
      <c r="G252" s="15"/>
      <c r="H252" s="15"/>
      <c r="I252" s="15"/>
    </row>
    <row r="253" spans="2:9" x14ac:dyDescent="0.25">
      <c r="B253" s="15"/>
      <c r="C253" s="15"/>
      <c r="D253" s="15"/>
      <c r="E253" s="15"/>
      <c r="F253" s="15"/>
      <c r="G253" s="15"/>
      <c r="H253" s="15"/>
      <c r="I253" s="15"/>
    </row>
    <row r="254" spans="2:9" x14ac:dyDescent="0.25">
      <c r="B254" s="15"/>
      <c r="C254" s="15"/>
      <c r="D254" s="15"/>
      <c r="E254" s="15"/>
      <c r="F254" s="15"/>
      <c r="G254" s="15"/>
      <c r="H254" s="15"/>
      <c r="I254" s="15"/>
    </row>
    <row r="255" spans="2:9" x14ac:dyDescent="0.25">
      <c r="B255" s="15"/>
      <c r="C255" s="15"/>
      <c r="D255" s="15"/>
      <c r="E255" s="15"/>
      <c r="F255" s="15"/>
      <c r="G255" s="15"/>
      <c r="H255" s="15"/>
      <c r="I255" s="15"/>
    </row>
    <row r="256" spans="2:9" x14ac:dyDescent="0.25">
      <c r="B256" s="15"/>
      <c r="C256" s="15"/>
      <c r="D256" s="15"/>
      <c r="E256" s="15"/>
      <c r="F256" s="15"/>
      <c r="G256" s="15"/>
      <c r="H256" s="15"/>
      <c r="I256" s="15"/>
    </row>
    <row r="257" spans="2:9" x14ac:dyDescent="0.25">
      <c r="B257" s="15"/>
      <c r="C257" s="15"/>
      <c r="D257" s="15"/>
      <c r="E257" s="15"/>
      <c r="F257" s="15"/>
      <c r="G257" s="15"/>
      <c r="H257" s="15"/>
      <c r="I257" s="15"/>
    </row>
    <row r="258" spans="2:9" x14ac:dyDescent="0.25">
      <c r="B258" s="15"/>
      <c r="C258" s="15"/>
      <c r="D258" s="15"/>
      <c r="E258" s="15"/>
      <c r="F258" s="15"/>
      <c r="G258" s="15"/>
      <c r="H258" s="15"/>
      <c r="I258" s="15"/>
    </row>
    <row r="259" spans="2:9" x14ac:dyDescent="0.25">
      <c r="B259" s="15"/>
      <c r="C259" s="15"/>
      <c r="D259" s="15"/>
      <c r="E259" s="15"/>
      <c r="F259" s="15"/>
      <c r="G259" s="15"/>
      <c r="H259" s="15"/>
      <c r="I259" s="15"/>
    </row>
    <row r="260" spans="2:9" x14ac:dyDescent="0.25">
      <c r="B260" s="15"/>
      <c r="C260" s="15"/>
      <c r="D260" s="15"/>
      <c r="E260" s="15"/>
      <c r="F260" s="15"/>
      <c r="G260" s="15"/>
      <c r="H260" s="15"/>
      <c r="I260" s="15"/>
    </row>
    <row r="261" spans="2:9" x14ac:dyDescent="0.25">
      <c r="B261" s="15"/>
      <c r="C261" s="15"/>
      <c r="D261" s="15"/>
      <c r="E261" s="15"/>
      <c r="F261" s="15"/>
      <c r="G261" s="15"/>
      <c r="H261" s="15"/>
      <c r="I261" s="15"/>
    </row>
    <row r="262" spans="2:9" x14ac:dyDescent="0.25">
      <c r="B262" s="15"/>
      <c r="C262" s="15"/>
      <c r="D262" s="15"/>
      <c r="E262" s="15"/>
      <c r="F262" s="15"/>
      <c r="G262" s="15"/>
      <c r="H262" s="15"/>
      <c r="I262" s="15"/>
    </row>
    <row r="263" spans="2:9" x14ac:dyDescent="0.25">
      <c r="B263" s="15"/>
      <c r="C263" s="15"/>
      <c r="D263" s="15"/>
      <c r="E263" s="15"/>
      <c r="F263" s="15"/>
      <c r="G263" s="15"/>
      <c r="H263" s="15"/>
      <c r="I263" s="15"/>
    </row>
    <row r="264" spans="2:9" x14ac:dyDescent="0.25">
      <c r="B264" s="15"/>
      <c r="C264" s="15"/>
      <c r="D264" s="15"/>
      <c r="E264" s="15"/>
      <c r="F264" s="15"/>
      <c r="G264" s="15"/>
      <c r="H264" s="15"/>
      <c r="I264" s="15"/>
    </row>
    <row r="265" spans="2:9" x14ac:dyDescent="0.25">
      <c r="B265" s="15"/>
      <c r="C265" s="15"/>
      <c r="D265" s="15"/>
      <c r="E265" s="15"/>
      <c r="F265" s="15"/>
      <c r="G265" s="15"/>
      <c r="H265" s="15"/>
      <c r="I265" s="15"/>
    </row>
    <row r="266" spans="2:9" x14ac:dyDescent="0.25">
      <c r="B266" s="15"/>
      <c r="C266" s="15"/>
      <c r="D266" s="15"/>
      <c r="E266" s="15"/>
      <c r="F266" s="15"/>
      <c r="G266" s="15"/>
      <c r="H266" s="15"/>
      <c r="I266" s="15"/>
    </row>
    <row r="267" spans="2:9" x14ac:dyDescent="0.25">
      <c r="B267" s="15"/>
      <c r="C267" s="15"/>
      <c r="D267" s="15"/>
      <c r="E267" s="15"/>
      <c r="F267" s="15"/>
      <c r="G267" s="15"/>
      <c r="H267" s="15"/>
      <c r="I267" s="15"/>
    </row>
    <row r="268" spans="2:9" x14ac:dyDescent="0.25">
      <c r="B268" s="15"/>
      <c r="C268" s="15"/>
      <c r="D268" s="15"/>
      <c r="E268" s="15"/>
      <c r="F268" s="15"/>
      <c r="G268" s="15"/>
      <c r="H268" s="15"/>
      <c r="I268" s="15"/>
    </row>
    <row r="269" spans="2:9" x14ac:dyDescent="0.25">
      <c r="B269" s="15"/>
      <c r="C269" s="15"/>
      <c r="D269" s="15"/>
      <c r="E269" s="15"/>
      <c r="F269" s="15"/>
      <c r="G269" s="15"/>
      <c r="H269" s="15"/>
      <c r="I269" s="15"/>
    </row>
    <row r="270" spans="2:9" x14ac:dyDescent="0.25">
      <c r="B270" s="15"/>
      <c r="C270" s="15"/>
      <c r="D270" s="15"/>
      <c r="E270" s="15"/>
      <c r="F270" s="15"/>
      <c r="G270" s="15"/>
      <c r="H270" s="15"/>
      <c r="I270" s="15"/>
    </row>
    <row r="271" spans="2:9" x14ac:dyDescent="0.25">
      <c r="B271" s="15"/>
      <c r="C271" s="15"/>
      <c r="D271" s="15"/>
      <c r="E271" s="15"/>
      <c r="F271" s="15"/>
      <c r="G271" s="15"/>
      <c r="H271" s="15"/>
      <c r="I271" s="15"/>
    </row>
    <row r="272" spans="2:9" x14ac:dyDescent="0.25">
      <c r="B272" s="15"/>
      <c r="C272" s="15"/>
      <c r="D272" s="15"/>
      <c r="E272" s="15"/>
      <c r="F272" s="15"/>
      <c r="G272" s="15"/>
      <c r="H272" s="15"/>
      <c r="I272" s="15"/>
    </row>
    <row r="273" spans="2:9" x14ac:dyDescent="0.25">
      <c r="B273" s="15"/>
      <c r="C273" s="15"/>
      <c r="D273" s="15"/>
      <c r="E273" s="15"/>
      <c r="F273" s="15"/>
      <c r="G273" s="15"/>
      <c r="H273" s="15"/>
      <c r="I273" s="15"/>
    </row>
    <row r="274" spans="2:9" x14ac:dyDescent="0.25">
      <c r="B274" s="15"/>
      <c r="C274" s="15"/>
      <c r="D274" s="15"/>
      <c r="E274" s="15"/>
      <c r="F274" s="15"/>
      <c r="G274" s="15"/>
      <c r="H274" s="15"/>
      <c r="I274" s="15"/>
    </row>
    <row r="275" spans="2:9" x14ac:dyDescent="0.25">
      <c r="B275" s="15"/>
      <c r="C275" s="15"/>
      <c r="D275" s="15"/>
      <c r="E275" s="15"/>
      <c r="F275" s="15"/>
      <c r="G275" s="15"/>
      <c r="H275" s="15"/>
      <c r="I275" s="15"/>
    </row>
    <row r="276" spans="2:9" x14ac:dyDescent="0.25">
      <c r="B276" s="15"/>
      <c r="C276" s="15"/>
      <c r="D276" s="15"/>
      <c r="E276" s="15"/>
      <c r="F276" s="15"/>
      <c r="G276" s="15"/>
      <c r="H276" s="15"/>
      <c r="I276" s="15"/>
    </row>
    <row r="277" spans="2:9" x14ac:dyDescent="0.25">
      <c r="B277" s="15"/>
      <c r="C277" s="15"/>
      <c r="D277" s="15"/>
      <c r="E277" s="15"/>
      <c r="F277" s="15"/>
      <c r="G277" s="15"/>
      <c r="H277" s="15"/>
      <c r="I277" s="15"/>
    </row>
    <row r="278" spans="2:9" x14ac:dyDescent="0.25">
      <c r="B278" s="15"/>
      <c r="C278" s="15"/>
      <c r="D278" s="15"/>
      <c r="E278" s="15"/>
      <c r="F278" s="15"/>
      <c r="G278" s="15"/>
      <c r="H278" s="15"/>
      <c r="I278" s="15"/>
    </row>
    <row r="279" spans="2:9" x14ac:dyDescent="0.25">
      <c r="B279" s="15"/>
      <c r="C279" s="15"/>
      <c r="D279" s="15"/>
      <c r="E279" s="15"/>
      <c r="F279" s="15"/>
      <c r="G279" s="15"/>
      <c r="H279" s="15"/>
      <c r="I279" s="15"/>
    </row>
    <row r="280" spans="2:9" x14ac:dyDescent="0.25">
      <c r="B280" s="15"/>
      <c r="C280" s="15"/>
      <c r="D280" s="15"/>
      <c r="E280" s="15"/>
      <c r="F280" s="15"/>
      <c r="G280" s="15"/>
      <c r="H280" s="15"/>
      <c r="I280" s="15"/>
    </row>
    <row r="281" spans="2:9" x14ac:dyDescent="0.25">
      <c r="B281" s="15"/>
      <c r="C281" s="15"/>
      <c r="D281" s="15"/>
      <c r="E281" s="15"/>
      <c r="F281" s="15"/>
      <c r="G281" s="15"/>
      <c r="H281" s="15"/>
      <c r="I281" s="15"/>
    </row>
    <row r="282" spans="2:9" x14ac:dyDescent="0.25">
      <c r="B282" s="15"/>
      <c r="C282" s="15"/>
      <c r="D282" s="15"/>
      <c r="E282" s="15"/>
      <c r="F282" s="15"/>
      <c r="G282" s="15"/>
      <c r="H282" s="15"/>
      <c r="I282" s="15"/>
    </row>
    <row r="283" spans="2:9" x14ac:dyDescent="0.25">
      <c r="B283" s="15"/>
      <c r="C283" s="15"/>
      <c r="D283" s="15"/>
      <c r="E283" s="15"/>
      <c r="F283" s="15"/>
      <c r="G283" s="15"/>
      <c r="H283" s="15"/>
      <c r="I283" s="15"/>
    </row>
    <row r="284" spans="2:9" x14ac:dyDescent="0.25">
      <c r="B284" s="15"/>
      <c r="C284" s="15"/>
      <c r="D284" s="15"/>
      <c r="E284" s="15"/>
      <c r="F284" s="15"/>
      <c r="G284" s="15"/>
      <c r="H284" s="15"/>
      <c r="I284" s="15"/>
    </row>
    <row r="285" spans="2:9" x14ac:dyDescent="0.25">
      <c r="B285" s="15"/>
      <c r="C285" s="15"/>
      <c r="D285" s="15"/>
      <c r="E285" s="15"/>
      <c r="F285" s="15"/>
      <c r="G285" s="15"/>
      <c r="H285" s="15"/>
      <c r="I285" s="15"/>
    </row>
    <row r="286" spans="2:9" x14ac:dyDescent="0.25">
      <c r="B286" s="15"/>
      <c r="C286" s="15"/>
      <c r="D286" s="15"/>
      <c r="E286" s="15"/>
      <c r="F286" s="15"/>
      <c r="G286" s="15"/>
      <c r="H286" s="15"/>
      <c r="I286" s="15"/>
    </row>
    <row r="287" spans="2:9" x14ac:dyDescent="0.25">
      <c r="B287" s="15"/>
      <c r="C287" s="15"/>
      <c r="D287" s="15"/>
      <c r="E287" s="15"/>
      <c r="F287" s="15"/>
      <c r="G287" s="15"/>
      <c r="H287" s="15"/>
      <c r="I287" s="15"/>
    </row>
    <row r="288" spans="2:9" x14ac:dyDescent="0.25">
      <c r="B288" s="15"/>
      <c r="C288" s="15"/>
      <c r="D288" s="15"/>
      <c r="E288" s="15"/>
      <c r="F288" s="15"/>
      <c r="G288" s="15"/>
      <c r="H288" s="15"/>
      <c r="I288" s="15"/>
    </row>
    <row r="289" spans="2:9" x14ac:dyDescent="0.25">
      <c r="B289" s="15"/>
      <c r="C289" s="15"/>
      <c r="D289" s="15"/>
      <c r="E289" s="15"/>
      <c r="F289" s="15"/>
      <c r="G289" s="15"/>
      <c r="H289" s="15"/>
      <c r="I289" s="15"/>
    </row>
    <row r="290" spans="2:9" x14ac:dyDescent="0.25">
      <c r="B290" s="15"/>
      <c r="C290" s="15"/>
      <c r="D290" s="15"/>
      <c r="E290" s="15"/>
      <c r="F290" s="15"/>
      <c r="G290" s="15"/>
      <c r="H290" s="15"/>
      <c r="I290" s="15"/>
    </row>
    <row r="291" spans="2:9" x14ac:dyDescent="0.25">
      <c r="B291" s="15"/>
      <c r="C291" s="15"/>
      <c r="D291" s="15"/>
      <c r="E291" s="15"/>
      <c r="F291" s="15"/>
      <c r="G291" s="15"/>
      <c r="H291" s="15"/>
      <c r="I291" s="15"/>
    </row>
    <row r="292" spans="2:9" x14ac:dyDescent="0.25">
      <c r="B292" s="15"/>
      <c r="C292" s="15"/>
      <c r="D292" s="15"/>
      <c r="E292" s="15"/>
      <c r="F292" s="15"/>
      <c r="G292" s="15"/>
      <c r="H292" s="15"/>
      <c r="I292" s="15"/>
    </row>
    <row r="293" spans="2:9" x14ac:dyDescent="0.25">
      <c r="B293" s="15"/>
      <c r="C293" s="15"/>
      <c r="D293" s="15"/>
      <c r="E293" s="15"/>
      <c r="F293" s="15"/>
      <c r="G293" s="15"/>
      <c r="H293" s="15"/>
      <c r="I293" s="15"/>
    </row>
    <row r="294" spans="2:9" x14ac:dyDescent="0.25">
      <c r="B294" s="15"/>
      <c r="C294" s="15"/>
      <c r="D294" s="15"/>
      <c r="E294" s="15"/>
      <c r="F294" s="15"/>
      <c r="G294" s="15"/>
      <c r="H294" s="15"/>
      <c r="I294" s="15"/>
    </row>
    <row r="295" spans="2:9" x14ac:dyDescent="0.25">
      <c r="B295" s="15"/>
      <c r="C295" s="15"/>
      <c r="D295" s="15"/>
      <c r="E295" s="15"/>
      <c r="F295" s="15"/>
      <c r="G295" s="15"/>
      <c r="H295" s="15"/>
      <c r="I295" s="15"/>
    </row>
    <row r="296" spans="2:9" x14ac:dyDescent="0.25">
      <c r="B296" s="15"/>
      <c r="C296" s="15"/>
      <c r="D296" s="15"/>
      <c r="E296" s="15"/>
      <c r="F296" s="15"/>
      <c r="G296" s="15"/>
      <c r="H296" s="15"/>
      <c r="I296" s="15"/>
    </row>
    <row r="297" spans="2:9" x14ac:dyDescent="0.25">
      <c r="B297" s="15"/>
      <c r="C297" s="15"/>
      <c r="D297" s="15"/>
      <c r="E297" s="15"/>
      <c r="F297" s="15"/>
      <c r="G297" s="15"/>
      <c r="H297" s="15"/>
      <c r="I297" s="15"/>
    </row>
    <row r="298" spans="2:9" x14ac:dyDescent="0.25">
      <c r="B298" s="15"/>
      <c r="C298" s="15"/>
      <c r="D298" s="15"/>
      <c r="E298" s="15"/>
      <c r="F298" s="15"/>
      <c r="G298" s="15"/>
      <c r="H298" s="15"/>
      <c r="I298" s="15"/>
    </row>
    <row r="299" spans="2:9" x14ac:dyDescent="0.25">
      <c r="B299" s="15"/>
      <c r="C299" s="15"/>
      <c r="D299" s="15"/>
      <c r="E299" s="15"/>
      <c r="F299" s="15"/>
      <c r="G299" s="15"/>
      <c r="H299" s="15"/>
      <c r="I299" s="15"/>
    </row>
    <row r="300" spans="2:9" x14ac:dyDescent="0.25">
      <c r="B300" s="15"/>
      <c r="C300" s="15"/>
      <c r="D300" s="15"/>
      <c r="E300" s="15"/>
      <c r="F300" s="15"/>
      <c r="G300" s="15"/>
      <c r="H300" s="15"/>
      <c r="I300" s="15"/>
    </row>
    <row r="301" spans="2:9" x14ac:dyDescent="0.25">
      <c r="B301" s="15"/>
      <c r="C301" s="15"/>
      <c r="D301" s="15"/>
      <c r="E301" s="15"/>
      <c r="F301" s="15"/>
      <c r="G301" s="15"/>
      <c r="H301" s="15"/>
      <c r="I301" s="15"/>
    </row>
    <row r="302" spans="2:9" x14ac:dyDescent="0.25">
      <c r="B302" s="15"/>
      <c r="C302" s="15"/>
      <c r="D302" s="15"/>
      <c r="E302" s="15"/>
      <c r="F302" s="15"/>
      <c r="G302" s="15"/>
      <c r="H302" s="15"/>
      <c r="I302" s="15"/>
    </row>
    <row r="303" spans="2:9" x14ac:dyDescent="0.25">
      <c r="B303" s="15"/>
      <c r="C303" s="15"/>
      <c r="D303" s="15"/>
      <c r="E303" s="15"/>
      <c r="F303" s="15"/>
      <c r="G303" s="15"/>
      <c r="H303" s="15"/>
      <c r="I303" s="15"/>
    </row>
    <row r="304" spans="2:9" x14ac:dyDescent="0.25">
      <c r="B304" s="15"/>
      <c r="C304" s="15"/>
      <c r="D304" s="15"/>
      <c r="E304" s="15"/>
      <c r="F304" s="15"/>
      <c r="G304" s="15"/>
      <c r="H304" s="15"/>
      <c r="I304" s="15"/>
    </row>
    <row r="305" spans="2:9" x14ac:dyDescent="0.25">
      <c r="B305" s="15"/>
      <c r="C305" s="15"/>
      <c r="D305" s="15"/>
      <c r="E305" s="15"/>
      <c r="F305" s="15"/>
      <c r="G305" s="15"/>
      <c r="H305" s="15"/>
      <c r="I305" s="15"/>
    </row>
    <row r="306" spans="2:9" x14ac:dyDescent="0.25">
      <c r="B306" s="15"/>
      <c r="C306" s="15"/>
      <c r="D306" s="15"/>
      <c r="E306" s="15"/>
      <c r="F306" s="15"/>
      <c r="G306" s="15"/>
      <c r="H306" s="15"/>
      <c r="I306" s="15"/>
    </row>
    <row r="307" spans="2:9" x14ac:dyDescent="0.25">
      <c r="B307" s="15"/>
      <c r="C307" s="15"/>
      <c r="D307" s="15"/>
      <c r="E307" s="15"/>
      <c r="F307" s="15"/>
      <c r="G307" s="15"/>
      <c r="H307" s="15"/>
      <c r="I307" s="15"/>
    </row>
    <row r="308" spans="2:9" x14ac:dyDescent="0.25">
      <c r="B308" s="15"/>
      <c r="C308" s="15"/>
      <c r="D308" s="15"/>
      <c r="E308" s="15"/>
      <c r="F308" s="15"/>
      <c r="G308" s="15"/>
      <c r="H308" s="15"/>
      <c r="I308" s="15"/>
    </row>
    <row r="309" spans="2:9" x14ac:dyDescent="0.25">
      <c r="B309" s="15"/>
      <c r="C309" s="15"/>
      <c r="D309" s="15"/>
      <c r="E309" s="15"/>
      <c r="F309" s="15"/>
      <c r="G309" s="15"/>
      <c r="H309" s="15"/>
      <c r="I309" s="15"/>
    </row>
    <row r="310" spans="2:9" x14ac:dyDescent="0.25">
      <c r="B310" s="15"/>
      <c r="C310" s="15"/>
      <c r="D310" s="15"/>
      <c r="E310" s="15"/>
      <c r="F310" s="15"/>
      <c r="G310" s="15"/>
      <c r="H310" s="15"/>
      <c r="I310" s="15"/>
    </row>
    <row r="311" spans="2:9" x14ac:dyDescent="0.25">
      <c r="B311" s="15"/>
      <c r="C311" s="15"/>
      <c r="D311" s="15"/>
      <c r="E311" s="15"/>
      <c r="F311" s="15"/>
      <c r="G311" s="15"/>
      <c r="H311" s="15"/>
      <c r="I311" s="15"/>
    </row>
    <row r="312" spans="2:9" x14ac:dyDescent="0.25">
      <c r="B312" s="15"/>
      <c r="C312" s="15"/>
      <c r="D312" s="15"/>
      <c r="E312" s="15"/>
      <c r="F312" s="15"/>
      <c r="G312" s="15"/>
      <c r="H312" s="15"/>
      <c r="I312" s="15"/>
    </row>
    <row r="313" spans="2:9" x14ac:dyDescent="0.25">
      <c r="B313" s="15"/>
      <c r="C313" s="15"/>
      <c r="D313" s="15"/>
      <c r="E313" s="15"/>
      <c r="F313" s="15"/>
      <c r="G313" s="15"/>
      <c r="H313" s="15"/>
      <c r="I313" s="15"/>
    </row>
    <row r="314" spans="2:9" x14ac:dyDescent="0.25">
      <c r="B314" s="15"/>
      <c r="C314" s="15"/>
      <c r="D314" s="15"/>
      <c r="E314" s="15"/>
      <c r="F314" s="15"/>
      <c r="G314" s="15"/>
      <c r="H314" s="15"/>
      <c r="I314" s="15"/>
    </row>
    <row r="315" spans="2:9" x14ac:dyDescent="0.25">
      <c r="B315" s="15"/>
      <c r="C315" s="15"/>
      <c r="D315" s="15"/>
      <c r="E315" s="15"/>
      <c r="F315" s="15"/>
      <c r="G315" s="15"/>
      <c r="H315" s="15"/>
      <c r="I315" s="15"/>
    </row>
    <row r="316" spans="2:9" x14ac:dyDescent="0.25">
      <c r="B316" s="15"/>
      <c r="C316" s="15"/>
      <c r="D316" s="15"/>
      <c r="E316" s="15"/>
      <c r="F316" s="15"/>
      <c r="G316" s="15"/>
      <c r="H316" s="15"/>
      <c r="I316" s="15"/>
    </row>
    <row r="317" spans="2:9" x14ac:dyDescent="0.25">
      <c r="B317" s="15"/>
      <c r="C317" s="15"/>
      <c r="D317" s="15"/>
      <c r="E317" s="15"/>
      <c r="F317" s="15"/>
      <c r="G317" s="15"/>
      <c r="H317" s="15"/>
      <c r="I317" s="15"/>
    </row>
    <row r="318" spans="2:9" x14ac:dyDescent="0.25">
      <c r="B318" s="15"/>
      <c r="C318" s="15"/>
      <c r="D318" s="15"/>
      <c r="E318" s="15"/>
      <c r="F318" s="15"/>
      <c r="G318" s="15"/>
      <c r="H318" s="15"/>
      <c r="I318" s="15"/>
    </row>
    <row r="319" spans="2:9" x14ac:dyDescent="0.25">
      <c r="B319" s="15"/>
      <c r="C319" s="15"/>
      <c r="D319" s="15"/>
      <c r="E319" s="15"/>
      <c r="F319" s="15"/>
      <c r="G319" s="15"/>
      <c r="H319" s="15"/>
      <c r="I319" s="15"/>
    </row>
    <row r="320" spans="2:9" x14ac:dyDescent="0.25">
      <c r="B320" s="15"/>
      <c r="C320" s="15"/>
      <c r="D320" s="15"/>
      <c r="E320" s="15"/>
      <c r="F320" s="15"/>
      <c r="G320" s="15"/>
      <c r="H320" s="15"/>
      <c r="I320" s="15"/>
    </row>
    <row r="321" spans="2:9" x14ac:dyDescent="0.25">
      <c r="B321" s="15"/>
      <c r="C321" s="15"/>
      <c r="D321" s="15"/>
      <c r="E321" s="15"/>
      <c r="F321" s="15"/>
      <c r="G321" s="15"/>
      <c r="H321" s="15"/>
      <c r="I321" s="15"/>
    </row>
    <row r="322" spans="2:9" x14ac:dyDescent="0.25">
      <c r="B322" s="15"/>
      <c r="C322" s="15"/>
      <c r="D322" s="15"/>
      <c r="E322" s="15"/>
      <c r="F322" s="15"/>
      <c r="G322" s="15"/>
      <c r="H322" s="15"/>
      <c r="I322" s="15"/>
    </row>
    <row r="323" spans="2:9" x14ac:dyDescent="0.25">
      <c r="B323" s="15"/>
      <c r="C323" s="15"/>
      <c r="D323" s="15"/>
      <c r="E323" s="15"/>
      <c r="F323" s="15"/>
      <c r="G323" s="15"/>
      <c r="H323" s="15"/>
      <c r="I323" s="15"/>
    </row>
    <row r="324" spans="2:9" x14ac:dyDescent="0.25">
      <c r="B324" s="15"/>
      <c r="C324" s="15"/>
      <c r="D324" s="15"/>
      <c r="E324" s="15"/>
      <c r="F324" s="15"/>
      <c r="G324" s="15"/>
      <c r="H324" s="15"/>
      <c r="I324" s="15"/>
    </row>
    <row r="325" spans="2:9" x14ac:dyDescent="0.25">
      <c r="B325" s="15"/>
      <c r="C325" s="15"/>
      <c r="D325" s="15"/>
      <c r="E325" s="15"/>
      <c r="F325" s="15"/>
      <c r="G325" s="15"/>
      <c r="H325" s="15"/>
      <c r="I325" s="15"/>
    </row>
    <row r="326" spans="2:9" x14ac:dyDescent="0.25">
      <c r="B326" s="15"/>
      <c r="C326" s="15"/>
      <c r="D326" s="15"/>
      <c r="E326" s="15"/>
      <c r="F326" s="15"/>
      <c r="G326" s="15"/>
      <c r="H326" s="15"/>
      <c r="I326" s="15"/>
    </row>
    <row r="327" spans="2:9" x14ac:dyDescent="0.25">
      <c r="B327" s="15"/>
      <c r="C327" s="15"/>
      <c r="D327" s="15"/>
      <c r="E327" s="15"/>
      <c r="F327" s="15"/>
      <c r="G327" s="15"/>
      <c r="H327" s="15"/>
      <c r="I327" s="15"/>
    </row>
    <row r="328" spans="2:9" x14ac:dyDescent="0.25">
      <c r="B328" s="15"/>
      <c r="C328" s="15"/>
      <c r="D328" s="15"/>
      <c r="E328" s="15"/>
      <c r="F328" s="15"/>
      <c r="G328" s="15"/>
      <c r="H328" s="15"/>
      <c r="I328" s="15"/>
    </row>
    <row r="329" spans="2:9" x14ac:dyDescent="0.25">
      <c r="B329" s="15"/>
      <c r="C329" s="15"/>
      <c r="D329" s="15"/>
      <c r="E329" s="15"/>
      <c r="F329" s="15"/>
      <c r="G329" s="15"/>
      <c r="H329" s="15"/>
      <c r="I329" s="15"/>
    </row>
    <row r="330" spans="2:9" x14ac:dyDescent="0.25">
      <c r="B330" s="15"/>
      <c r="C330" s="15"/>
      <c r="D330" s="15"/>
      <c r="E330" s="15"/>
      <c r="F330" s="15"/>
      <c r="G330" s="15"/>
      <c r="H330" s="15"/>
      <c r="I330" s="15"/>
    </row>
    <row r="331" spans="2:9" x14ac:dyDescent="0.25">
      <c r="B331" s="15"/>
      <c r="C331" s="15"/>
      <c r="D331" s="15"/>
      <c r="E331" s="15"/>
      <c r="F331" s="15"/>
      <c r="G331" s="15"/>
      <c r="H331" s="15"/>
      <c r="I331" s="15"/>
    </row>
    <row r="332" spans="2:9" x14ac:dyDescent="0.25">
      <c r="B332" s="15"/>
      <c r="C332" s="15"/>
      <c r="D332" s="15"/>
      <c r="E332" s="15"/>
      <c r="F332" s="15"/>
      <c r="G332" s="15"/>
      <c r="H332" s="15"/>
      <c r="I332" s="15"/>
    </row>
    <row r="333" spans="2:9" x14ac:dyDescent="0.25">
      <c r="B333" s="15"/>
      <c r="C333" s="15"/>
      <c r="D333" s="15"/>
      <c r="E333" s="15"/>
      <c r="F333" s="15"/>
      <c r="G333" s="15"/>
      <c r="H333" s="15"/>
      <c r="I333" s="15"/>
    </row>
    <row r="334" spans="2:9" x14ac:dyDescent="0.25">
      <c r="B334" s="15"/>
      <c r="C334" s="15"/>
      <c r="D334" s="15"/>
      <c r="E334" s="15"/>
      <c r="F334" s="15"/>
      <c r="G334" s="15"/>
      <c r="H334" s="15"/>
      <c r="I334" s="15"/>
    </row>
    <row r="335" spans="2:9" x14ac:dyDescent="0.25">
      <c r="B335" s="15"/>
      <c r="C335" s="15"/>
      <c r="D335" s="15"/>
      <c r="E335" s="15"/>
      <c r="F335" s="15"/>
      <c r="G335" s="15"/>
      <c r="H335" s="15"/>
      <c r="I335" s="15"/>
    </row>
    <row r="336" spans="2:9" x14ac:dyDescent="0.25">
      <c r="B336" s="15"/>
      <c r="C336" s="15"/>
      <c r="D336" s="15"/>
      <c r="E336" s="15"/>
      <c r="F336" s="15"/>
      <c r="G336" s="15"/>
      <c r="H336" s="15"/>
      <c r="I336" s="15"/>
    </row>
    <row r="337" spans="2:9" x14ac:dyDescent="0.25">
      <c r="B337" s="15"/>
      <c r="C337" s="15"/>
      <c r="D337" s="15"/>
      <c r="E337" s="15"/>
      <c r="F337" s="15"/>
      <c r="G337" s="15"/>
      <c r="H337" s="15"/>
      <c r="I337" s="15"/>
    </row>
    <row r="338" spans="2:9" x14ac:dyDescent="0.25">
      <c r="B338" s="15"/>
      <c r="C338" s="15"/>
      <c r="D338" s="15"/>
      <c r="E338" s="15"/>
      <c r="F338" s="15"/>
      <c r="G338" s="15"/>
      <c r="H338" s="15"/>
      <c r="I338" s="15"/>
    </row>
    <row r="339" spans="2:9" x14ac:dyDescent="0.25">
      <c r="B339" s="15"/>
      <c r="C339" s="15"/>
      <c r="D339" s="15"/>
      <c r="E339" s="15"/>
      <c r="F339" s="15"/>
      <c r="G339" s="15"/>
      <c r="H339" s="15"/>
      <c r="I339" s="15"/>
    </row>
    <row r="340" spans="2:9" x14ac:dyDescent="0.25">
      <c r="B340" s="15"/>
      <c r="C340" s="15"/>
      <c r="D340" s="15"/>
      <c r="E340" s="15"/>
      <c r="F340" s="15"/>
      <c r="G340" s="15"/>
      <c r="H340" s="15"/>
      <c r="I340" s="15"/>
    </row>
    <row r="341" spans="2:9" x14ac:dyDescent="0.25">
      <c r="B341" s="15"/>
      <c r="C341" s="15"/>
      <c r="D341" s="15"/>
      <c r="E341" s="15"/>
      <c r="F341" s="15"/>
      <c r="G341" s="15"/>
      <c r="H341" s="15"/>
      <c r="I341" s="15"/>
    </row>
    <row r="342" spans="2:9" x14ac:dyDescent="0.25">
      <c r="B342" s="15"/>
      <c r="C342" s="15"/>
      <c r="D342" s="15"/>
      <c r="E342" s="15"/>
      <c r="F342" s="15"/>
      <c r="G342" s="15"/>
      <c r="H342" s="15"/>
      <c r="I342" s="15"/>
    </row>
    <row r="343" spans="2:9" x14ac:dyDescent="0.25">
      <c r="B343" s="15"/>
      <c r="C343" s="15"/>
      <c r="D343" s="15"/>
      <c r="E343" s="15"/>
      <c r="F343" s="15"/>
      <c r="G343" s="15"/>
      <c r="H343" s="15"/>
      <c r="I343" s="15"/>
    </row>
    <row r="344" spans="2:9" x14ac:dyDescent="0.25">
      <c r="B344" s="15"/>
      <c r="C344" s="15"/>
      <c r="D344" s="15"/>
      <c r="E344" s="15"/>
      <c r="F344" s="15"/>
      <c r="G344" s="15"/>
      <c r="H344" s="15"/>
      <c r="I344" s="15"/>
    </row>
    <row r="345" spans="2:9" x14ac:dyDescent="0.25">
      <c r="B345" s="15"/>
      <c r="C345" s="15"/>
      <c r="D345" s="15"/>
      <c r="E345" s="15"/>
      <c r="F345" s="15"/>
      <c r="G345" s="15"/>
      <c r="H345" s="15"/>
      <c r="I345" s="15"/>
    </row>
    <row r="346" spans="2:9" x14ac:dyDescent="0.25">
      <c r="B346" s="15"/>
      <c r="C346" s="15"/>
      <c r="D346" s="15"/>
      <c r="E346" s="15"/>
      <c r="F346" s="15"/>
      <c r="G346" s="15"/>
      <c r="H346" s="15"/>
      <c r="I346" s="15"/>
    </row>
    <row r="347" spans="2:9" x14ac:dyDescent="0.25">
      <c r="B347" s="15"/>
      <c r="C347" s="15"/>
      <c r="D347" s="15"/>
      <c r="E347" s="15"/>
      <c r="F347" s="15"/>
      <c r="G347" s="15"/>
      <c r="H347" s="15"/>
      <c r="I347" s="15"/>
    </row>
    <row r="348" spans="2:9" x14ac:dyDescent="0.25">
      <c r="B348" s="15"/>
      <c r="C348" s="15"/>
      <c r="D348" s="15"/>
      <c r="E348" s="15"/>
      <c r="F348" s="15"/>
      <c r="G348" s="15"/>
      <c r="H348" s="15"/>
      <c r="I348" s="15"/>
    </row>
    <row r="349" spans="2:9" x14ac:dyDescent="0.25">
      <c r="B349" s="15"/>
      <c r="C349" s="15"/>
      <c r="D349" s="15"/>
      <c r="E349" s="15"/>
      <c r="F349" s="15"/>
      <c r="G349" s="15"/>
      <c r="H349" s="15"/>
      <c r="I349" s="15"/>
    </row>
    <row r="350" spans="2:9" x14ac:dyDescent="0.25">
      <c r="B350" s="15"/>
      <c r="C350" s="15"/>
      <c r="D350" s="15"/>
      <c r="E350" s="15"/>
      <c r="F350" s="15"/>
      <c r="G350" s="15"/>
      <c r="H350" s="15"/>
      <c r="I350" s="15"/>
    </row>
    <row r="351" spans="2:9" x14ac:dyDescent="0.25">
      <c r="B351" s="15"/>
      <c r="C351" s="15"/>
      <c r="D351" s="15"/>
      <c r="E351" s="15"/>
      <c r="F351" s="15"/>
      <c r="G351" s="15"/>
      <c r="H351" s="15"/>
      <c r="I351" s="15"/>
    </row>
    <row r="352" spans="2:9" x14ac:dyDescent="0.25">
      <c r="B352" s="15"/>
      <c r="C352" s="15"/>
      <c r="D352" s="15"/>
      <c r="E352" s="15"/>
      <c r="F352" s="15"/>
      <c r="G352" s="15"/>
      <c r="H352" s="15"/>
      <c r="I352" s="15"/>
    </row>
    <row r="353" spans="2:9" x14ac:dyDescent="0.25">
      <c r="B353" s="15"/>
      <c r="C353" s="15"/>
      <c r="D353" s="15"/>
      <c r="E353" s="15"/>
      <c r="F353" s="15"/>
      <c r="G353" s="15"/>
      <c r="H353" s="15"/>
      <c r="I353" s="15"/>
    </row>
    <row r="354" spans="2:9" x14ac:dyDescent="0.25">
      <c r="B354" s="15"/>
      <c r="C354" s="15"/>
      <c r="D354" s="15"/>
      <c r="E354" s="15"/>
      <c r="F354" s="15"/>
      <c r="G354" s="15"/>
      <c r="H354" s="15"/>
      <c r="I354" s="15"/>
    </row>
    <row r="355" spans="2:9" x14ac:dyDescent="0.25">
      <c r="B355" s="15"/>
      <c r="C355" s="15"/>
      <c r="D355" s="15"/>
      <c r="E355" s="15"/>
      <c r="F355" s="15"/>
      <c r="G355" s="15"/>
      <c r="H355" s="15"/>
      <c r="I355" s="15"/>
    </row>
    <row r="356" spans="2:9" x14ac:dyDescent="0.25">
      <c r="B356" s="15"/>
      <c r="C356" s="15"/>
      <c r="D356" s="15"/>
      <c r="E356" s="15"/>
      <c r="F356" s="15"/>
      <c r="G356" s="15"/>
      <c r="H356" s="15"/>
      <c r="I356" s="15"/>
    </row>
    <row r="357" spans="2:9" x14ac:dyDescent="0.25">
      <c r="B357" s="15"/>
      <c r="C357" s="15"/>
      <c r="D357" s="15"/>
      <c r="E357" s="15"/>
      <c r="F357" s="15"/>
      <c r="G357" s="15"/>
      <c r="H357" s="15"/>
      <c r="I357" s="15"/>
    </row>
    <row r="358" spans="2:9" x14ac:dyDescent="0.25">
      <c r="B358" s="15"/>
      <c r="C358" s="15"/>
      <c r="D358" s="15"/>
      <c r="E358" s="15"/>
      <c r="F358" s="15"/>
      <c r="G358" s="15"/>
      <c r="H358" s="15"/>
      <c r="I358" s="15"/>
    </row>
    <row r="359" spans="2:9" x14ac:dyDescent="0.25">
      <c r="B359" s="15"/>
      <c r="C359" s="15"/>
      <c r="D359" s="15"/>
      <c r="E359" s="15"/>
      <c r="F359" s="15"/>
      <c r="G359" s="15"/>
      <c r="H359" s="15"/>
      <c r="I359" s="15"/>
    </row>
    <row r="360" spans="2:9" x14ac:dyDescent="0.25">
      <c r="B360" s="15"/>
      <c r="C360" s="15"/>
      <c r="D360" s="15"/>
      <c r="E360" s="15"/>
      <c r="F360" s="15"/>
      <c r="G360" s="15"/>
      <c r="H360" s="15"/>
      <c r="I360" s="15"/>
    </row>
    <row r="361" spans="2:9" x14ac:dyDescent="0.25">
      <c r="B361" s="15"/>
      <c r="C361" s="15"/>
      <c r="D361" s="15"/>
      <c r="E361" s="15"/>
      <c r="F361" s="15"/>
      <c r="G361" s="15"/>
      <c r="H361" s="15"/>
      <c r="I361" s="15"/>
    </row>
    <row r="362" spans="2:9" x14ac:dyDescent="0.25">
      <c r="B362" s="15"/>
      <c r="C362" s="15"/>
      <c r="D362" s="15"/>
      <c r="E362" s="15"/>
      <c r="F362" s="15"/>
      <c r="G362" s="15"/>
      <c r="H362" s="15"/>
      <c r="I362" s="15"/>
    </row>
    <row r="363" spans="2:9" x14ac:dyDescent="0.25">
      <c r="B363" s="15"/>
      <c r="C363" s="15"/>
      <c r="D363" s="15"/>
      <c r="E363" s="15"/>
      <c r="F363" s="15"/>
      <c r="G363" s="15"/>
      <c r="H363" s="15"/>
      <c r="I363" s="15"/>
    </row>
    <row r="364" spans="2:9" x14ac:dyDescent="0.25">
      <c r="B364" s="15"/>
      <c r="C364" s="15"/>
      <c r="D364" s="15"/>
      <c r="E364" s="15"/>
      <c r="F364" s="15"/>
      <c r="G364" s="15"/>
      <c r="H364" s="15"/>
      <c r="I364" s="15"/>
    </row>
    <row r="365" spans="2:9" x14ac:dyDescent="0.25">
      <c r="B365" s="15"/>
      <c r="C365" s="15"/>
      <c r="D365" s="15"/>
      <c r="E365" s="15"/>
      <c r="F365" s="15"/>
      <c r="G365" s="15"/>
      <c r="H365" s="15"/>
      <c r="I365" s="15"/>
    </row>
    <row r="366" spans="2:9" x14ac:dyDescent="0.25">
      <c r="B366" s="15"/>
      <c r="C366" s="15"/>
      <c r="D366" s="15"/>
      <c r="E366" s="15"/>
      <c r="F366" s="15"/>
      <c r="G366" s="15"/>
      <c r="H366" s="15"/>
      <c r="I366" s="15"/>
    </row>
    <row r="367" spans="2:9" x14ac:dyDescent="0.25">
      <c r="B367" s="15"/>
      <c r="C367" s="15"/>
      <c r="D367" s="15"/>
      <c r="E367" s="15"/>
      <c r="F367" s="15"/>
      <c r="G367" s="15"/>
      <c r="H367" s="15"/>
      <c r="I367" s="15"/>
    </row>
    <row r="368" spans="2:9" x14ac:dyDescent="0.25">
      <c r="B368" s="15"/>
      <c r="C368" s="15"/>
      <c r="D368" s="15"/>
      <c r="E368" s="15"/>
      <c r="F368" s="15"/>
      <c r="G368" s="15"/>
      <c r="H368" s="15"/>
      <c r="I368" s="15"/>
    </row>
    <row r="369" spans="2:9" x14ac:dyDescent="0.25">
      <c r="B369" s="15"/>
      <c r="C369" s="15"/>
      <c r="D369" s="15"/>
      <c r="E369" s="15"/>
      <c r="F369" s="15"/>
      <c r="G369" s="15"/>
      <c r="H369" s="15"/>
      <c r="I369" s="15"/>
    </row>
    <row r="370" spans="2:9" x14ac:dyDescent="0.25">
      <c r="B370" s="15"/>
      <c r="C370" s="15"/>
      <c r="D370" s="15"/>
      <c r="E370" s="15"/>
      <c r="F370" s="15"/>
      <c r="G370" s="15"/>
      <c r="H370" s="15"/>
      <c r="I370" s="15"/>
    </row>
    <row r="371" spans="2:9" x14ac:dyDescent="0.25">
      <c r="B371" s="15"/>
      <c r="C371" s="15"/>
      <c r="D371" s="15"/>
      <c r="E371" s="15"/>
      <c r="F371" s="15"/>
      <c r="G371" s="15"/>
      <c r="H371" s="15"/>
      <c r="I371" s="15"/>
    </row>
    <row r="372" spans="2:9" x14ac:dyDescent="0.25">
      <c r="B372" s="15"/>
      <c r="C372" s="15"/>
      <c r="D372" s="15"/>
      <c r="E372" s="15"/>
      <c r="F372" s="15"/>
      <c r="G372" s="15"/>
      <c r="H372" s="15"/>
      <c r="I372" s="15"/>
    </row>
    <row r="373" spans="2:9" x14ac:dyDescent="0.25">
      <c r="B373" s="15"/>
      <c r="C373" s="15"/>
      <c r="D373" s="15"/>
      <c r="E373" s="15"/>
      <c r="F373" s="15"/>
      <c r="G373" s="15"/>
      <c r="H373" s="15"/>
      <c r="I373" s="15"/>
    </row>
    <row r="374" spans="2:9" x14ac:dyDescent="0.25">
      <c r="B374" s="15"/>
      <c r="C374" s="15"/>
      <c r="D374" s="15"/>
      <c r="E374" s="15"/>
      <c r="F374" s="15"/>
      <c r="G374" s="15"/>
      <c r="H374" s="15"/>
      <c r="I374" s="15"/>
    </row>
    <row r="375" spans="2:9" x14ac:dyDescent="0.25">
      <c r="B375" s="15"/>
      <c r="C375" s="15"/>
      <c r="D375" s="15"/>
      <c r="E375" s="15"/>
      <c r="F375" s="15"/>
      <c r="G375" s="15"/>
      <c r="H375" s="15"/>
      <c r="I375" s="15"/>
    </row>
    <row r="376" spans="2:9" x14ac:dyDescent="0.25">
      <c r="B376" s="15"/>
      <c r="C376" s="15"/>
      <c r="D376" s="15"/>
      <c r="E376" s="15"/>
      <c r="F376" s="15"/>
      <c r="G376" s="15"/>
      <c r="H376" s="15"/>
      <c r="I376" s="15"/>
    </row>
    <row r="377" spans="2:9" x14ac:dyDescent="0.25">
      <c r="B377" s="15"/>
      <c r="C377" s="15"/>
      <c r="D377" s="15"/>
      <c r="E377" s="15"/>
      <c r="F377" s="15"/>
      <c r="G377" s="15"/>
      <c r="H377" s="15"/>
      <c r="I377" s="15"/>
    </row>
    <row r="378" spans="2:9" x14ac:dyDescent="0.25">
      <c r="B378" s="15"/>
      <c r="C378" s="15"/>
      <c r="D378" s="15"/>
      <c r="E378" s="15"/>
      <c r="F378" s="15"/>
      <c r="G378" s="15"/>
      <c r="H378" s="15"/>
      <c r="I378" s="15"/>
    </row>
    <row r="379" spans="2:9" x14ac:dyDescent="0.25">
      <c r="B379" s="15"/>
      <c r="C379" s="15"/>
      <c r="D379" s="15"/>
      <c r="E379" s="15"/>
      <c r="F379" s="15"/>
      <c r="G379" s="15"/>
      <c r="H379" s="15"/>
      <c r="I379" s="15"/>
    </row>
    <row r="380" spans="2:9" x14ac:dyDescent="0.25">
      <c r="B380" s="15"/>
      <c r="C380" s="15"/>
      <c r="D380" s="15"/>
      <c r="E380" s="15"/>
      <c r="F380" s="15"/>
      <c r="G380" s="15"/>
      <c r="H380" s="15"/>
      <c r="I380" s="15"/>
    </row>
    <row r="381" spans="2:9" x14ac:dyDescent="0.25">
      <c r="B381" s="15"/>
      <c r="C381" s="15"/>
      <c r="D381" s="15"/>
      <c r="E381" s="15"/>
      <c r="F381" s="15"/>
      <c r="G381" s="15"/>
      <c r="H381" s="15"/>
      <c r="I381" s="15"/>
    </row>
    <row r="382" spans="2:9" x14ac:dyDescent="0.25">
      <c r="B382" s="15"/>
      <c r="C382" s="15"/>
      <c r="D382" s="15"/>
      <c r="E382" s="15"/>
      <c r="F382" s="15"/>
      <c r="G382" s="15"/>
      <c r="H382" s="15"/>
      <c r="I382" s="15"/>
    </row>
    <row r="383" spans="2:9" x14ac:dyDescent="0.25">
      <c r="B383" s="15"/>
      <c r="C383" s="15"/>
      <c r="D383" s="15"/>
      <c r="E383" s="15"/>
      <c r="F383" s="15"/>
      <c r="G383" s="15"/>
      <c r="H383" s="15"/>
      <c r="I383" s="15"/>
    </row>
    <row r="384" spans="2:9" x14ac:dyDescent="0.25">
      <c r="B384" s="15"/>
      <c r="C384" s="15"/>
      <c r="D384" s="15"/>
      <c r="E384" s="15"/>
      <c r="F384" s="15"/>
      <c r="G384" s="15"/>
      <c r="H384" s="15"/>
      <c r="I384" s="15"/>
    </row>
    <row r="385" spans="2:9" x14ac:dyDescent="0.25">
      <c r="B385" s="15"/>
      <c r="C385" s="15"/>
      <c r="D385" s="15"/>
      <c r="E385" s="15"/>
      <c r="F385" s="15"/>
      <c r="G385" s="15"/>
      <c r="H385" s="15"/>
      <c r="I385" s="15"/>
    </row>
    <row r="386" spans="2:9" x14ac:dyDescent="0.25">
      <c r="B386" s="15"/>
      <c r="C386" s="15"/>
      <c r="D386" s="15"/>
      <c r="E386" s="15"/>
      <c r="F386" s="15"/>
      <c r="G386" s="15"/>
      <c r="H386" s="15"/>
      <c r="I386" s="15"/>
    </row>
    <row r="387" spans="2:9" x14ac:dyDescent="0.25">
      <c r="B387" s="15"/>
      <c r="C387" s="15"/>
      <c r="D387" s="15"/>
      <c r="E387" s="15"/>
      <c r="F387" s="15"/>
      <c r="G387" s="15"/>
      <c r="H387" s="15"/>
      <c r="I387" s="15"/>
    </row>
    <row r="388" spans="2:9" x14ac:dyDescent="0.25">
      <c r="B388" s="15"/>
      <c r="C388" s="15"/>
      <c r="D388" s="15"/>
      <c r="E388" s="15"/>
      <c r="F388" s="15"/>
      <c r="G388" s="15"/>
      <c r="H388" s="15"/>
      <c r="I388" s="15"/>
    </row>
    <row r="389" spans="2:9" x14ac:dyDescent="0.25">
      <c r="B389" s="15"/>
      <c r="C389" s="15"/>
      <c r="D389" s="15"/>
      <c r="E389" s="15"/>
      <c r="F389" s="15"/>
      <c r="G389" s="15"/>
      <c r="H389" s="15"/>
      <c r="I389" s="15"/>
    </row>
    <row r="390" spans="2:9" x14ac:dyDescent="0.25">
      <c r="B390" s="15"/>
      <c r="C390" s="15"/>
      <c r="D390" s="15"/>
      <c r="E390" s="15"/>
      <c r="F390" s="15"/>
      <c r="G390" s="15"/>
      <c r="H390" s="15"/>
      <c r="I390" s="15"/>
    </row>
    <row r="391" spans="2:9" x14ac:dyDescent="0.25">
      <c r="B391" s="15"/>
      <c r="C391" s="15"/>
      <c r="D391" s="15"/>
      <c r="E391" s="15"/>
      <c r="F391" s="15"/>
      <c r="G391" s="15"/>
      <c r="H391" s="15"/>
      <c r="I391" s="15"/>
    </row>
    <row r="392" spans="2:9" x14ac:dyDescent="0.25">
      <c r="B392" s="15"/>
      <c r="C392" s="15"/>
      <c r="D392" s="15"/>
      <c r="E392" s="15"/>
      <c r="F392" s="15"/>
      <c r="G392" s="15"/>
      <c r="H392" s="15"/>
      <c r="I392" s="15"/>
    </row>
    <row r="393" spans="2:9" x14ac:dyDescent="0.25">
      <c r="B393" s="15"/>
      <c r="C393" s="15"/>
      <c r="D393" s="15"/>
      <c r="E393" s="15"/>
      <c r="F393" s="15"/>
      <c r="G393" s="15"/>
      <c r="H393" s="15"/>
      <c r="I393" s="15"/>
    </row>
    <row r="394" spans="2:9" x14ac:dyDescent="0.25">
      <c r="B394" s="15"/>
      <c r="C394" s="15"/>
      <c r="D394" s="15"/>
      <c r="E394" s="15"/>
      <c r="F394" s="15"/>
      <c r="G394" s="15"/>
      <c r="H394" s="15"/>
      <c r="I394" s="15"/>
    </row>
    <row r="395" spans="2:9" x14ac:dyDescent="0.25">
      <c r="B395" s="15"/>
      <c r="C395" s="15"/>
      <c r="D395" s="15"/>
      <c r="E395" s="15"/>
      <c r="F395" s="15"/>
      <c r="G395" s="15"/>
      <c r="H395" s="15"/>
      <c r="I395" s="15"/>
    </row>
    <row r="396" spans="2:9" x14ac:dyDescent="0.25">
      <c r="B396" s="15"/>
      <c r="C396" s="15"/>
      <c r="D396" s="15"/>
      <c r="E396" s="15"/>
      <c r="F396" s="15"/>
      <c r="G396" s="15"/>
      <c r="H396" s="15"/>
      <c r="I396" s="15"/>
    </row>
    <row r="397" spans="2:9" x14ac:dyDescent="0.25">
      <c r="B397" s="15"/>
      <c r="C397" s="15"/>
      <c r="D397" s="15"/>
      <c r="E397" s="15"/>
      <c r="F397" s="15"/>
      <c r="G397" s="15"/>
      <c r="H397" s="15"/>
      <c r="I397" s="15"/>
    </row>
    <row r="398" spans="2:9" x14ac:dyDescent="0.25">
      <c r="B398" s="15"/>
      <c r="C398" s="15"/>
      <c r="D398" s="15"/>
      <c r="E398" s="15"/>
      <c r="F398" s="15"/>
      <c r="G398" s="15"/>
      <c r="H398" s="15"/>
      <c r="I398" s="15"/>
    </row>
    <row r="399" spans="2:9" x14ac:dyDescent="0.25">
      <c r="B399" s="15"/>
      <c r="C399" s="15"/>
      <c r="D399" s="15"/>
      <c r="E399" s="15"/>
      <c r="F399" s="15"/>
      <c r="G399" s="15"/>
      <c r="H399" s="15"/>
      <c r="I399" s="15"/>
    </row>
    <row r="400" spans="2:9" x14ac:dyDescent="0.25">
      <c r="B400" s="15"/>
      <c r="C400" s="15"/>
      <c r="D400" s="15"/>
      <c r="E400" s="15"/>
      <c r="F400" s="15"/>
      <c r="G400" s="15"/>
      <c r="H400" s="15"/>
      <c r="I400" s="15"/>
    </row>
    <row r="401" spans="2:9" x14ac:dyDescent="0.25">
      <c r="B401" s="15"/>
      <c r="C401" s="15"/>
      <c r="D401" s="15"/>
      <c r="E401" s="15"/>
      <c r="F401" s="15"/>
      <c r="G401" s="15"/>
      <c r="H401" s="15"/>
      <c r="I401" s="15"/>
    </row>
    <row r="402" spans="2:9" x14ac:dyDescent="0.25">
      <c r="B402" s="15"/>
      <c r="C402" s="15"/>
      <c r="D402" s="15"/>
      <c r="E402" s="15"/>
      <c r="F402" s="15"/>
      <c r="G402" s="15"/>
      <c r="H402" s="15"/>
      <c r="I402" s="15"/>
    </row>
    <row r="403" spans="2:9" x14ac:dyDescent="0.25">
      <c r="B403" s="15"/>
      <c r="C403" s="15"/>
      <c r="D403" s="15"/>
      <c r="E403" s="15"/>
      <c r="F403" s="15"/>
      <c r="G403" s="15"/>
      <c r="H403" s="15"/>
      <c r="I403" s="15"/>
    </row>
    <row r="404" spans="2:9" x14ac:dyDescent="0.25">
      <c r="B404" s="15"/>
      <c r="C404" s="15"/>
      <c r="D404" s="15"/>
      <c r="E404" s="15"/>
      <c r="F404" s="15"/>
      <c r="G404" s="15"/>
      <c r="H404" s="15"/>
      <c r="I404" s="15"/>
    </row>
    <row r="405" spans="2:9" x14ac:dyDescent="0.25">
      <c r="B405" s="15"/>
      <c r="C405" s="15"/>
      <c r="D405" s="15"/>
      <c r="E405" s="15"/>
      <c r="F405" s="15"/>
      <c r="G405" s="15"/>
      <c r="H405" s="15"/>
      <c r="I405" s="15"/>
    </row>
    <row r="406" spans="2:9" x14ac:dyDescent="0.25">
      <c r="B406" s="15"/>
      <c r="C406" s="15"/>
      <c r="D406" s="15"/>
      <c r="E406" s="15"/>
      <c r="F406" s="15"/>
      <c r="G406" s="15"/>
      <c r="H406" s="15"/>
      <c r="I406" s="15"/>
    </row>
    <row r="407" spans="2:9" x14ac:dyDescent="0.25">
      <c r="B407" s="15"/>
      <c r="C407" s="15"/>
      <c r="D407" s="15"/>
      <c r="E407" s="15"/>
      <c r="F407" s="15"/>
      <c r="G407" s="15"/>
      <c r="H407" s="15"/>
      <c r="I407" s="15"/>
    </row>
    <row r="408" spans="2:9" x14ac:dyDescent="0.25">
      <c r="B408" s="15"/>
      <c r="C408" s="15"/>
      <c r="D408" s="15"/>
      <c r="E408" s="15"/>
      <c r="F408" s="15"/>
      <c r="G408" s="15"/>
      <c r="H408" s="15"/>
      <c r="I408" s="15"/>
    </row>
    <row r="409" spans="2:9" x14ac:dyDescent="0.25">
      <c r="B409" s="15"/>
      <c r="C409" s="15"/>
      <c r="D409" s="15"/>
      <c r="E409" s="15"/>
      <c r="F409" s="15"/>
      <c r="G409" s="15"/>
      <c r="H409" s="15"/>
      <c r="I409" s="15"/>
    </row>
    <row r="410" spans="2:9" x14ac:dyDescent="0.25">
      <c r="B410" s="15"/>
      <c r="C410" s="15"/>
      <c r="D410" s="15"/>
      <c r="E410" s="15"/>
      <c r="F410" s="15"/>
      <c r="G410" s="15"/>
      <c r="H410" s="15"/>
      <c r="I410" s="15"/>
    </row>
    <row r="411" spans="2:9" x14ac:dyDescent="0.25">
      <c r="B411" s="15"/>
      <c r="C411" s="15"/>
      <c r="D411" s="15"/>
      <c r="E411" s="15"/>
      <c r="F411" s="15"/>
      <c r="G411" s="15"/>
      <c r="H411" s="15"/>
      <c r="I411" s="15"/>
    </row>
    <row r="412" spans="2:9" x14ac:dyDescent="0.25">
      <c r="B412" s="15"/>
      <c r="C412" s="15"/>
      <c r="D412" s="15"/>
      <c r="E412" s="15"/>
      <c r="F412" s="15"/>
      <c r="G412" s="15"/>
      <c r="H412" s="15"/>
      <c r="I412" s="15"/>
    </row>
    <row r="413" spans="2:9" x14ac:dyDescent="0.25">
      <c r="B413" s="15"/>
      <c r="C413" s="15"/>
      <c r="D413" s="15"/>
      <c r="E413" s="15"/>
      <c r="F413" s="15"/>
      <c r="G413" s="15"/>
      <c r="H413" s="15"/>
      <c r="I413" s="15"/>
    </row>
    <row r="414" spans="2:9" x14ac:dyDescent="0.25">
      <c r="B414" s="15"/>
      <c r="C414" s="15"/>
      <c r="D414" s="15"/>
      <c r="E414" s="15"/>
      <c r="F414" s="15"/>
      <c r="G414" s="15"/>
      <c r="H414" s="15"/>
      <c r="I414" s="15"/>
    </row>
    <row r="415" spans="2:9" x14ac:dyDescent="0.25">
      <c r="B415" s="15"/>
      <c r="C415" s="15"/>
      <c r="D415" s="15"/>
      <c r="E415" s="15"/>
      <c r="F415" s="15"/>
      <c r="G415" s="15"/>
      <c r="H415" s="15"/>
      <c r="I415" s="15"/>
    </row>
    <row r="416" spans="2:9" x14ac:dyDescent="0.25">
      <c r="B416" s="15"/>
      <c r="C416" s="15"/>
      <c r="D416" s="15"/>
      <c r="E416" s="15"/>
      <c r="F416" s="15"/>
      <c r="G416" s="15"/>
      <c r="H416" s="15"/>
      <c r="I416" s="15"/>
    </row>
    <row r="417" spans="2:9" x14ac:dyDescent="0.25">
      <c r="B417" s="15"/>
      <c r="C417" s="15"/>
      <c r="D417" s="15"/>
      <c r="E417" s="15"/>
      <c r="F417" s="15"/>
      <c r="G417" s="15"/>
      <c r="H417" s="15"/>
      <c r="I417" s="15"/>
    </row>
    <row r="418" spans="2:9" x14ac:dyDescent="0.25">
      <c r="B418" s="15"/>
      <c r="C418" s="15"/>
      <c r="D418" s="15"/>
      <c r="E418" s="15"/>
      <c r="F418" s="15"/>
      <c r="G418" s="15"/>
      <c r="H418" s="15"/>
      <c r="I418" s="15"/>
    </row>
    <row r="419" spans="2:9" x14ac:dyDescent="0.25">
      <c r="B419" s="15"/>
      <c r="C419" s="15"/>
      <c r="D419" s="15"/>
      <c r="E419" s="15"/>
      <c r="F419" s="15"/>
      <c r="G419" s="15"/>
      <c r="H419" s="15"/>
      <c r="I419" s="15"/>
    </row>
    <row r="420" spans="2:9" x14ac:dyDescent="0.25">
      <c r="B420" s="15"/>
      <c r="C420" s="15"/>
      <c r="D420" s="15"/>
      <c r="E420" s="15"/>
      <c r="F420" s="15"/>
      <c r="G420" s="15"/>
      <c r="H420" s="15"/>
      <c r="I420" s="15"/>
    </row>
    <row r="421" spans="2:9" x14ac:dyDescent="0.25">
      <c r="B421" s="15"/>
      <c r="C421" s="15"/>
      <c r="D421" s="15"/>
      <c r="E421" s="15"/>
      <c r="F421" s="15"/>
      <c r="G421" s="15"/>
      <c r="H421" s="15"/>
      <c r="I421" s="15"/>
    </row>
    <row r="422" spans="2:9" x14ac:dyDescent="0.25">
      <c r="B422" s="15"/>
      <c r="C422" s="15"/>
      <c r="D422" s="15"/>
      <c r="E422" s="15"/>
      <c r="F422" s="15"/>
      <c r="G422" s="15"/>
      <c r="H422" s="15"/>
      <c r="I422" s="15"/>
    </row>
    <row r="423" spans="2:9" x14ac:dyDescent="0.25">
      <c r="B423" s="15"/>
      <c r="C423" s="15"/>
      <c r="D423" s="15"/>
      <c r="E423" s="15"/>
      <c r="F423" s="15"/>
      <c r="G423" s="15"/>
      <c r="H423" s="15"/>
      <c r="I423" s="15"/>
    </row>
    <row r="424" spans="2:9" x14ac:dyDescent="0.25">
      <c r="B424" s="15"/>
      <c r="C424" s="15"/>
      <c r="D424" s="15"/>
      <c r="E424" s="15"/>
      <c r="F424" s="15"/>
      <c r="G424" s="15"/>
      <c r="H424" s="15"/>
      <c r="I424" s="15"/>
    </row>
    <row r="425" spans="2:9" x14ac:dyDescent="0.25">
      <c r="B425" s="15"/>
      <c r="C425" s="15"/>
      <c r="D425" s="15"/>
      <c r="E425" s="15"/>
      <c r="F425" s="15"/>
      <c r="G425" s="15"/>
      <c r="H425" s="15"/>
      <c r="I425" s="15"/>
    </row>
    <row r="426" spans="2:9" x14ac:dyDescent="0.25">
      <c r="B426" s="15"/>
      <c r="C426" s="15"/>
      <c r="D426" s="15"/>
      <c r="E426" s="15"/>
      <c r="F426" s="15"/>
      <c r="G426" s="15"/>
      <c r="H426" s="15"/>
      <c r="I426" s="15"/>
    </row>
    <row r="427" spans="2:9" x14ac:dyDescent="0.25">
      <c r="B427" s="15"/>
      <c r="C427" s="15"/>
      <c r="D427" s="15"/>
      <c r="E427" s="15"/>
      <c r="F427" s="15"/>
      <c r="G427" s="15"/>
      <c r="H427" s="15"/>
      <c r="I427" s="15"/>
    </row>
    <row r="428" spans="2:9" x14ac:dyDescent="0.25">
      <c r="B428" s="15"/>
      <c r="C428" s="15"/>
      <c r="D428" s="15"/>
      <c r="E428" s="15"/>
      <c r="F428" s="15"/>
      <c r="G428" s="15"/>
      <c r="H428" s="15"/>
      <c r="I428" s="15"/>
    </row>
    <row r="429" spans="2:9" x14ac:dyDescent="0.25">
      <c r="B429" s="15"/>
      <c r="C429" s="15"/>
      <c r="D429" s="15"/>
      <c r="E429" s="15"/>
      <c r="F429" s="15"/>
      <c r="G429" s="15"/>
      <c r="H429" s="15"/>
      <c r="I429" s="15"/>
    </row>
    <row r="430" spans="2:9" x14ac:dyDescent="0.25">
      <c r="B430" s="15"/>
      <c r="C430" s="15"/>
      <c r="D430" s="15"/>
      <c r="E430" s="15"/>
      <c r="F430" s="15"/>
      <c r="G430" s="15"/>
      <c r="H430" s="15"/>
      <c r="I430" s="15"/>
    </row>
    <row r="431" spans="2:9" x14ac:dyDescent="0.25">
      <c r="B431" s="15"/>
      <c r="C431" s="15"/>
      <c r="D431" s="15"/>
      <c r="E431" s="15"/>
      <c r="F431" s="15"/>
      <c r="G431" s="15"/>
      <c r="H431" s="15"/>
      <c r="I431" s="15"/>
    </row>
    <row r="432" spans="2:9" x14ac:dyDescent="0.25">
      <c r="B432" s="15"/>
      <c r="C432" s="15"/>
      <c r="D432" s="15"/>
      <c r="E432" s="15"/>
      <c r="F432" s="15"/>
      <c r="G432" s="15"/>
      <c r="H432" s="15"/>
      <c r="I432" s="15"/>
    </row>
    <row r="433" spans="2:9" x14ac:dyDescent="0.25">
      <c r="B433" s="15"/>
      <c r="C433" s="15"/>
      <c r="D433" s="15"/>
      <c r="E433" s="15"/>
      <c r="F433" s="15"/>
      <c r="G433" s="15"/>
      <c r="H433" s="15"/>
      <c r="I433" s="15"/>
    </row>
    <row r="434" spans="2:9" x14ac:dyDescent="0.25">
      <c r="B434" s="15"/>
      <c r="C434" s="15"/>
      <c r="D434" s="15"/>
      <c r="E434" s="15"/>
      <c r="F434" s="15"/>
      <c r="G434" s="15"/>
      <c r="H434" s="15"/>
      <c r="I434" s="15"/>
    </row>
    <row r="435" spans="2:9" x14ac:dyDescent="0.25">
      <c r="B435" s="15"/>
      <c r="C435" s="15"/>
      <c r="D435" s="15"/>
      <c r="E435" s="15"/>
      <c r="F435" s="15"/>
      <c r="G435" s="15"/>
      <c r="H435" s="15"/>
      <c r="I435" s="15"/>
    </row>
    <row r="436" spans="2:9" x14ac:dyDescent="0.25">
      <c r="B436" s="15"/>
      <c r="C436" s="15"/>
      <c r="D436" s="15"/>
      <c r="E436" s="15"/>
      <c r="F436" s="15"/>
      <c r="G436" s="15"/>
      <c r="H436" s="15"/>
      <c r="I436" s="15"/>
    </row>
    <row r="437" spans="2:9" x14ac:dyDescent="0.25">
      <c r="B437" s="15"/>
      <c r="C437" s="15"/>
      <c r="D437" s="15"/>
      <c r="E437" s="15"/>
      <c r="F437" s="15"/>
      <c r="G437" s="15"/>
      <c r="H437" s="15"/>
      <c r="I437" s="15"/>
    </row>
    <row r="438" spans="2:9" x14ac:dyDescent="0.25">
      <c r="B438" s="15"/>
      <c r="C438" s="15"/>
      <c r="D438" s="15"/>
      <c r="E438" s="15"/>
      <c r="F438" s="15"/>
      <c r="G438" s="15"/>
      <c r="H438" s="15"/>
      <c r="I438" s="15"/>
    </row>
    <row r="439" spans="2:9" x14ac:dyDescent="0.25">
      <c r="B439" s="15"/>
      <c r="C439" s="15"/>
      <c r="D439" s="15"/>
      <c r="E439" s="15"/>
      <c r="F439" s="15"/>
      <c r="G439" s="15"/>
      <c r="H439" s="15"/>
      <c r="I439" s="15"/>
    </row>
    <row r="440" spans="2:9" x14ac:dyDescent="0.25">
      <c r="B440" s="15"/>
      <c r="C440" s="15"/>
      <c r="D440" s="15"/>
      <c r="E440" s="15"/>
      <c r="F440" s="15"/>
      <c r="G440" s="15"/>
      <c r="H440" s="15"/>
      <c r="I440" s="15"/>
    </row>
    <row r="441" spans="2:9" x14ac:dyDescent="0.25">
      <c r="B441" s="15"/>
      <c r="C441" s="15"/>
      <c r="D441" s="15"/>
      <c r="E441" s="15"/>
      <c r="F441" s="15"/>
      <c r="G441" s="15"/>
      <c r="H441" s="15"/>
      <c r="I441" s="15"/>
    </row>
    <row r="442" spans="2:9" x14ac:dyDescent="0.25">
      <c r="B442" s="15"/>
      <c r="C442" s="15"/>
      <c r="D442" s="15"/>
      <c r="E442" s="15"/>
      <c r="F442" s="15"/>
      <c r="G442" s="15"/>
      <c r="H442" s="15"/>
      <c r="I442" s="15"/>
    </row>
    <row r="443" spans="2:9" x14ac:dyDescent="0.25">
      <c r="B443" s="15"/>
      <c r="C443" s="15"/>
      <c r="D443" s="15"/>
      <c r="E443" s="15"/>
      <c r="F443" s="15"/>
      <c r="G443" s="15"/>
      <c r="H443" s="15"/>
      <c r="I443" s="15"/>
    </row>
    <row r="444" spans="2:9" x14ac:dyDescent="0.25">
      <c r="B444" s="15"/>
      <c r="C444" s="15"/>
      <c r="D444" s="15"/>
      <c r="E444" s="15"/>
      <c r="F444" s="15"/>
      <c r="G444" s="15"/>
      <c r="H444" s="15"/>
      <c r="I444" s="15"/>
    </row>
    <row r="445" spans="2:9" x14ac:dyDescent="0.25">
      <c r="B445" s="15"/>
      <c r="C445" s="15"/>
      <c r="D445" s="15"/>
      <c r="E445" s="15"/>
      <c r="F445" s="15"/>
      <c r="G445" s="15"/>
      <c r="H445" s="15"/>
      <c r="I445" s="15"/>
    </row>
    <row r="446" spans="2:9" x14ac:dyDescent="0.25">
      <c r="B446" s="15"/>
      <c r="C446" s="15"/>
      <c r="D446" s="15"/>
      <c r="E446" s="15"/>
      <c r="F446" s="15"/>
      <c r="G446" s="15"/>
      <c r="H446" s="15"/>
      <c r="I446" s="15"/>
    </row>
    <row r="447" spans="2:9" x14ac:dyDescent="0.25">
      <c r="B447" s="15"/>
      <c r="C447" s="15"/>
      <c r="D447" s="15"/>
      <c r="E447" s="15"/>
      <c r="F447" s="15"/>
      <c r="G447" s="15"/>
      <c r="H447" s="15"/>
      <c r="I447" s="15"/>
    </row>
    <row r="448" spans="2:9" x14ac:dyDescent="0.25">
      <c r="B448" s="15"/>
      <c r="C448" s="15"/>
      <c r="D448" s="15"/>
      <c r="E448" s="15"/>
      <c r="F448" s="15"/>
      <c r="G448" s="15"/>
      <c r="H448" s="15"/>
      <c r="I448" s="15"/>
    </row>
    <row r="449" spans="2:9" x14ac:dyDescent="0.25">
      <c r="B449" s="15"/>
      <c r="C449" s="15"/>
      <c r="D449" s="15"/>
      <c r="E449" s="15"/>
      <c r="F449" s="15"/>
      <c r="G449" s="15"/>
      <c r="H449" s="15"/>
      <c r="I449" s="15"/>
    </row>
    <row r="450" spans="2:9" x14ac:dyDescent="0.25">
      <c r="B450" s="15"/>
      <c r="C450" s="15"/>
      <c r="D450" s="15"/>
      <c r="E450" s="15"/>
      <c r="F450" s="15"/>
      <c r="G450" s="15"/>
      <c r="H450" s="15"/>
      <c r="I450" s="15"/>
    </row>
    <row r="451" spans="2:9" x14ac:dyDescent="0.25">
      <c r="B451" s="15"/>
      <c r="C451" s="15"/>
      <c r="D451" s="15"/>
      <c r="E451" s="15"/>
      <c r="F451" s="15"/>
      <c r="G451" s="15"/>
      <c r="H451" s="15"/>
      <c r="I451" s="15"/>
    </row>
    <row r="452" spans="2:9" x14ac:dyDescent="0.25">
      <c r="B452" s="15"/>
      <c r="C452" s="15"/>
      <c r="D452" s="15"/>
      <c r="E452" s="15"/>
      <c r="F452" s="15"/>
      <c r="G452" s="15"/>
      <c r="H452" s="15"/>
      <c r="I452" s="15"/>
    </row>
    <row r="453" spans="2:9" x14ac:dyDescent="0.25">
      <c r="B453" s="15"/>
      <c r="C453" s="15"/>
      <c r="D453" s="15"/>
      <c r="E453" s="15"/>
      <c r="F453" s="15"/>
      <c r="G453" s="15"/>
      <c r="H453" s="15"/>
      <c r="I453" s="15"/>
    </row>
    <row r="454" spans="2:9" x14ac:dyDescent="0.25">
      <c r="B454" s="15"/>
      <c r="C454" s="15"/>
      <c r="D454" s="15"/>
      <c r="E454" s="15"/>
      <c r="F454" s="15"/>
      <c r="G454" s="15"/>
      <c r="H454" s="15"/>
      <c r="I454" s="15"/>
    </row>
    <row r="455" spans="2:9" x14ac:dyDescent="0.25">
      <c r="B455" s="15"/>
      <c r="C455" s="15"/>
      <c r="D455" s="15"/>
      <c r="E455" s="15"/>
      <c r="F455" s="15"/>
      <c r="G455" s="15"/>
      <c r="H455" s="15"/>
      <c r="I455" s="15"/>
    </row>
    <row r="456" spans="2:9" x14ac:dyDescent="0.25">
      <c r="B456" s="15"/>
      <c r="C456" s="15"/>
      <c r="D456" s="15"/>
      <c r="E456" s="15"/>
      <c r="F456" s="15"/>
      <c r="G456" s="15"/>
      <c r="H456" s="15"/>
      <c r="I456" s="15"/>
    </row>
    <row r="457" spans="2:9" x14ac:dyDescent="0.25">
      <c r="B457" s="15"/>
      <c r="C457" s="15"/>
      <c r="D457" s="15"/>
      <c r="E457" s="15"/>
      <c r="F457" s="15"/>
      <c r="G457" s="15"/>
      <c r="H457" s="15"/>
      <c r="I457" s="15"/>
    </row>
    <row r="458" spans="2:9" x14ac:dyDescent="0.25">
      <c r="B458" s="15"/>
      <c r="C458" s="15"/>
      <c r="D458" s="15"/>
      <c r="E458" s="15"/>
      <c r="F458" s="15"/>
      <c r="G458" s="15"/>
      <c r="H458" s="15"/>
      <c r="I458" s="15"/>
    </row>
    <row r="459" spans="2:9" x14ac:dyDescent="0.25">
      <c r="B459" s="15"/>
      <c r="C459" s="15"/>
      <c r="D459" s="15"/>
      <c r="E459" s="15"/>
      <c r="F459" s="15"/>
      <c r="G459" s="15"/>
      <c r="H459" s="15"/>
      <c r="I459" s="15"/>
    </row>
    <row r="460" spans="2:9" x14ac:dyDescent="0.25">
      <c r="B460" s="15"/>
      <c r="C460" s="15"/>
      <c r="D460" s="15"/>
      <c r="E460" s="15"/>
      <c r="F460" s="15"/>
      <c r="G460" s="15"/>
      <c r="H460" s="15"/>
      <c r="I460" s="15"/>
    </row>
    <row r="461" spans="2:9" x14ac:dyDescent="0.25">
      <c r="B461" s="15"/>
      <c r="C461" s="15"/>
      <c r="D461" s="15"/>
      <c r="E461" s="15"/>
      <c r="F461" s="15"/>
      <c r="G461" s="15"/>
      <c r="H461" s="15"/>
      <c r="I461" s="15"/>
    </row>
    <row r="462" spans="2:9" x14ac:dyDescent="0.25">
      <c r="B462" s="15"/>
      <c r="C462" s="15"/>
      <c r="D462" s="15"/>
      <c r="E462" s="15"/>
      <c r="F462" s="15"/>
      <c r="G462" s="15"/>
      <c r="H462" s="15"/>
      <c r="I462" s="15"/>
    </row>
    <row r="463" spans="2:9" x14ac:dyDescent="0.25">
      <c r="B463" s="15"/>
      <c r="C463" s="15"/>
      <c r="D463" s="15"/>
      <c r="E463" s="15"/>
      <c r="F463" s="15"/>
      <c r="G463" s="15"/>
      <c r="H463" s="15"/>
      <c r="I463" s="15"/>
    </row>
    <row r="464" spans="2:9" x14ac:dyDescent="0.25">
      <c r="B464" s="15"/>
      <c r="C464" s="15"/>
      <c r="D464" s="15"/>
      <c r="E464" s="15"/>
      <c r="F464" s="15"/>
      <c r="G464" s="15"/>
      <c r="H464" s="15"/>
      <c r="I464" s="15"/>
    </row>
    <row r="465" spans="2:9" x14ac:dyDescent="0.25">
      <c r="B465" s="15"/>
      <c r="C465" s="15"/>
      <c r="D465" s="15"/>
      <c r="E465" s="15"/>
      <c r="F465" s="15"/>
      <c r="G465" s="15"/>
      <c r="H465" s="15"/>
      <c r="I465" s="15"/>
    </row>
    <row r="466" spans="2:9" x14ac:dyDescent="0.25">
      <c r="B466" s="15"/>
      <c r="C466" s="15"/>
      <c r="D466" s="15"/>
      <c r="E466" s="15"/>
      <c r="F466" s="15"/>
      <c r="G466" s="15"/>
      <c r="H466" s="15"/>
      <c r="I466" s="15"/>
    </row>
    <row r="467" spans="2:9" x14ac:dyDescent="0.25">
      <c r="B467" s="15"/>
      <c r="C467" s="15"/>
      <c r="D467" s="15"/>
      <c r="E467" s="15"/>
      <c r="F467" s="15"/>
      <c r="G467" s="15"/>
      <c r="H467" s="15"/>
      <c r="I467" s="15"/>
    </row>
    <row r="468" spans="2:9" x14ac:dyDescent="0.25">
      <c r="B468" s="15"/>
      <c r="C468" s="15"/>
      <c r="D468" s="15"/>
      <c r="E468" s="15"/>
      <c r="F468" s="15"/>
      <c r="G468" s="15"/>
      <c r="H468" s="15"/>
      <c r="I468" s="15"/>
    </row>
    <row r="469" spans="2:9" x14ac:dyDescent="0.25">
      <c r="B469" s="15"/>
      <c r="C469" s="15"/>
      <c r="D469" s="15"/>
      <c r="E469" s="15"/>
      <c r="F469" s="15"/>
      <c r="G469" s="15"/>
      <c r="H469" s="15"/>
      <c r="I469" s="15"/>
    </row>
    <row r="470" spans="2:9" x14ac:dyDescent="0.25">
      <c r="B470" s="15"/>
      <c r="C470" s="15"/>
      <c r="D470" s="15"/>
      <c r="E470" s="15"/>
      <c r="F470" s="15"/>
      <c r="G470" s="15"/>
      <c r="H470" s="15"/>
      <c r="I470" s="15"/>
    </row>
    <row r="471" spans="2:9" x14ac:dyDescent="0.25">
      <c r="B471" s="15"/>
      <c r="C471" s="15"/>
      <c r="D471" s="15"/>
      <c r="E471" s="15"/>
      <c r="F471" s="15"/>
      <c r="G471" s="15"/>
      <c r="H471" s="15"/>
      <c r="I471" s="15"/>
    </row>
    <row r="472" spans="2:9" x14ac:dyDescent="0.25">
      <c r="B472" s="15"/>
      <c r="C472" s="15"/>
      <c r="D472" s="15"/>
      <c r="E472" s="15"/>
      <c r="F472" s="15"/>
      <c r="G472" s="15"/>
      <c r="H472" s="15"/>
      <c r="I472" s="15"/>
    </row>
    <row r="473" spans="2:9" x14ac:dyDescent="0.25">
      <c r="B473" s="15"/>
      <c r="C473" s="15"/>
      <c r="D473" s="15"/>
      <c r="E473" s="15"/>
      <c r="F473" s="15"/>
      <c r="G473" s="15"/>
      <c r="H473" s="15"/>
      <c r="I473" s="15"/>
    </row>
    <row r="474" spans="2:9" x14ac:dyDescent="0.25">
      <c r="B474" s="15"/>
      <c r="C474" s="15"/>
      <c r="D474" s="15"/>
      <c r="E474" s="15"/>
      <c r="F474" s="15"/>
      <c r="G474" s="15"/>
      <c r="H474" s="15"/>
      <c r="I474" s="15"/>
    </row>
    <row r="475" spans="2:9" x14ac:dyDescent="0.25">
      <c r="B475" s="15"/>
      <c r="C475" s="15"/>
      <c r="D475" s="15"/>
      <c r="E475" s="15"/>
      <c r="F475" s="15"/>
      <c r="G475" s="15"/>
      <c r="H475" s="15"/>
      <c r="I475" s="15"/>
    </row>
    <row r="476" spans="2:9" x14ac:dyDescent="0.25">
      <c r="B476" s="15"/>
      <c r="C476" s="15"/>
      <c r="D476" s="15"/>
      <c r="E476" s="15"/>
      <c r="F476" s="15"/>
      <c r="G476" s="15"/>
      <c r="H476" s="15"/>
      <c r="I476" s="15"/>
    </row>
    <row r="477" spans="2:9" x14ac:dyDescent="0.25">
      <c r="B477" s="15"/>
      <c r="C477" s="15"/>
      <c r="D477" s="15"/>
      <c r="E477" s="15"/>
      <c r="F477" s="15"/>
      <c r="G477" s="15"/>
      <c r="H477" s="15"/>
      <c r="I477" s="15"/>
    </row>
    <row r="478" spans="2:9" x14ac:dyDescent="0.25">
      <c r="B478" s="15"/>
      <c r="C478" s="15"/>
      <c r="D478" s="15"/>
      <c r="E478" s="15"/>
      <c r="F478" s="15"/>
      <c r="G478" s="15"/>
      <c r="H478" s="15"/>
      <c r="I478" s="15"/>
    </row>
    <row r="479" spans="2:9" x14ac:dyDescent="0.25">
      <c r="B479" s="15"/>
      <c r="C479" s="15"/>
      <c r="D479" s="15"/>
      <c r="E479" s="15"/>
      <c r="F479" s="15"/>
      <c r="G479" s="15"/>
      <c r="H479" s="15"/>
      <c r="I479" s="15"/>
    </row>
    <row r="480" spans="2:9" x14ac:dyDescent="0.25">
      <c r="B480" s="15"/>
      <c r="C480" s="15"/>
      <c r="D480" s="15"/>
      <c r="E480" s="15"/>
      <c r="F480" s="15"/>
      <c r="G480" s="15"/>
      <c r="H480" s="15"/>
      <c r="I480" s="15"/>
    </row>
    <row r="481" spans="2:9" x14ac:dyDescent="0.25">
      <c r="B481" s="15"/>
      <c r="C481" s="15"/>
      <c r="D481" s="15"/>
      <c r="E481" s="15"/>
      <c r="F481" s="15"/>
      <c r="G481" s="15"/>
      <c r="H481" s="15"/>
      <c r="I481" s="15"/>
    </row>
    <row r="482" spans="2:9" x14ac:dyDescent="0.25">
      <c r="B482" s="15"/>
      <c r="C482" s="15"/>
      <c r="D482" s="15"/>
      <c r="E482" s="15"/>
      <c r="F482" s="15"/>
      <c r="G482" s="15"/>
      <c r="H482" s="15"/>
      <c r="I482" s="15"/>
    </row>
    <row r="483" spans="2:9" x14ac:dyDescent="0.25">
      <c r="B483" s="15"/>
      <c r="C483" s="15"/>
      <c r="D483" s="15"/>
      <c r="E483" s="15"/>
      <c r="F483" s="15"/>
      <c r="G483" s="15"/>
      <c r="H483" s="15"/>
      <c r="I483" s="15"/>
    </row>
    <row r="484" spans="2:9" x14ac:dyDescent="0.25">
      <c r="B484" s="15"/>
      <c r="C484" s="15"/>
      <c r="D484" s="15"/>
      <c r="E484" s="15"/>
      <c r="F484" s="15"/>
      <c r="G484" s="15"/>
      <c r="H484" s="15"/>
      <c r="I484" s="15"/>
    </row>
    <row r="485" spans="2:9" x14ac:dyDescent="0.25">
      <c r="B485" s="15"/>
      <c r="C485" s="15"/>
      <c r="D485" s="15"/>
      <c r="E485" s="15"/>
      <c r="F485" s="15"/>
      <c r="G485" s="15"/>
      <c r="H485" s="15"/>
      <c r="I485" s="15"/>
    </row>
    <row r="486" spans="2:9" x14ac:dyDescent="0.25">
      <c r="B486" s="15"/>
      <c r="C486" s="15"/>
      <c r="D486" s="15"/>
      <c r="E486" s="15"/>
      <c r="F486" s="15"/>
      <c r="G486" s="15"/>
      <c r="H486" s="15"/>
      <c r="I486" s="15"/>
    </row>
    <row r="487" spans="2:9" x14ac:dyDescent="0.25">
      <c r="B487" s="15"/>
      <c r="C487" s="15"/>
      <c r="D487" s="15"/>
      <c r="E487" s="15"/>
      <c r="F487" s="15"/>
      <c r="G487" s="15"/>
      <c r="H487" s="15"/>
      <c r="I487" s="15"/>
    </row>
    <row r="488" spans="2:9" x14ac:dyDescent="0.25">
      <c r="B488" s="15"/>
      <c r="C488" s="15"/>
      <c r="D488" s="15"/>
      <c r="E488" s="15"/>
      <c r="F488" s="15"/>
      <c r="G488" s="15"/>
      <c r="H488" s="15"/>
      <c r="I488" s="15"/>
    </row>
    <row r="489" spans="2:9" x14ac:dyDescent="0.25">
      <c r="B489" s="15"/>
      <c r="C489" s="15"/>
      <c r="D489" s="15"/>
      <c r="E489" s="15"/>
      <c r="F489" s="15"/>
      <c r="G489" s="15"/>
      <c r="H489" s="15"/>
      <c r="I489" s="15"/>
    </row>
    <row r="490" spans="2:9" x14ac:dyDescent="0.25">
      <c r="B490" s="15"/>
      <c r="C490" s="15"/>
      <c r="D490" s="15"/>
      <c r="E490" s="15"/>
      <c r="F490" s="15"/>
      <c r="G490" s="15"/>
      <c r="H490" s="15"/>
      <c r="I490" s="15"/>
    </row>
    <row r="491" spans="2:9" x14ac:dyDescent="0.25">
      <c r="B491" s="15"/>
      <c r="C491" s="15"/>
      <c r="D491" s="15"/>
      <c r="E491" s="15"/>
      <c r="F491" s="15"/>
      <c r="G491" s="15"/>
      <c r="H491" s="15"/>
      <c r="I491" s="15"/>
    </row>
    <row r="492" spans="2:9" x14ac:dyDescent="0.25">
      <c r="B492" s="15"/>
      <c r="C492" s="15"/>
      <c r="D492" s="15"/>
      <c r="E492" s="15"/>
      <c r="F492" s="15"/>
      <c r="G492" s="15"/>
      <c r="H492" s="15"/>
      <c r="I492" s="15"/>
    </row>
    <row r="493" spans="2:9" x14ac:dyDescent="0.25">
      <c r="B493" s="15"/>
      <c r="C493" s="15"/>
      <c r="D493" s="15"/>
      <c r="E493" s="15"/>
      <c r="F493" s="15"/>
      <c r="G493" s="15"/>
      <c r="H493" s="15"/>
      <c r="I493" s="15"/>
    </row>
    <row r="494" spans="2:9" x14ac:dyDescent="0.25">
      <c r="B494" s="15"/>
      <c r="C494" s="15"/>
      <c r="D494" s="15"/>
      <c r="E494" s="15"/>
      <c r="F494" s="15"/>
      <c r="G494" s="15"/>
      <c r="H494" s="15"/>
      <c r="I494" s="15"/>
    </row>
    <row r="495" spans="2:9" x14ac:dyDescent="0.25">
      <c r="B495" s="15"/>
      <c r="C495" s="15"/>
      <c r="D495" s="15"/>
      <c r="E495" s="15"/>
      <c r="F495" s="15"/>
      <c r="G495" s="15"/>
      <c r="H495" s="15"/>
      <c r="I495" s="15"/>
    </row>
    <row r="496" spans="2:9" x14ac:dyDescent="0.25">
      <c r="B496" s="15"/>
      <c r="C496" s="15"/>
      <c r="D496" s="15"/>
      <c r="E496" s="15"/>
      <c r="F496" s="15"/>
      <c r="G496" s="15"/>
      <c r="H496" s="15"/>
      <c r="I496" s="15"/>
    </row>
    <row r="497" spans="2:9" x14ac:dyDescent="0.25">
      <c r="B497" s="15"/>
      <c r="C497" s="15"/>
      <c r="D497" s="15"/>
      <c r="E497" s="15"/>
      <c r="F497" s="15"/>
      <c r="G497" s="15"/>
      <c r="H497" s="15"/>
      <c r="I497" s="15"/>
    </row>
    <row r="498" spans="2:9" x14ac:dyDescent="0.25">
      <c r="B498" s="15"/>
      <c r="C498" s="15"/>
      <c r="D498" s="15"/>
      <c r="E498" s="15"/>
      <c r="F498" s="15"/>
      <c r="G498" s="15"/>
      <c r="H498" s="15"/>
      <c r="I498" s="15"/>
    </row>
    <row r="499" spans="2:9" x14ac:dyDescent="0.25">
      <c r="B499" s="15"/>
      <c r="C499" s="15"/>
      <c r="D499" s="15"/>
      <c r="E499" s="15"/>
      <c r="F499" s="15"/>
      <c r="G499" s="15"/>
      <c r="H499" s="15"/>
      <c r="I499" s="15"/>
    </row>
    <row r="500" spans="2:9" x14ac:dyDescent="0.25">
      <c r="B500" s="15"/>
      <c r="C500" s="15"/>
      <c r="D500" s="15"/>
      <c r="E500" s="15"/>
      <c r="F500" s="15"/>
      <c r="G500" s="15"/>
      <c r="H500" s="15"/>
      <c r="I500" s="15"/>
    </row>
    <row r="501" spans="2:9" x14ac:dyDescent="0.25">
      <c r="B501" s="15"/>
      <c r="C501" s="15"/>
      <c r="D501" s="15"/>
      <c r="E501" s="15"/>
      <c r="F501" s="15"/>
      <c r="G501" s="15"/>
      <c r="H501" s="15"/>
      <c r="I501" s="15"/>
    </row>
    <row r="502" spans="2:9" x14ac:dyDescent="0.25">
      <c r="B502" s="15"/>
      <c r="C502" s="15"/>
      <c r="D502" s="15"/>
      <c r="E502" s="15"/>
      <c r="F502" s="15"/>
      <c r="G502" s="15"/>
      <c r="H502" s="15"/>
      <c r="I502" s="15"/>
    </row>
    <row r="503" spans="2:9" x14ac:dyDescent="0.25">
      <c r="B503" s="15"/>
      <c r="C503" s="15"/>
      <c r="D503" s="15"/>
      <c r="E503" s="15"/>
      <c r="F503" s="15"/>
      <c r="G503" s="15"/>
      <c r="H503" s="15"/>
      <c r="I503" s="15"/>
    </row>
    <row r="504" spans="2:9" x14ac:dyDescent="0.25">
      <c r="B504" s="15"/>
      <c r="C504" s="15"/>
      <c r="D504" s="15"/>
      <c r="E504" s="15"/>
      <c r="F504" s="15"/>
      <c r="G504" s="15"/>
      <c r="H504" s="15"/>
      <c r="I504" s="15"/>
    </row>
    <row r="505" spans="2:9" x14ac:dyDescent="0.25">
      <c r="B505" s="15"/>
      <c r="C505" s="15"/>
      <c r="D505" s="15"/>
      <c r="E505" s="15"/>
      <c r="F505" s="15"/>
      <c r="G505" s="15"/>
      <c r="H505" s="15"/>
      <c r="I505" s="15"/>
    </row>
    <row r="506" spans="2:9" x14ac:dyDescent="0.25">
      <c r="B506" s="15"/>
      <c r="C506" s="15"/>
      <c r="D506" s="15"/>
      <c r="E506" s="15"/>
      <c r="F506" s="15"/>
      <c r="G506" s="15"/>
      <c r="H506" s="15"/>
      <c r="I506" s="15"/>
    </row>
    <row r="507" spans="2:9" x14ac:dyDescent="0.25">
      <c r="B507" s="15"/>
      <c r="C507" s="15"/>
      <c r="D507" s="15"/>
      <c r="E507" s="15"/>
      <c r="F507" s="15"/>
      <c r="G507" s="15"/>
      <c r="H507" s="15"/>
      <c r="I507" s="15"/>
    </row>
    <row r="508" spans="2:9" x14ac:dyDescent="0.25">
      <c r="B508" s="15"/>
      <c r="C508" s="15"/>
      <c r="D508" s="15"/>
      <c r="E508" s="15"/>
      <c r="F508" s="15"/>
      <c r="G508" s="15"/>
      <c r="H508" s="15"/>
      <c r="I508" s="15"/>
    </row>
    <row r="509" spans="2:9" x14ac:dyDescent="0.25">
      <c r="B509" s="15"/>
      <c r="C509" s="15"/>
      <c r="D509" s="15"/>
      <c r="E509" s="15"/>
      <c r="F509" s="15"/>
      <c r="G509" s="15"/>
      <c r="H509" s="15"/>
      <c r="I509" s="15"/>
    </row>
    <row r="510" spans="2:9" x14ac:dyDescent="0.25">
      <c r="B510" s="15"/>
      <c r="C510" s="15"/>
      <c r="D510" s="15"/>
      <c r="E510" s="15"/>
      <c r="F510" s="15"/>
      <c r="G510" s="15"/>
      <c r="H510" s="15"/>
      <c r="I510" s="15"/>
    </row>
    <row r="511" spans="2:9" x14ac:dyDescent="0.25">
      <c r="B511" s="15"/>
      <c r="C511" s="15"/>
      <c r="D511" s="15"/>
      <c r="E511" s="15"/>
      <c r="F511" s="15"/>
      <c r="G511" s="15"/>
      <c r="H511" s="15"/>
      <c r="I511" s="15"/>
    </row>
    <row r="512" spans="2:9" x14ac:dyDescent="0.25">
      <c r="B512" s="15"/>
      <c r="C512" s="15"/>
      <c r="D512" s="15"/>
      <c r="E512" s="15"/>
      <c r="F512" s="15"/>
      <c r="G512" s="15"/>
      <c r="H512" s="15"/>
      <c r="I512" s="15"/>
    </row>
    <row r="513" spans="2:9" x14ac:dyDescent="0.25">
      <c r="B513" s="15"/>
      <c r="C513" s="15"/>
      <c r="D513" s="15"/>
      <c r="E513" s="15"/>
      <c r="F513" s="15"/>
      <c r="G513" s="15"/>
      <c r="H513" s="15"/>
      <c r="I513" s="15"/>
    </row>
    <row r="514" spans="2:9" x14ac:dyDescent="0.25">
      <c r="B514" s="15"/>
      <c r="C514" s="15"/>
      <c r="D514" s="15"/>
      <c r="E514" s="15"/>
      <c r="F514" s="15"/>
      <c r="G514" s="15"/>
      <c r="H514" s="15"/>
      <c r="I514" s="15"/>
    </row>
    <row r="515" spans="2:9" x14ac:dyDescent="0.25">
      <c r="B515" s="15"/>
      <c r="C515" s="15"/>
      <c r="D515" s="15"/>
      <c r="E515" s="15"/>
      <c r="F515" s="15"/>
      <c r="G515" s="15"/>
      <c r="H515" s="15"/>
      <c r="I515" s="15"/>
    </row>
    <row r="516" spans="2:9" x14ac:dyDescent="0.25">
      <c r="B516" s="15"/>
      <c r="C516" s="15"/>
      <c r="D516" s="15"/>
      <c r="E516" s="15"/>
      <c r="F516" s="15"/>
      <c r="G516" s="15"/>
      <c r="H516" s="15"/>
      <c r="I516" s="15"/>
    </row>
    <row r="517" spans="2:9" x14ac:dyDescent="0.25">
      <c r="B517" s="15"/>
      <c r="C517" s="15"/>
      <c r="D517" s="15"/>
      <c r="E517" s="15"/>
      <c r="F517" s="15"/>
      <c r="G517" s="15"/>
      <c r="H517" s="15"/>
      <c r="I517" s="15"/>
    </row>
    <row r="518" spans="2:9" x14ac:dyDescent="0.25">
      <c r="B518" s="15"/>
      <c r="C518" s="15"/>
      <c r="D518" s="15"/>
      <c r="E518" s="15"/>
      <c r="F518" s="15"/>
      <c r="G518" s="15"/>
      <c r="H518" s="15"/>
      <c r="I518" s="15"/>
    </row>
    <row r="519" spans="2:9" x14ac:dyDescent="0.25">
      <c r="B519" s="15"/>
      <c r="C519" s="15"/>
      <c r="D519" s="15"/>
      <c r="E519" s="15"/>
      <c r="F519" s="15"/>
      <c r="G519" s="15"/>
      <c r="H519" s="15"/>
      <c r="I519" s="15"/>
    </row>
    <row r="520" spans="2:9" x14ac:dyDescent="0.25">
      <c r="B520" s="15"/>
      <c r="C520" s="15"/>
      <c r="D520" s="15"/>
      <c r="E520" s="15"/>
      <c r="F520" s="15"/>
      <c r="G520" s="15"/>
      <c r="H520" s="15"/>
      <c r="I520" s="15"/>
    </row>
    <row r="521" spans="2:9" x14ac:dyDescent="0.25">
      <c r="B521" s="15"/>
      <c r="C521" s="15"/>
      <c r="D521" s="15"/>
      <c r="E521" s="15"/>
      <c r="F521" s="15"/>
      <c r="G521" s="15"/>
      <c r="H521" s="15"/>
      <c r="I521" s="15"/>
    </row>
    <row r="522" spans="2:9" x14ac:dyDescent="0.25">
      <c r="B522" s="15"/>
      <c r="C522" s="15"/>
      <c r="D522" s="15"/>
      <c r="E522" s="15"/>
      <c r="F522" s="15"/>
      <c r="G522" s="15"/>
      <c r="H522" s="15"/>
      <c r="I522" s="15"/>
    </row>
    <row r="523" spans="2:9" x14ac:dyDescent="0.25">
      <c r="B523" s="15"/>
      <c r="C523" s="15"/>
      <c r="D523" s="15"/>
      <c r="E523" s="15"/>
      <c r="F523" s="15"/>
      <c r="G523" s="15"/>
      <c r="H523" s="15"/>
      <c r="I523" s="15"/>
    </row>
    <row r="524" spans="2:9" x14ac:dyDescent="0.25">
      <c r="B524" s="15"/>
      <c r="C524" s="15"/>
      <c r="D524" s="15"/>
      <c r="E524" s="15"/>
      <c r="F524" s="15"/>
      <c r="G524" s="15"/>
      <c r="H524" s="15"/>
      <c r="I524" s="15"/>
    </row>
    <row r="525" spans="2:9" x14ac:dyDescent="0.25">
      <c r="B525" s="15"/>
      <c r="C525" s="15"/>
      <c r="D525" s="15"/>
      <c r="E525" s="15"/>
      <c r="F525" s="15"/>
      <c r="G525" s="15"/>
      <c r="H525" s="15"/>
      <c r="I525" s="15"/>
    </row>
    <row r="526" spans="2:9" x14ac:dyDescent="0.25">
      <c r="B526" s="15"/>
      <c r="C526" s="15"/>
      <c r="D526" s="15"/>
      <c r="E526" s="15"/>
      <c r="F526" s="15"/>
      <c r="G526" s="15"/>
      <c r="H526" s="15"/>
      <c r="I526" s="15"/>
    </row>
    <row r="527" spans="2:9" x14ac:dyDescent="0.25">
      <c r="B527" s="15"/>
      <c r="C527" s="15"/>
      <c r="D527" s="15"/>
      <c r="E527" s="15"/>
      <c r="F527" s="15"/>
      <c r="G527" s="15"/>
      <c r="H527" s="15"/>
      <c r="I527" s="15"/>
    </row>
    <row r="528" spans="2:9" x14ac:dyDescent="0.25">
      <c r="B528" s="15"/>
      <c r="C528" s="15"/>
      <c r="D528" s="15"/>
      <c r="E528" s="15"/>
      <c r="F528" s="15"/>
      <c r="G528" s="15"/>
      <c r="H528" s="15"/>
      <c r="I528" s="15"/>
    </row>
    <row r="529" spans="2:9" x14ac:dyDescent="0.25">
      <c r="B529" s="15"/>
      <c r="C529" s="15"/>
      <c r="D529" s="15"/>
      <c r="E529" s="15"/>
      <c r="F529" s="15"/>
      <c r="G529" s="15"/>
      <c r="H529" s="15"/>
      <c r="I529" s="15"/>
    </row>
    <row r="530" spans="2:9" x14ac:dyDescent="0.25">
      <c r="B530" s="15"/>
      <c r="C530" s="15"/>
      <c r="D530" s="15"/>
      <c r="E530" s="15"/>
      <c r="F530" s="15"/>
      <c r="G530" s="15"/>
      <c r="H530" s="15"/>
      <c r="I530" s="15"/>
    </row>
    <row r="531" spans="2:9" x14ac:dyDescent="0.25">
      <c r="B531" s="15"/>
      <c r="C531" s="15"/>
      <c r="D531" s="15"/>
      <c r="E531" s="15"/>
      <c r="F531" s="15"/>
      <c r="G531" s="15"/>
      <c r="H531" s="15"/>
      <c r="I531" s="15"/>
    </row>
    <row r="532" spans="2:9" x14ac:dyDescent="0.25">
      <c r="B532" s="15"/>
      <c r="C532" s="15"/>
      <c r="D532" s="15"/>
      <c r="E532" s="15"/>
      <c r="F532" s="15"/>
      <c r="G532" s="15"/>
      <c r="H532" s="15"/>
      <c r="I532" s="15"/>
    </row>
    <row r="533" spans="2:9" x14ac:dyDescent="0.25">
      <c r="B533" s="15"/>
      <c r="C533" s="15"/>
      <c r="D533" s="15"/>
      <c r="E533" s="15"/>
      <c r="F533" s="15"/>
      <c r="G533" s="15"/>
      <c r="H533" s="15"/>
      <c r="I533" s="15"/>
    </row>
    <row r="534" spans="2:9" x14ac:dyDescent="0.25">
      <c r="B534" s="15"/>
      <c r="C534" s="15"/>
      <c r="D534" s="15"/>
      <c r="E534" s="15"/>
      <c r="F534" s="15"/>
      <c r="G534" s="15"/>
      <c r="H534" s="15"/>
      <c r="I534" s="15"/>
    </row>
    <row r="535" spans="2:9" x14ac:dyDescent="0.25">
      <c r="B535" s="15"/>
      <c r="C535" s="15"/>
      <c r="D535" s="15"/>
      <c r="E535" s="15"/>
      <c r="F535" s="15"/>
      <c r="G535" s="15"/>
      <c r="H535" s="15"/>
      <c r="I535" s="15"/>
    </row>
    <row r="536" spans="2:9" x14ac:dyDescent="0.25">
      <c r="B536" s="15"/>
      <c r="C536" s="15"/>
      <c r="D536" s="15"/>
      <c r="E536" s="15"/>
      <c r="F536" s="15"/>
      <c r="G536" s="15"/>
      <c r="H536" s="15"/>
      <c r="I536" s="15"/>
    </row>
    <row r="537" spans="2:9" x14ac:dyDescent="0.25">
      <c r="B537" s="15"/>
      <c r="C537" s="15"/>
      <c r="D537" s="15"/>
      <c r="E537" s="15"/>
      <c r="F537" s="15"/>
      <c r="G537" s="15"/>
      <c r="H537" s="15"/>
      <c r="I537" s="15"/>
    </row>
    <row r="538" spans="2:9" x14ac:dyDescent="0.25">
      <c r="B538" s="15"/>
      <c r="C538" s="15"/>
      <c r="D538" s="15"/>
      <c r="E538" s="15"/>
      <c r="F538" s="15"/>
      <c r="G538" s="15"/>
      <c r="H538" s="15"/>
      <c r="I538" s="15"/>
    </row>
    <row r="539" spans="2:9" x14ac:dyDescent="0.25">
      <c r="B539" s="15"/>
      <c r="C539" s="15"/>
      <c r="D539" s="15"/>
      <c r="E539" s="15"/>
      <c r="F539" s="15"/>
      <c r="G539" s="15"/>
      <c r="H539" s="15"/>
      <c r="I539" s="15"/>
    </row>
    <row r="540" spans="2:9" x14ac:dyDescent="0.25">
      <c r="B540" s="15"/>
      <c r="C540" s="15"/>
      <c r="D540" s="15"/>
      <c r="E540" s="15"/>
      <c r="F540" s="15"/>
      <c r="G540" s="15"/>
      <c r="H540" s="15"/>
      <c r="I540" s="15"/>
    </row>
    <row r="541" spans="2:9" x14ac:dyDescent="0.25">
      <c r="B541" s="15"/>
      <c r="C541" s="15"/>
      <c r="D541" s="15"/>
      <c r="E541" s="15"/>
      <c r="F541" s="15"/>
      <c r="G541" s="15"/>
      <c r="H541" s="15"/>
      <c r="I541" s="15"/>
    </row>
    <row r="542" spans="2:9" x14ac:dyDescent="0.25">
      <c r="B542" s="15"/>
      <c r="C542" s="15"/>
      <c r="D542" s="15"/>
      <c r="E542" s="15"/>
      <c r="F542" s="15"/>
      <c r="G542" s="15"/>
      <c r="H542" s="15"/>
      <c r="I542" s="15"/>
    </row>
    <row r="543" spans="2:9" x14ac:dyDescent="0.25">
      <c r="B543" s="15"/>
      <c r="C543" s="15"/>
      <c r="D543" s="15"/>
      <c r="E543" s="15"/>
      <c r="F543" s="15"/>
      <c r="G543" s="15"/>
      <c r="H543" s="15"/>
      <c r="I543" s="15"/>
    </row>
    <row r="544" spans="2:9" x14ac:dyDescent="0.25">
      <c r="B544" s="15"/>
      <c r="C544" s="15"/>
      <c r="D544" s="15"/>
      <c r="E544" s="15"/>
      <c r="F544" s="15"/>
      <c r="G544" s="15"/>
      <c r="H544" s="15"/>
      <c r="I544" s="15"/>
    </row>
    <row r="545" spans="2:9" x14ac:dyDescent="0.25">
      <c r="B545" s="15"/>
      <c r="C545" s="15"/>
      <c r="D545" s="15"/>
      <c r="E545" s="15"/>
      <c r="F545" s="15"/>
      <c r="G545" s="15"/>
      <c r="H545" s="15"/>
      <c r="I545" s="15"/>
    </row>
    <row r="546" spans="2:9" x14ac:dyDescent="0.25">
      <c r="B546" s="15"/>
      <c r="C546" s="15"/>
      <c r="D546" s="15"/>
      <c r="E546" s="15"/>
      <c r="F546" s="15"/>
      <c r="G546" s="15"/>
      <c r="H546" s="15"/>
      <c r="I546" s="15"/>
    </row>
    <row r="547" spans="2:9" x14ac:dyDescent="0.25">
      <c r="B547" s="15"/>
      <c r="C547" s="15"/>
      <c r="D547" s="15"/>
      <c r="E547" s="15"/>
      <c r="F547" s="15"/>
      <c r="G547" s="15"/>
      <c r="H547" s="15"/>
      <c r="I547" s="15"/>
    </row>
    <row r="548" spans="2:9" x14ac:dyDescent="0.25">
      <c r="B548" s="15"/>
      <c r="C548" s="15"/>
      <c r="D548" s="15"/>
      <c r="E548" s="15"/>
      <c r="F548" s="15"/>
      <c r="G548" s="15"/>
      <c r="H548" s="15"/>
      <c r="I548" s="15"/>
    </row>
    <row r="549" spans="2:9" x14ac:dyDescent="0.25">
      <c r="B549" s="15"/>
      <c r="C549" s="15"/>
      <c r="D549" s="15"/>
      <c r="E549" s="15"/>
      <c r="F549" s="15"/>
      <c r="G549" s="15"/>
      <c r="H549" s="15"/>
      <c r="I549" s="15"/>
    </row>
    <row r="550" spans="2:9" x14ac:dyDescent="0.25">
      <c r="B550" s="15"/>
      <c r="C550" s="15"/>
      <c r="D550" s="15"/>
      <c r="E550" s="15"/>
      <c r="F550" s="15"/>
      <c r="G550" s="15"/>
      <c r="H550" s="15"/>
      <c r="I550" s="15"/>
    </row>
    <row r="551" spans="2:9" x14ac:dyDescent="0.25">
      <c r="B551" s="15"/>
      <c r="C551" s="15"/>
      <c r="D551" s="15"/>
      <c r="E551" s="15"/>
      <c r="F551" s="15"/>
      <c r="G551" s="15"/>
      <c r="H551" s="15"/>
      <c r="I551" s="15"/>
    </row>
    <row r="552" spans="2:9" x14ac:dyDescent="0.25">
      <c r="B552" s="15"/>
      <c r="C552" s="15"/>
      <c r="D552" s="15"/>
      <c r="E552" s="15"/>
      <c r="F552" s="15"/>
      <c r="G552" s="15"/>
      <c r="H552" s="15"/>
      <c r="I552" s="15"/>
    </row>
    <row r="553" spans="2:9" x14ac:dyDescent="0.25">
      <c r="B553" s="15"/>
      <c r="C553" s="15"/>
      <c r="D553" s="15"/>
      <c r="E553" s="15"/>
      <c r="F553" s="15"/>
      <c r="G553" s="15"/>
      <c r="H553" s="15"/>
      <c r="I553" s="15"/>
    </row>
    <row r="554" spans="2:9" x14ac:dyDescent="0.25">
      <c r="B554" s="15"/>
      <c r="C554" s="15"/>
      <c r="D554" s="15"/>
      <c r="E554" s="15"/>
      <c r="F554" s="15"/>
      <c r="G554" s="15"/>
      <c r="H554" s="15"/>
      <c r="I554" s="15"/>
    </row>
    <row r="555" spans="2:9" x14ac:dyDescent="0.25">
      <c r="B555" s="15"/>
      <c r="C555" s="15"/>
      <c r="D555" s="15"/>
      <c r="E555" s="15"/>
      <c r="F555" s="15"/>
      <c r="G555" s="15"/>
      <c r="H555" s="15"/>
      <c r="I555" s="15"/>
    </row>
    <row r="556" spans="2:9" x14ac:dyDescent="0.25">
      <c r="B556" s="15"/>
      <c r="C556" s="15"/>
      <c r="D556" s="15"/>
      <c r="E556" s="15"/>
      <c r="F556" s="15"/>
      <c r="G556" s="15"/>
      <c r="H556" s="15"/>
      <c r="I556" s="15"/>
    </row>
    <row r="557" spans="2:9" x14ac:dyDescent="0.25">
      <c r="B557" s="15"/>
      <c r="C557" s="15"/>
      <c r="D557" s="15"/>
      <c r="E557" s="15"/>
      <c r="F557" s="15"/>
      <c r="G557" s="15"/>
      <c r="H557" s="15"/>
      <c r="I557" s="15"/>
    </row>
    <row r="558" spans="2:9" x14ac:dyDescent="0.25">
      <c r="B558" s="15"/>
      <c r="C558" s="15"/>
      <c r="D558" s="15"/>
      <c r="E558" s="15"/>
      <c r="F558" s="15"/>
      <c r="G558" s="15"/>
      <c r="H558" s="15"/>
      <c r="I558" s="15"/>
    </row>
    <row r="559" spans="2:9" x14ac:dyDescent="0.25">
      <c r="B559" s="15"/>
      <c r="C559" s="15"/>
      <c r="D559" s="15"/>
      <c r="E559" s="15"/>
      <c r="F559" s="15"/>
      <c r="G559" s="15"/>
      <c r="H559" s="15"/>
      <c r="I559" s="15"/>
    </row>
    <row r="560" spans="2:9" x14ac:dyDescent="0.25">
      <c r="B560" s="15"/>
      <c r="C560" s="15"/>
      <c r="D560" s="15"/>
      <c r="E560" s="15"/>
      <c r="F560" s="15"/>
      <c r="G560" s="15"/>
      <c r="H560" s="15"/>
      <c r="I560" s="15"/>
    </row>
    <row r="561" spans="2:9" x14ac:dyDescent="0.25">
      <c r="B561" s="15"/>
      <c r="C561" s="15"/>
      <c r="D561" s="15"/>
      <c r="E561" s="15"/>
      <c r="F561" s="15"/>
      <c r="G561" s="15"/>
      <c r="H561" s="15"/>
      <c r="I561" s="15"/>
    </row>
    <row r="562" spans="2:9" x14ac:dyDescent="0.25">
      <c r="B562" s="15"/>
      <c r="C562" s="15"/>
      <c r="D562" s="15"/>
      <c r="E562" s="15"/>
      <c r="F562" s="15"/>
      <c r="G562" s="15"/>
      <c r="H562" s="15"/>
      <c r="I562" s="15"/>
    </row>
    <row r="563" spans="2:9" x14ac:dyDescent="0.25">
      <c r="B563" s="15"/>
      <c r="C563" s="15"/>
      <c r="D563" s="15"/>
      <c r="E563" s="15"/>
      <c r="F563" s="15"/>
      <c r="G563" s="15"/>
      <c r="H563" s="15"/>
      <c r="I563" s="15"/>
    </row>
    <row r="564" spans="2:9" x14ac:dyDescent="0.25">
      <c r="B564" s="15"/>
      <c r="C564" s="15"/>
      <c r="D564" s="15"/>
      <c r="E564" s="15"/>
      <c r="F564" s="15"/>
      <c r="G564" s="15"/>
      <c r="H564" s="15"/>
      <c r="I564" s="15"/>
    </row>
    <row r="565" spans="2:9" x14ac:dyDescent="0.25">
      <c r="B565" s="15"/>
      <c r="C565" s="15"/>
      <c r="D565" s="15"/>
      <c r="E565" s="15"/>
      <c r="F565" s="15"/>
      <c r="G565" s="15"/>
      <c r="H565" s="15"/>
      <c r="I565" s="15"/>
    </row>
    <row r="566" spans="2:9" x14ac:dyDescent="0.25">
      <c r="B566" s="15"/>
      <c r="C566" s="15"/>
      <c r="D566" s="15"/>
      <c r="E566" s="15"/>
      <c r="F566" s="15"/>
      <c r="G566" s="15"/>
      <c r="H566" s="15"/>
      <c r="I566" s="15"/>
    </row>
    <row r="567" spans="2:9" x14ac:dyDescent="0.25">
      <c r="B567" s="15"/>
      <c r="C567" s="15"/>
      <c r="D567" s="15"/>
      <c r="E567" s="15"/>
      <c r="F567" s="15"/>
      <c r="G567" s="15"/>
      <c r="H567" s="15"/>
      <c r="I567" s="15"/>
    </row>
    <row r="568" spans="2:9" x14ac:dyDescent="0.25">
      <c r="B568" s="15"/>
      <c r="C568" s="15"/>
      <c r="D568" s="15"/>
      <c r="E568" s="15"/>
      <c r="F568" s="15"/>
      <c r="G568" s="15"/>
      <c r="H568" s="15"/>
      <c r="I568" s="15"/>
    </row>
    <row r="569" spans="2:9" x14ac:dyDescent="0.25">
      <c r="B569" s="15"/>
      <c r="C569" s="15"/>
      <c r="D569" s="15"/>
      <c r="E569" s="15"/>
      <c r="F569" s="15"/>
      <c r="G569" s="15"/>
      <c r="H569" s="15"/>
      <c r="I569" s="15"/>
    </row>
    <row r="570" spans="2:9" x14ac:dyDescent="0.25">
      <c r="B570" s="15"/>
      <c r="C570" s="15"/>
      <c r="D570" s="15"/>
      <c r="E570" s="15"/>
      <c r="F570" s="15"/>
      <c r="G570" s="15"/>
      <c r="H570" s="15"/>
      <c r="I570" s="15"/>
    </row>
    <row r="571" spans="2:9" x14ac:dyDescent="0.25">
      <c r="B571" s="15"/>
      <c r="C571" s="15"/>
      <c r="D571" s="15"/>
      <c r="E571" s="15"/>
      <c r="F571" s="15"/>
      <c r="G571" s="15"/>
      <c r="H571" s="15"/>
      <c r="I571" s="15"/>
    </row>
    <row r="572" spans="2:9" x14ac:dyDescent="0.25">
      <c r="B572" s="15"/>
      <c r="C572" s="15"/>
      <c r="D572" s="15"/>
      <c r="E572" s="15"/>
      <c r="F572" s="15"/>
      <c r="G572" s="15"/>
      <c r="H572" s="15"/>
      <c r="I572" s="15"/>
    </row>
    <row r="573" spans="2:9" x14ac:dyDescent="0.25">
      <c r="B573" s="15"/>
      <c r="C573" s="15"/>
      <c r="D573" s="15"/>
      <c r="E573" s="15"/>
      <c r="F573" s="15"/>
      <c r="G573" s="15"/>
      <c r="H573" s="15"/>
      <c r="I573" s="15"/>
    </row>
    <row r="574" spans="2:9" x14ac:dyDescent="0.25">
      <c r="B574" s="15"/>
      <c r="C574" s="15"/>
      <c r="D574" s="15"/>
      <c r="E574" s="15"/>
      <c r="F574" s="15"/>
      <c r="G574" s="15"/>
      <c r="H574" s="15"/>
      <c r="I574" s="15"/>
    </row>
    <row r="575" spans="2:9" x14ac:dyDescent="0.25">
      <c r="B575" s="15"/>
      <c r="C575" s="15"/>
      <c r="D575" s="15"/>
      <c r="E575" s="15"/>
      <c r="F575" s="15"/>
      <c r="G575" s="15"/>
      <c r="H575" s="15"/>
      <c r="I575" s="15"/>
    </row>
    <row r="576" spans="2:9" x14ac:dyDescent="0.25">
      <c r="B576" s="15"/>
      <c r="C576" s="15"/>
      <c r="D576" s="15"/>
      <c r="E576" s="15"/>
      <c r="F576" s="15"/>
      <c r="G576" s="15"/>
      <c r="H576" s="15"/>
      <c r="I576" s="15"/>
    </row>
    <row r="577" spans="2:9" x14ac:dyDescent="0.25">
      <c r="B577" s="15"/>
      <c r="C577" s="15"/>
      <c r="D577" s="15"/>
      <c r="E577" s="15"/>
      <c r="F577" s="15"/>
      <c r="G577" s="15"/>
      <c r="H577" s="15"/>
      <c r="I577" s="15"/>
    </row>
    <row r="578" spans="2:9" x14ac:dyDescent="0.25">
      <c r="B578" s="15"/>
      <c r="C578" s="15"/>
      <c r="D578" s="15"/>
      <c r="E578" s="15"/>
      <c r="F578" s="15"/>
      <c r="G578" s="15"/>
      <c r="H578" s="15"/>
      <c r="I578" s="15"/>
    </row>
    <row r="579" spans="2:9" x14ac:dyDescent="0.25">
      <c r="B579" s="15"/>
      <c r="C579" s="15"/>
      <c r="D579" s="15"/>
      <c r="E579" s="15"/>
      <c r="F579" s="15"/>
      <c r="G579" s="15"/>
      <c r="H579" s="15"/>
      <c r="I579" s="15"/>
    </row>
    <row r="580" spans="2:9" x14ac:dyDescent="0.25">
      <c r="B580" s="15"/>
      <c r="C580" s="15"/>
      <c r="D580" s="15"/>
      <c r="E580" s="15"/>
      <c r="F580" s="15"/>
      <c r="G580" s="15"/>
      <c r="H580" s="15"/>
      <c r="I580" s="15"/>
    </row>
    <row r="581" spans="2:9" x14ac:dyDescent="0.25">
      <c r="B581" s="15"/>
      <c r="C581" s="15"/>
      <c r="D581" s="15"/>
      <c r="E581" s="15"/>
      <c r="F581" s="15"/>
      <c r="G581" s="15"/>
      <c r="H581" s="15"/>
      <c r="I581" s="15"/>
    </row>
    <row r="582" spans="2:9" x14ac:dyDescent="0.25">
      <c r="B582" s="15"/>
      <c r="C582" s="15"/>
      <c r="D582" s="15"/>
      <c r="E582" s="15"/>
      <c r="F582" s="15"/>
      <c r="G582" s="15"/>
      <c r="H582" s="15"/>
      <c r="I582" s="15"/>
    </row>
    <row r="583" spans="2:9" x14ac:dyDescent="0.25">
      <c r="B583" s="15"/>
      <c r="C583" s="15"/>
      <c r="D583" s="15"/>
      <c r="E583" s="15"/>
      <c r="F583" s="15"/>
      <c r="G583" s="15"/>
      <c r="H583" s="15"/>
      <c r="I583" s="15"/>
    </row>
    <row r="584" spans="2:9" x14ac:dyDescent="0.25">
      <c r="B584" s="15"/>
      <c r="C584" s="15"/>
      <c r="D584" s="15"/>
      <c r="E584" s="15"/>
      <c r="F584" s="15"/>
      <c r="G584" s="15"/>
      <c r="H584" s="15"/>
      <c r="I584" s="15"/>
    </row>
    <row r="585" spans="2:9" x14ac:dyDescent="0.25">
      <c r="B585" s="15"/>
      <c r="C585" s="15"/>
      <c r="D585" s="15"/>
      <c r="E585" s="15"/>
      <c r="F585" s="15"/>
      <c r="G585" s="15"/>
      <c r="H585" s="15"/>
      <c r="I585" s="15"/>
    </row>
    <row r="586" spans="2:9" x14ac:dyDescent="0.25">
      <c r="B586" s="15"/>
      <c r="C586" s="15"/>
      <c r="D586" s="15"/>
      <c r="E586" s="15"/>
      <c r="F586" s="15"/>
      <c r="G586" s="15"/>
      <c r="H586" s="15"/>
      <c r="I586" s="15"/>
    </row>
    <row r="587" spans="2:9" x14ac:dyDescent="0.25">
      <c r="B587" s="15"/>
      <c r="C587" s="15"/>
      <c r="D587" s="15"/>
      <c r="E587" s="15"/>
      <c r="F587" s="15"/>
      <c r="G587" s="15"/>
      <c r="H587" s="15"/>
      <c r="I587" s="15"/>
    </row>
    <row r="588" spans="2:9" x14ac:dyDescent="0.25">
      <c r="B588" s="15"/>
      <c r="C588" s="15"/>
      <c r="D588" s="15"/>
      <c r="E588" s="15"/>
      <c r="F588" s="15"/>
      <c r="G588" s="15"/>
      <c r="H588" s="15"/>
      <c r="I588" s="15"/>
    </row>
    <row r="589" spans="2:9" x14ac:dyDescent="0.25">
      <c r="B589" s="15"/>
      <c r="C589" s="15"/>
      <c r="D589" s="15"/>
      <c r="E589" s="15"/>
      <c r="F589" s="15"/>
      <c r="G589" s="15"/>
      <c r="H589" s="15"/>
      <c r="I589" s="15"/>
    </row>
    <row r="590" spans="2:9" x14ac:dyDescent="0.25">
      <c r="B590" s="15"/>
      <c r="C590" s="15"/>
      <c r="D590" s="15"/>
      <c r="E590" s="15"/>
      <c r="F590" s="15"/>
      <c r="G590" s="15"/>
      <c r="H590" s="15"/>
      <c r="I590" s="15"/>
    </row>
    <row r="591" spans="2:9" x14ac:dyDescent="0.25">
      <c r="B591" s="15"/>
      <c r="C591" s="15"/>
      <c r="D591" s="15"/>
      <c r="E591" s="15"/>
      <c r="F591" s="15"/>
      <c r="G591" s="15"/>
      <c r="H591" s="15"/>
      <c r="I591" s="15"/>
    </row>
    <row r="592" spans="2:9" x14ac:dyDescent="0.25">
      <c r="B592" s="15"/>
      <c r="C592" s="15"/>
      <c r="D592" s="15"/>
      <c r="E592" s="15"/>
      <c r="F592" s="15"/>
      <c r="G592" s="15"/>
      <c r="H592" s="15"/>
      <c r="I592" s="15"/>
    </row>
    <row r="593" spans="2:9" x14ac:dyDescent="0.25">
      <c r="B593" s="15"/>
      <c r="C593" s="15"/>
      <c r="D593" s="15"/>
      <c r="E593" s="15"/>
      <c r="F593" s="15"/>
      <c r="G593" s="15"/>
      <c r="H593" s="15"/>
      <c r="I593" s="15"/>
    </row>
    <row r="594" spans="2:9" x14ac:dyDescent="0.25">
      <c r="B594" s="15"/>
      <c r="C594" s="15"/>
      <c r="D594" s="15"/>
      <c r="E594" s="15"/>
      <c r="F594" s="15"/>
      <c r="G594" s="15"/>
      <c r="H594" s="15"/>
      <c r="I594" s="15"/>
    </row>
    <row r="595" spans="2:9" x14ac:dyDescent="0.25">
      <c r="B595" s="15"/>
      <c r="C595" s="15"/>
      <c r="D595" s="15"/>
      <c r="E595" s="15"/>
      <c r="F595" s="15"/>
      <c r="G595" s="15"/>
      <c r="H595" s="15"/>
      <c r="I595" s="15"/>
    </row>
    <row r="596" spans="2:9" x14ac:dyDescent="0.25">
      <c r="B596" s="15"/>
      <c r="C596" s="15"/>
      <c r="D596" s="15"/>
      <c r="E596" s="15"/>
      <c r="F596" s="15"/>
      <c r="G596" s="15"/>
      <c r="H596" s="15"/>
      <c r="I596" s="15"/>
    </row>
    <row r="597" spans="2:9" x14ac:dyDescent="0.25">
      <c r="B597" s="15"/>
      <c r="C597" s="15"/>
      <c r="D597" s="15"/>
      <c r="E597" s="15"/>
      <c r="F597" s="15"/>
      <c r="G597" s="15"/>
      <c r="H597" s="15"/>
      <c r="I597" s="15"/>
    </row>
    <row r="598" spans="2:9" x14ac:dyDescent="0.25">
      <c r="B598" s="15"/>
      <c r="C598" s="15"/>
      <c r="D598" s="15"/>
      <c r="E598" s="15"/>
      <c r="F598" s="15"/>
      <c r="G598" s="15"/>
      <c r="H598" s="15"/>
      <c r="I598" s="15"/>
    </row>
    <row r="599" spans="2:9" x14ac:dyDescent="0.25">
      <c r="B599" s="15"/>
      <c r="C599" s="15"/>
      <c r="D599" s="15"/>
      <c r="E599" s="15"/>
      <c r="F599" s="15"/>
      <c r="G599" s="15"/>
      <c r="H599" s="15"/>
      <c r="I599" s="15"/>
    </row>
    <row r="600" spans="2:9" x14ac:dyDescent="0.25">
      <c r="B600" s="15"/>
      <c r="C600" s="15"/>
      <c r="D600" s="15"/>
      <c r="E600" s="15"/>
      <c r="F600" s="15"/>
      <c r="G600" s="15"/>
      <c r="H600" s="15"/>
      <c r="I600" s="15"/>
    </row>
    <row r="601" spans="2:9" x14ac:dyDescent="0.25">
      <c r="B601" s="15"/>
      <c r="C601" s="15"/>
      <c r="D601" s="15"/>
      <c r="E601" s="15"/>
      <c r="F601" s="15"/>
      <c r="G601" s="15"/>
      <c r="H601" s="15"/>
      <c r="I601" s="15"/>
    </row>
    <row r="602" spans="2:9" x14ac:dyDescent="0.25">
      <c r="B602" s="15"/>
      <c r="C602" s="15"/>
      <c r="D602" s="15"/>
      <c r="E602" s="15"/>
      <c r="F602" s="15"/>
      <c r="G602" s="15"/>
      <c r="H602" s="15"/>
      <c r="I602" s="15"/>
    </row>
    <row r="603" spans="2:9" x14ac:dyDescent="0.25">
      <c r="B603" s="15"/>
      <c r="C603" s="15"/>
      <c r="D603" s="15"/>
      <c r="E603" s="15"/>
      <c r="F603" s="15"/>
      <c r="G603" s="15"/>
      <c r="H603" s="15"/>
      <c r="I603" s="15"/>
    </row>
    <row r="604" spans="2:9" x14ac:dyDescent="0.25">
      <c r="B604" s="15"/>
      <c r="C604" s="15"/>
      <c r="D604" s="15"/>
      <c r="E604" s="15"/>
      <c r="F604" s="15"/>
      <c r="G604" s="15"/>
      <c r="H604" s="15"/>
      <c r="I604" s="15"/>
    </row>
    <row r="605" spans="2:9" x14ac:dyDescent="0.25">
      <c r="B605" s="15"/>
      <c r="C605" s="15"/>
      <c r="D605" s="15"/>
      <c r="E605" s="15"/>
      <c r="F605" s="15"/>
      <c r="G605" s="15"/>
      <c r="H605" s="15"/>
      <c r="I605" s="15"/>
    </row>
    <row r="606" spans="2:9" x14ac:dyDescent="0.25">
      <c r="B606" s="15"/>
      <c r="C606" s="15"/>
      <c r="D606" s="15"/>
      <c r="E606" s="15"/>
      <c r="F606" s="15"/>
      <c r="G606" s="15"/>
      <c r="H606" s="15"/>
      <c r="I606" s="15"/>
    </row>
    <row r="607" spans="2:9" x14ac:dyDescent="0.25">
      <c r="B607" s="15"/>
      <c r="C607" s="15"/>
      <c r="D607" s="15"/>
      <c r="E607" s="15"/>
      <c r="F607" s="15"/>
      <c r="G607" s="15"/>
      <c r="H607" s="15"/>
      <c r="I607" s="15"/>
    </row>
    <row r="608" spans="2:9" x14ac:dyDescent="0.25">
      <c r="B608" s="15"/>
      <c r="C608" s="15"/>
      <c r="D608" s="15"/>
      <c r="E608" s="15"/>
      <c r="F608" s="15"/>
      <c r="G608" s="15"/>
      <c r="H608" s="15"/>
      <c r="I608" s="15"/>
    </row>
    <row r="609" spans="2:9" x14ac:dyDescent="0.25">
      <c r="B609" s="15"/>
      <c r="C609" s="15"/>
      <c r="D609" s="15"/>
      <c r="E609" s="15"/>
      <c r="F609" s="15"/>
      <c r="G609" s="15"/>
      <c r="H609" s="15"/>
      <c r="I609" s="15"/>
    </row>
    <row r="610" spans="2:9" x14ac:dyDescent="0.25">
      <c r="B610" s="15"/>
      <c r="C610" s="15"/>
      <c r="D610" s="15"/>
      <c r="E610" s="15"/>
      <c r="F610" s="15"/>
      <c r="G610" s="15"/>
      <c r="H610" s="15"/>
      <c r="I610" s="15"/>
    </row>
    <row r="611" spans="2:9" x14ac:dyDescent="0.25">
      <c r="B611" s="15"/>
      <c r="C611" s="15"/>
      <c r="D611" s="15"/>
      <c r="E611" s="15"/>
      <c r="F611" s="15"/>
      <c r="G611" s="15"/>
      <c r="H611" s="15"/>
      <c r="I611" s="15"/>
    </row>
    <row r="612" spans="2:9" x14ac:dyDescent="0.25">
      <c r="B612" s="15"/>
      <c r="C612" s="15"/>
      <c r="D612" s="15"/>
      <c r="E612" s="15"/>
      <c r="F612" s="15"/>
      <c r="G612" s="15"/>
      <c r="H612" s="15"/>
      <c r="I612" s="15"/>
    </row>
    <row r="613" spans="2:9" x14ac:dyDescent="0.25">
      <c r="B613" s="15"/>
      <c r="C613" s="15"/>
      <c r="D613" s="15"/>
      <c r="E613" s="15"/>
      <c r="F613" s="15"/>
      <c r="G613" s="15"/>
      <c r="H613" s="15"/>
      <c r="I613" s="15"/>
    </row>
    <row r="614" spans="2:9" x14ac:dyDescent="0.25">
      <c r="B614" s="15"/>
      <c r="C614" s="15"/>
      <c r="D614" s="15"/>
      <c r="E614" s="15"/>
      <c r="F614" s="15"/>
      <c r="G614" s="15"/>
      <c r="H614" s="15"/>
      <c r="I614" s="15"/>
    </row>
    <row r="615" spans="2:9" x14ac:dyDescent="0.25">
      <c r="B615" s="15"/>
      <c r="C615" s="15"/>
      <c r="D615" s="15"/>
      <c r="E615" s="15"/>
      <c r="F615" s="15"/>
      <c r="G615" s="15"/>
      <c r="H615" s="15"/>
      <c r="I615" s="15"/>
    </row>
    <row r="616" spans="2:9" x14ac:dyDescent="0.25">
      <c r="B616" s="15"/>
      <c r="C616" s="15"/>
      <c r="D616" s="15"/>
      <c r="E616" s="15"/>
      <c r="F616" s="15"/>
      <c r="G616" s="15"/>
      <c r="H616" s="15"/>
      <c r="I616" s="15"/>
    </row>
    <row r="617" spans="2:9" x14ac:dyDescent="0.25">
      <c r="B617" s="15"/>
      <c r="C617" s="15"/>
      <c r="D617" s="15"/>
      <c r="E617" s="15"/>
      <c r="F617" s="15"/>
      <c r="G617" s="15"/>
      <c r="H617" s="15"/>
      <c r="I617" s="15"/>
    </row>
    <row r="618" spans="2:9" x14ac:dyDescent="0.25">
      <c r="B618" s="15"/>
      <c r="C618" s="15"/>
      <c r="D618" s="15"/>
      <c r="E618" s="15"/>
      <c r="F618" s="15"/>
      <c r="G618" s="15"/>
      <c r="H618" s="15"/>
      <c r="I618" s="15"/>
    </row>
    <row r="619" spans="2:9" x14ac:dyDescent="0.25">
      <c r="B619" s="15"/>
      <c r="C619" s="15"/>
      <c r="D619" s="15"/>
      <c r="E619" s="15"/>
      <c r="F619" s="15"/>
      <c r="G619" s="15"/>
      <c r="H619" s="15"/>
      <c r="I619" s="15"/>
    </row>
    <row r="620" spans="2:9" x14ac:dyDescent="0.25">
      <c r="B620" s="15"/>
      <c r="C620" s="15"/>
      <c r="D620" s="15"/>
      <c r="E620" s="15"/>
      <c r="F620" s="15"/>
      <c r="G620" s="15"/>
      <c r="H620" s="15"/>
      <c r="I620" s="15"/>
    </row>
    <row r="621" spans="2:9" x14ac:dyDescent="0.25">
      <c r="B621" s="15"/>
      <c r="C621" s="15"/>
      <c r="D621" s="15"/>
      <c r="E621" s="15"/>
      <c r="F621" s="15"/>
      <c r="G621" s="15"/>
      <c r="H621" s="15"/>
      <c r="I621" s="15"/>
    </row>
    <row r="622" spans="2:9" x14ac:dyDescent="0.25">
      <c r="B622" s="15"/>
      <c r="C622" s="15"/>
      <c r="D622" s="15"/>
      <c r="E622" s="15"/>
      <c r="F622" s="15"/>
      <c r="G622" s="15"/>
      <c r="H622" s="15"/>
      <c r="I622" s="15"/>
    </row>
    <row r="623" spans="2:9" x14ac:dyDescent="0.25">
      <c r="B623" s="15"/>
      <c r="C623" s="15"/>
      <c r="D623" s="15"/>
      <c r="E623" s="15"/>
      <c r="F623" s="15"/>
      <c r="G623" s="15"/>
      <c r="H623" s="15"/>
      <c r="I623" s="15"/>
    </row>
    <row r="624" spans="2:9" x14ac:dyDescent="0.25">
      <c r="B624" s="15"/>
      <c r="C624" s="15"/>
      <c r="D624" s="15"/>
      <c r="E624" s="15"/>
      <c r="F624" s="15"/>
      <c r="G624" s="15"/>
      <c r="H624" s="15"/>
      <c r="I624" s="15"/>
    </row>
    <row r="625" spans="2:9" x14ac:dyDescent="0.25">
      <c r="B625" s="15"/>
      <c r="C625" s="15"/>
      <c r="D625" s="15"/>
      <c r="E625" s="15"/>
      <c r="F625" s="15"/>
      <c r="G625" s="15"/>
      <c r="H625" s="15"/>
      <c r="I625" s="15"/>
    </row>
    <row r="626" spans="2:9" x14ac:dyDescent="0.25">
      <c r="B626" s="15"/>
      <c r="C626" s="15"/>
      <c r="D626" s="15"/>
      <c r="E626" s="15"/>
      <c r="F626" s="15"/>
      <c r="G626" s="15"/>
      <c r="H626" s="15"/>
      <c r="I626" s="15"/>
    </row>
    <row r="627" spans="2:9" x14ac:dyDescent="0.25">
      <c r="B627" s="15"/>
      <c r="C627" s="15"/>
      <c r="D627" s="15"/>
      <c r="E627" s="15"/>
      <c r="F627" s="15"/>
      <c r="G627" s="15"/>
      <c r="H627" s="15"/>
      <c r="I627" s="15"/>
    </row>
    <row r="628" spans="2:9" x14ac:dyDescent="0.25">
      <c r="B628" s="15"/>
      <c r="C628" s="15"/>
      <c r="D628" s="15"/>
      <c r="E628" s="15"/>
      <c r="F628" s="15"/>
      <c r="G628" s="15"/>
      <c r="H628" s="15"/>
      <c r="I628" s="15"/>
    </row>
    <row r="629" spans="2:9" x14ac:dyDescent="0.25">
      <c r="B629" s="15"/>
      <c r="C629" s="15"/>
      <c r="D629" s="15"/>
      <c r="E629" s="15"/>
      <c r="F629" s="15"/>
      <c r="G629" s="15"/>
      <c r="H629" s="15"/>
      <c r="I629" s="15"/>
    </row>
  </sheetData>
  <mergeCells count="5">
    <mergeCell ref="A1:H1"/>
    <mergeCell ref="A3:H3"/>
    <mergeCell ref="A4:H4"/>
    <mergeCell ref="A5:H5"/>
    <mergeCell ref="D10:E10"/>
  </mergeCells>
  <pageMargins left="0.75" right="0.75" top="1" bottom="1" header="0.5" footer="0.5"/>
  <pageSetup scale="70" orientation="landscape" r:id="rId1"/>
  <headerFooter alignWithMargins="0"/>
  <rowBreaks count="3" manualBreakCount="3">
    <brk id="36" max="16383" man="1"/>
    <brk id="82" max="16383" man="1"/>
    <brk id="109" max="16383" man="1"/>
  </rowBreaks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8">
    <tabColor rgb="FF92D050"/>
    <pageSetUpPr fitToPage="1"/>
  </sheetPr>
  <dimension ref="A1:M593"/>
  <sheetViews>
    <sheetView topLeftCell="A4" zoomScaleNormal="100" zoomScaleSheetLayoutView="120" workbookViewId="0">
      <pane xSplit="1" ySplit="10" topLeftCell="B14" activePane="bottomRight" state="frozen"/>
      <selection activeCell="A4" sqref="A4"/>
      <selection pane="topRight" activeCell="B4" sqref="B4"/>
      <selection pane="bottomLeft" activeCell="A14" sqref="A14"/>
      <selection pane="bottomRight" activeCell="C16" sqref="C16"/>
    </sheetView>
  </sheetViews>
  <sheetFormatPr defaultRowHeight="12.5" x14ac:dyDescent="0.25"/>
  <cols>
    <col min="1" max="1" width="37.453125" customWidth="1"/>
    <col min="2" max="2" width="13.54296875" customWidth="1"/>
    <col min="3" max="3" width="15.1796875" customWidth="1"/>
    <col min="4" max="4" width="18.1796875" customWidth="1"/>
    <col min="5" max="5" width="13.54296875" customWidth="1"/>
    <col min="6" max="6" width="14.7265625" customWidth="1"/>
    <col min="7" max="7" width="10.81640625" bestFit="1" customWidth="1"/>
    <col min="8" max="8" width="12.81640625" bestFit="1" customWidth="1"/>
    <col min="9" max="9" width="3.54296875" customWidth="1"/>
    <col min="10" max="11" width="25.54296875" customWidth="1"/>
    <col min="12" max="12" width="18.453125" bestFit="1" customWidth="1"/>
    <col min="13" max="13" width="11.54296875" customWidth="1"/>
  </cols>
  <sheetData>
    <row r="1" spans="1:12" x14ac:dyDescent="0.25">
      <c r="A1" s="789" t="s">
        <v>214</v>
      </c>
      <c r="B1" s="789"/>
      <c r="C1" s="789"/>
      <c r="D1" s="789"/>
      <c r="E1" s="789"/>
      <c r="F1" s="789"/>
      <c r="G1" s="789"/>
      <c r="H1" s="789"/>
    </row>
    <row r="3" spans="1:12" x14ac:dyDescent="0.25">
      <c r="A3" s="790" t="s">
        <v>281</v>
      </c>
      <c r="B3" s="790"/>
      <c r="C3" s="790"/>
      <c r="D3" s="790"/>
      <c r="E3" s="790"/>
      <c r="F3" s="790"/>
      <c r="G3" s="790"/>
      <c r="H3" s="790"/>
    </row>
    <row r="4" spans="1:12" x14ac:dyDescent="0.25">
      <c r="A4" s="790" t="s">
        <v>331</v>
      </c>
      <c r="B4" s="790"/>
      <c r="C4" s="790"/>
      <c r="D4" s="790"/>
      <c r="E4" s="790"/>
      <c r="F4" s="790"/>
      <c r="G4" s="790"/>
      <c r="H4" s="790"/>
      <c r="L4" s="631"/>
    </row>
    <row r="5" spans="1:12" x14ac:dyDescent="0.25">
      <c r="A5" s="791" t="s">
        <v>570</v>
      </c>
      <c r="B5" s="791"/>
      <c r="C5" s="791"/>
      <c r="D5" s="791"/>
      <c r="E5" s="791"/>
      <c r="F5" s="791"/>
      <c r="G5" s="791"/>
      <c r="H5" s="791"/>
      <c r="L5" s="631"/>
    </row>
    <row r="6" spans="1:12" x14ac:dyDescent="0.25">
      <c r="L6" s="631"/>
    </row>
    <row r="7" spans="1:12" x14ac:dyDescent="0.25">
      <c r="D7" s="10"/>
      <c r="E7" s="10"/>
      <c r="F7" s="10"/>
      <c r="G7" s="10"/>
      <c r="H7" s="10"/>
      <c r="I7" s="10"/>
      <c r="J7" s="10"/>
      <c r="K7" s="625"/>
      <c r="L7" s="631"/>
    </row>
    <row r="8" spans="1:12" x14ac:dyDescent="0.25">
      <c r="G8" s="10" t="s">
        <v>283</v>
      </c>
      <c r="H8" s="10" t="s">
        <v>260</v>
      </c>
      <c r="I8" s="10"/>
      <c r="J8" s="10"/>
      <c r="K8" s="625"/>
    </row>
    <row r="9" spans="1:12" x14ac:dyDescent="0.25">
      <c r="G9" s="10" t="s">
        <v>284</v>
      </c>
      <c r="H9" s="10" t="s">
        <v>284</v>
      </c>
      <c r="I9" s="10"/>
      <c r="J9" s="627"/>
      <c r="K9" s="625"/>
    </row>
    <row r="10" spans="1:12" x14ac:dyDescent="0.25">
      <c r="D10" s="794" t="s">
        <v>285</v>
      </c>
      <c r="E10" s="794"/>
      <c r="F10" s="10" t="s">
        <v>286</v>
      </c>
      <c r="G10" s="10" t="s">
        <v>287</v>
      </c>
      <c r="H10" s="10" t="s">
        <v>287</v>
      </c>
      <c r="I10" s="10"/>
      <c r="J10" s="627"/>
      <c r="K10" s="625"/>
    </row>
    <row r="11" spans="1:12" x14ac:dyDescent="0.25">
      <c r="B11" s="10" t="s">
        <v>288</v>
      </c>
      <c r="C11" s="10" t="s">
        <v>260</v>
      </c>
      <c r="D11" s="10" t="s">
        <v>288</v>
      </c>
      <c r="E11" s="10" t="s">
        <v>260</v>
      </c>
      <c r="F11" s="10" t="s">
        <v>289</v>
      </c>
      <c r="G11" s="10" t="s">
        <v>289</v>
      </c>
      <c r="H11" s="10" t="s">
        <v>289</v>
      </c>
      <c r="I11" s="161"/>
      <c r="J11" s="627"/>
      <c r="K11" s="626"/>
    </row>
    <row r="12" spans="1:12" x14ac:dyDescent="0.25">
      <c r="B12" s="161" t="s">
        <v>332</v>
      </c>
      <c r="C12" s="161" t="str">
        <f>B12</f>
        <v>(Nov - Apr)</v>
      </c>
      <c r="D12" s="161" t="str">
        <f>B12</f>
        <v>(Nov - Apr)</v>
      </c>
      <c r="E12" s="161" t="str">
        <f>B12</f>
        <v>(Nov - Apr)</v>
      </c>
      <c r="F12" s="161" t="str">
        <f>B12</f>
        <v>(Nov - Apr)</v>
      </c>
      <c r="G12" s="161" t="str">
        <f>B12</f>
        <v>(Nov - Apr)</v>
      </c>
      <c r="H12" s="161" t="str">
        <f>B12</f>
        <v>(Nov - Apr)</v>
      </c>
      <c r="J12" s="627"/>
    </row>
    <row r="13" spans="1:12" x14ac:dyDescent="0.25">
      <c r="B13" s="161"/>
      <c r="C13" s="161"/>
      <c r="D13" s="161"/>
      <c r="E13" s="161"/>
      <c r="F13" s="161"/>
      <c r="G13" s="161"/>
      <c r="H13" s="161"/>
      <c r="J13" s="627"/>
    </row>
    <row r="14" spans="1:12" x14ac:dyDescent="0.25">
      <c r="J14" s="627"/>
      <c r="L14" s="677"/>
    </row>
    <row r="15" spans="1:12" x14ac:dyDescent="0.25">
      <c r="A15" s="162" t="s">
        <v>293</v>
      </c>
      <c r="J15" s="633"/>
      <c r="K15" s="191"/>
      <c r="L15" s="191"/>
    </row>
    <row r="16" spans="1:12" x14ac:dyDescent="0.25">
      <c r="A16" s="162" t="s">
        <v>294</v>
      </c>
      <c r="B16" s="163">
        <f>+'Capacity Estimates'!Y53</f>
        <v>10.24</v>
      </c>
      <c r="C16" s="164">
        <f>+'Capacity Estimates'!Y72</f>
        <v>7.89</v>
      </c>
      <c r="D16" s="165"/>
      <c r="E16" s="165"/>
      <c r="F16" s="165"/>
      <c r="G16" s="59"/>
      <c r="H16" s="165"/>
      <c r="I16" s="165"/>
      <c r="J16" s="165"/>
      <c r="K16" s="165"/>
      <c r="L16" s="165"/>
    </row>
    <row r="17" spans="1:13" ht="13" x14ac:dyDescent="0.3">
      <c r="E17" s="195"/>
      <c r="G17" s="152"/>
      <c r="J17" s="188" t="s">
        <v>295</v>
      </c>
      <c r="K17" s="793"/>
      <c r="L17" s="629"/>
    </row>
    <row r="18" spans="1:13" ht="12.75" customHeight="1" x14ac:dyDescent="0.3">
      <c r="A18" s="167" t="s">
        <v>296</v>
      </c>
      <c r="D18" s="194"/>
      <c r="E18" s="195"/>
      <c r="G18" s="636"/>
      <c r="K18" s="793"/>
      <c r="L18" s="630"/>
      <c r="M18" s="629"/>
    </row>
    <row r="19" spans="1:13" x14ac:dyDescent="0.25">
      <c r="D19" s="608"/>
      <c r="L19" t="s">
        <v>483</v>
      </c>
      <c r="M19" t="s">
        <v>484</v>
      </c>
    </row>
    <row r="20" spans="1:13" x14ac:dyDescent="0.25">
      <c r="A20" s="168" t="s">
        <v>297</v>
      </c>
      <c r="B20" s="8">
        <f>+'May - Oct Capacity MSC by Class'!B20</f>
        <v>5043620</v>
      </c>
      <c r="C20" s="8">
        <f t="shared" ref="C20:C35" si="0">B20</f>
        <v>5043620</v>
      </c>
      <c r="D20" s="416">
        <f>+B20/$B$38*$D$39</f>
        <v>51646668.800000004</v>
      </c>
      <c r="E20" s="416">
        <f>C20/$C$38*$E$39</f>
        <v>39794161.800000004</v>
      </c>
      <c r="F20" s="476">
        <f>SUM('Adj Sales Forecast'!H6:M6)</f>
        <v>6052000000</v>
      </c>
      <c r="G20" s="463">
        <f>ROUND(D20/F20,4)</f>
        <v>8.5000000000000006E-3</v>
      </c>
      <c r="H20" s="170">
        <f>ROUND(E20/F20,5)</f>
        <v>6.5799999999999999E-3</v>
      </c>
      <c r="I20" s="170"/>
      <c r="J20" s="99" t="s">
        <v>333</v>
      </c>
      <c r="K20" s="568">
        <f>ROUND(($D$20)/$F$20,5)</f>
        <v>8.5299999999999994E-3</v>
      </c>
      <c r="L20" s="634">
        <f>+K20-G20</f>
        <v>2.9999999999998778E-5</v>
      </c>
      <c r="M20" s="628">
        <f>+L20/G20</f>
        <v>3.5294117647057385E-3</v>
      </c>
    </row>
    <row r="21" spans="1:13" x14ac:dyDescent="0.25">
      <c r="A21" s="100" t="s">
        <v>1</v>
      </c>
      <c r="B21" s="8">
        <f>+'May - Oct Capacity MSC by Class'!B21</f>
        <v>594494</v>
      </c>
      <c r="C21" s="99">
        <f t="shared" si="0"/>
        <v>594494</v>
      </c>
      <c r="D21" s="169">
        <f t="shared" ref="D21:D35" si="1">+B21/$B$38*$D$39</f>
        <v>6087618.5600000005</v>
      </c>
      <c r="E21" s="416">
        <f>C21/$C$38*$E$39</f>
        <v>4690557.66</v>
      </c>
      <c r="F21" s="99">
        <f>SUM('Adj Sales Forecast'!H13:M13)</f>
        <v>1238000000</v>
      </c>
      <c r="G21" s="172">
        <f>ROUND(D21/F21,4)</f>
        <v>4.8999999999999998E-3</v>
      </c>
      <c r="H21" s="172">
        <f>ROUND(E21/F21,4)</f>
        <v>3.8E-3</v>
      </c>
      <c r="I21" s="172"/>
      <c r="J21" s="99" t="s">
        <v>299</v>
      </c>
      <c r="K21" s="99"/>
      <c r="L21" s="99"/>
    </row>
    <row r="22" spans="1:13" x14ac:dyDescent="0.25">
      <c r="A22" s="100" t="s">
        <v>300</v>
      </c>
      <c r="B22" s="8">
        <f>+'May - Oct Capacity MSC by Class'!B22</f>
        <v>3849</v>
      </c>
      <c r="C22" s="99">
        <f t="shared" si="0"/>
        <v>3849</v>
      </c>
      <c r="D22" s="169"/>
      <c r="E22" s="169"/>
      <c r="F22" s="99">
        <f>'Adj Demand Forecast '!H6+'Adj Demand Forecast '!I6+'Adj Demand Forecast '!J6+'Adj Demand Forecast '!K6+'Adj Demand Forecast '!L6+'Adj Demand Forecast '!M6</f>
        <v>1057</v>
      </c>
      <c r="G22" s="173">
        <f>ROUND(D22/F22,2)</f>
        <v>0</v>
      </c>
      <c r="H22" s="173">
        <f>ROUND(E22/F22,2)</f>
        <v>0</v>
      </c>
      <c r="I22" s="173"/>
      <c r="J22" s="99" t="s">
        <v>301</v>
      </c>
      <c r="K22" s="635"/>
      <c r="L22" s="99"/>
    </row>
    <row r="23" spans="1:13" x14ac:dyDescent="0.25">
      <c r="A23" s="100" t="s">
        <v>4</v>
      </c>
      <c r="B23" s="8">
        <f>+'May - Oct Capacity MSC by Class'!B23</f>
        <v>11257</v>
      </c>
      <c r="C23" s="99">
        <f t="shared" si="0"/>
        <v>11257</v>
      </c>
      <c r="D23" s="169"/>
      <c r="E23" s="169"/>
      <c r="F23" s="99">
        <f>'Forecasted TOD kW by Period'!M6+'Forecasted TOD kW by Period'!N6+'Forecasted TOD kW by Period'!C6+'Forecasted TOD kW by Period'!D6+'Forecasted TOD kW by Period'!E6+'Forecasted TOD kW by Period'!F6</f>
        <v>114415</v>
      </c>
      <c r="G23" s="173">
        <f>ROUND(D23/F23,2)</f>
        <v>0</v>
      </c>
      <c r="H23" s="173">
        <f>ROUND(E23/F23,2)</f>
        <v>0</v>
      </c>
      <c r="I23" s="173"/>
      <c r="J23" s="99" t="s">
        <v>4</v>
      </c>
      <c r="K23" s="170"/>
      <c r="L23" s="99"/>
    </row>
    <row r="24" spans="1:13" x14ac:dyDescent="0.25">
      <c r="A24" s="168">
        <v>5</v>
      </c>
      <c r="B24" s="8">
        <f>+'May - Oct Capacity MSC by Class'!B24</f>
        <v>15106</v>
      </c>
      <c r="C24" s="99">
        <f t="shared" si="0"/>
        <v>15106</v>
      </c>
      <c r="D24" s="169">
        <f>+B24/$B$38*$D$39</f>
        <v>154685.44</v>
      </c>
      <c r="E24" s="169">
        <f t="shared" ref="E24:E35" si="2">C24/$C$38*$E$39</f>
        <v>119186.34</v>
      </c>
      <c r="F24" s="99">
        <f>F22+F23</f>
        <v>115472</v>
      </c>
      <c r="G24" s="173">
        <f>ROUND(D24/F24,2)</f>
        <v>1.34</v>
      </c>
      <c r="H24" s="173">
        <f>ROUND(E24/F24,2)</f>
        <v>1.03</v>
      </c>
      <c r="I24" s="173"/>
      <c r="J24" s="189" t="s">
        <v>2</v>
      </c>
      <c r="K24" s="640"/>
      <c r="L24" s="99"/>
    </row>
    <row r="25" spans="1:13" x14ac:dyDescent="0.25">
      <c r="A25" s="100" t="s">
        <v>5</v>
      </c>
      <c r="B25" s="8">
        <f>+'May - Oct Capacity MSC by Class'!B25</f>
        <v>36</v>
      </c>
      <c r="C25" s="99">
        <f t="shared" si="0"/>
        <v>36</v>
      </c>
      <c r="D25" s="169">
        <f>+B25/$B$38*$D$39</f>
        <v>368.64</v>
      </c>
      <c r="E25" s="169">
        <f t="shared" si="2"/>
        <v>284.03999999999996</v>
      </c>
      <c r="F25" s="99">
        <f>'Adj Sales Forecast'!H18+'Adj Sales Forecast'!I18+'Adj Sales Forecast'!J18+'Adj Sales Forecast'!K18+'Adj Sales Forecast'!L18+'Adj Sales Forecast'!M18</f>
        <v>4168158</v>
      </c>
      <c r="G25" s="172">
        <f>ROUND(D25/F25,4)</f>
        <v>1E-4</v>
      </c>
      <c r="H25" s="172">
        <f>ROUND(E25/F25,4)</f>
        <v>1E-4</v>
      </c>
      <c r="I25" s="172"/>
      <c r="J25" s="174" t="s">
        <v>5</v>
      </c>
      <c r="K25" s="639"/>
      <c r="L25" s="99"/>
    </row>
    <row r="26" spans="1:13" hidden="1" x14ac:dyDescent="0.25">
      <c r="A26" s="100" t="s">
        <v>6</v>
      </c>
      <c r="B26" s="8">
        <f>+'May - Oct Capacity MSC by Class'!B26</f>
        <v>0</v>
      </c>
      <c r="C26" s="99">
        <f t="shared" si="0"/>
        <v>0</v>
      </c>
      <c r="D26" s="169">
        <f t="shared" si="1"/>
        <v>0</v>
      </c>
      <c r="E26" s="169">
        <f t="shared" si="2"/>
        <v>0</v>
      </c>
      <c r="F26" s="99">
        <f>'Adj Sales Forecast'!H19+'Adj Sales Forecast'!I19+'Adj Sales Forecast'!J19+'Adj Sales Forecast'!K19+'Adj Sales Forecast'!L19+'Adj Sales Forecast'!M19</f>
        <v>0</v>
      </c>
      <c r="G26" s="170" t="e">
        <f>ROUND(D26/F26,5)</f>
        <v>#DIV/0!</v>
      </c>
      <c r="H26" s="170" t="e">
        <f>ROUND(E26/F26,5)</f>
        <v>#DIV/0!</v>
      </c>
      <c r="I26" s="170"/>
      <c r="J26" s="99" t="s">
        <v>302</v>
      </c>
      <c r="K26" s="170"/>
      <c r="L26" s="99"/>
    </row>
    <row r="27" spans="1:13" x14ac:dyDescent="0.25">
      <c r="A27" s="100" t="s">
        <v>303</v>
      </c>
      <c r="B27" s="8">
        <f>+'May - Oct Capacity MSC by Class'!B27</f>
        <v>384325</v>
      </c>
      <c r="C27" s="99">
        <f t="shared" si="0"/>
        <v>384325</v>
      </c>
      <c r="D27" s="169">
        <f t="shared" si="1"/>
        <v>3935487.9999999995</v>
      </c>
      <c r="E27" s="169">
        <f t="shared" si="2"/>
        <v>3032324.25</v>
      </c>
      <c r="F27" s="99">
        <f>'Adj Demand Forecast '!H8+'Adj Demand Forecast '!I8+'Adj Demand Forecast '!J8+'Adj Demand Forecast '!K8+'Adj Demand Forecast '!L8+'Adj Demand Forecast '!M8+'Adj Demand Forecast '!H10+'Adj Demand Forecast '!I10+'Adj Demand Forecast '!J10+'Adj Demand Forecast '!K10+'Adj Demand Forecast '!L10+'Adj Demand Forecast '!M10</f>
        <v>1405000</v>
      </c>
      <c r="G27" s="173">
        <f>ROUND(D27/F27,2)</f>
        <v>2.8</v>
      </c>
      <c r="H27" s="173">
        <f>ROUND(E27/F27,2)</f>
        <v>2.16</v>
      </c>
      <c r="I27" s="173"/>
      <c r="J27" s="99" t="s">
        <v>304</v>
      </c>
      <c r="K27" s="170"/>
      <c r="L27" s="99"/>
    </row>
    <row r="28" spans="1:13" ht="15.75" customHeight="1" x14ac:dyDescent="0.25">
      <c r="A28" s="100" t="s">
        <v>9</v>
      </c>
      <c r="B28" s="8">
        <f>+'May - Oct Capacity MSC by Class'!B28</f>
        <v>34615</v>
      </c>
      <c r="C28" s="99">
        <f t="shared" si="0"/>
        <v>34615</v>
      </c>
      <c r="D28" s="169">
        <f t="shared" si="1"/>
        <v>354457.59999999998</v>
      </c>
      <c r="E28" s="169">
        <f t="shared" si="2"/>
        <v>273112.34999999998</v>
      </c>
      <c r="F28" s="99">
        <f>'Forecasted TOD kW by Period'!M10+'Forecasted TOD kW by Period'!N10+'Forecasted TOD kW by Period'!C10+'Forecasted TOD kW by Period'!D10+'Forecasted TOD kW by Period'!E10+'Forecasted TOD kW by Period'!F10</f>
        <v>209903</v>
      </c>
      <c r="G28" s="173">
        <f>ROUND(D28/F28,2)</f>
        <v>1.69</v>
      </c>
      <c r="H28" s="173">
        <f>ROUND(E28/F28,2)</f>
        <v>1.3</v>
      </c>
      <c r="I28" s="173"/>
      <c r="J28" s="99" t="s">
        <v>9</v>
      </c>
      <c r="K28" s="170"/>
      <c r="L28" s="99"/>
    </row>
    <row r="29" spans="1:13" s="27" customFormat="1" x14ac:dyDescent="0.25">
      <c r="A29" s="549" t="s">
        <v>305</v>
      </c>
      <c r="B29" s="476">
        <f>+'May - Oct Capacity MSC by Class'!B29</f>
        <v>3010291</v>
      </c>
      <c r="C29" s="465">
        <f t="shared" si="0"/>
        <v>3010291</v>
      </c>
      <c r="D29" s="416">
        <f>+B29/$B$38*$D$39</f>
        <v>30825379.84</v>
      </c>
      <c r="E29" s="416">
        <f t="shared" si="2"/>
        <v>23751195.990000002</v>
      </c>
      <c r="F29" s="465">
        <f>'Adj Demand Forecast '!H12+'Adj Demand Forecast '!I12+'Adj Demand Forecast '!J12+'Adj Demand Forecast '!K12+'Adj Demand Forecast '!L12+'Adj Demand Forecast '!M12+'Adj Demand Forecast '!H16+'Adj Demand Forecast '!I16+'Adj Demand Forecast '!J16+'Adj Demand Forecast '!K16+'Adj Demand Forecast '!L16+'Adj Demand Forecast '!M16</f>
        <v>20677000</v>
      </c>
      <c r="G29" s="464">
        <f>ROUND(D29/F29,2)</f>
        <v>1.49</v>
      </c>
      <c r="H29" s="464">
        <f>ROUND(E29/F29,2)</f>
        <v>1.1499999999999999</v>
      </c>
      <c r="I29" s="464"/>
      <c r="J29" s="99" t="s">
        <v>306</v>
      </c>
      <c r="K29" s="99"/>
      <c r="L29" s="99"/>
      <c r="M29" s="99"/>
    </row>
    <row r="30" spans="1:13" s="27" customFormat="1" hidden="1" x14ac:dyDescent="0.25">
      <c r="A30" s="549" t="s">
        <v>307</v>
      </c>
      <c r="B30" s="476">
        <f>+'May - Oct Capacity MSC by Class'!B30</f>
        <v>0</v>
      </c>
      <c r="C30" s="465"/>
      <c r="D30" s="416">
        <f t="shared" si="1"/>
        <v>0</v>
      </c>
      <c r="E30" s="416">
        <f t="shared" si="2"/>
        <v>0</v>
      </c>
      <c r="F30" s="465"/>
      <c r="G30" s="653"/>
      <c r="H30" s="653"/>
      <c r="I30" s="464"/>
      <c r="J30" s="99" t="s">
        <v>56</v>
      </c>
      <c r="K30" s="99"/>
      <c r="L30" s="99"/>
      <c r="M30" s="99"/>
    </row>
    <row r="31" spans="1:13" x14ac:dyDescent="0.25">
      <c r="A31" s="549" t="s">
        <v>12</v>
      </c>
      <c r="B31" s="476">
        <f>+'May - Oct Capacity MSC by Class'!B31</f>
        <v>1214716</v>
      </c>
      <c r="C31" s="465">
        <f>B31</f>
        <v>1214716</v>
      </c>
      <c r="D31" s="416">
        <f t="shared" si="1"/>
        <v>12438691.84</v>
      </c>
      <c r="E31" s="416">
        <f t="shared" si="2"/>
        <v>9584109.2400000002</v>
      </c>
      <c r="F31" s="465">
        <f>'Forecasted TOD kW by Period'!M14+'Forecasted TOD kW by Period'!N14+'Forecasted TOD kW by Period'!C14+'Forecasted TOD kW by Period'!D14+'Forecasted TOD kW by Period'!E14+'Forecasted TOD kW by Period'!F14</f>
        <v>7392186</v>
      </c>
      <c r="G31" s="464">
        <f>ROUND(D31/F31,2)</f>
        <v>1.68</v>
      </c>
      <c r="H31" s="464">
        <f>ROUND(E31/F31,2)</f>
        <v>1.3</v>
      </c>
      <c r="I31" s="464"/>
      <c r="J31" s="99" t="s">
        <v>12</v>
      </c>
      <c r="K31" s="660"/>
      <c r="L31" s="99"/>
      <c r="M31" s="99"/>
    </row>
    <row r="32" spans="1:13" x14ac:dyDescent="0.25">
      <c r="A32" s="549" t="s">
        <v>308</v>
      </c>
      <c r="B32" s="476">
        <f>+'May - Oct Capacity MSC by Class'!B32</f>
        <v>170</v>
      </c>
      <c r="C32" s="465">
        <f t="shared" si="0"/>
        <v>170</v>
      </c>
      <c r="D32" s="416">
        <f t="shared" si="1"/>
        <v>1740.8000000000002</v>
      </c>
      <c r="E32" s="416">
        <f t="shared" si="2"/>
        <v>1341.3000000000002</v>
      </c>
      <c r="F32" s="465">
        <f>'Adj Sales Forecast'!H31+'Adj Sales Forecast'!I31+'Adj Sales Forecast'!J31+'Adj Sales Forecast'!K31+'Adj Sales Forecast'!L31+'Adj Sales Forecast'!M31</f>
        <v>841915</v>
      </c>
      <c r="G32" s="463">
        <f>ROUND(D32/F32,4)</f>
        <v>2.0999999999999999E-3</v>
      </c>
      <c r="H32" s="463">
        <f>ROUND(E32/F32,4)</f>
        <v>1.6000000000000001E-3</v>
      </c>
      <c r="I32" s="463"/>
      <c r="J32" s="99" t="s">
        <v>309</v>
      </c>
      <c r="K32" s="99"/>
      <c r="L32" s="99"/>
    </row>
    <row r="33" spans="1:13" x14ac:dyDescent="0.25">
      <c r="A33" s="549" t="s">
        <v>310</v>
      </c>
      <c r="B33" s="476">
        <f>+'May - Oct Capacity MSC by Class'!B33</f>
        <v>23021</v>
      </c>
      <c r="C33" s="465">
        <f t="shared" si="0"/>
        <v>23021</v>
      </c>
      <c r="D33" s="416">
        <f t="shared" si="1"/>
        <v>235735.03999999998</v>
      </c>
      <c r="E33" s="416">
        <f t="shared" si="2"/>
        <v>181635.69</v>
      </c>
      <c r="F33" s="465">
        <f>'Adj Demand Forecast '!H20+'Adj Demand Forecast '!I20+'Adj Demand Forecast '!J20+'Adj Demand Forecast '!K20+'Adj Demand Forecast '!L20+'Adj Demand Forecast '!M20</f>
        <v>246000</v>
      </c>
      <c r="G33" s="464">
        <f>ROUND(D33/F33,2)</f>
        <v>0.96</v>
      </c>
      <c r="H33" s="464">
        <f>ROUND(E33/F33,2)</f>
        <v>0.74</v>
      </c>
      <c r="I33" s="464"/>
      <c r="J33" s="99" t="s">
        <v>311</v>
      </c>
      <c r="K33" s="99"/>
      <c r="L33" s="99"/>
    </row>
    <row r="34" spans="1:13" x14ac:dyDescent="0.25">
      <c r="A34" s="549" t="s">
        <v>16</v>
      </c>
      <c r="B34" s="476">
        <f>+'May - Oct Capacity MSC by Class'!B34</f>
        <v>29085</v>
      </c>
      <c r="C34" s="465">
        <f t="shared" si="0"/>
        <v>29085</v>
      </c>
      <c r="D34" s="416">
        <f t="shared" si="1"/>
        <v>297830.40000000002</v>
      </c>
      <c r="E34" s="416">
        <f t="shared" si="2"/>
        <v>229480.65000000002</v>
      </c>
      <c r="F34" s="465">
        <f>'Forecasted TOD kW by Period'!M18+'Forecasted TOD kW by Period'!N18+'Forecasted TOD kW by Period'!C18+'Forecasted TOD kW by Period'!D18+'Forecasted TOD kW by Period'!E18+'Forecasted TOD kW by Period'!F18</f>
        <v>165414</v>
      </c>
      <c r="G34" s="464">
        <f>ROUND(D34/F34,2)</f>
        <v>1.8</v>
      </c>
      <c r="H34" s="565">
        <f>ROUND(E34/F34,2)</f>
        <v>1.39</v>
      </c>
      <c r="I34" s="464"/>
      <c r="J34" s="99" t="s">
        <v>16</v>
      </c>
      <c r="K34" s="99"/>
      <c r="L34" s="99"/>
    </row>
    <row r="35" spans="1:13" ht="13.5" x14ac:dyDescent="0.35">
      <c r="A35" s="549" t="s">
        <v>17</v>
      </c>
      <c r="B35" s="476">
        <f>+'May - Oct Capacity MSC by Class'!B35</f>
        <v>161</v>
      </c>
      <c r="C35" s="654">
        <f t="shared" si="0"/>
        <v>161</v>
      </c>
      <c r="D35" s="655">
        <f t="shared" si="1"/>
        <v>1648.6399999999999</v>
      </c>
      <c r="E35" s="655">
        <f t="shared" si="2"/>
        <v>1270.29</v>
      </c>
      <c r="F35" s="465">
        <f>'Forecasted TOD kW by Period'!M22+'Forecasted TOD kW by Period'!N22+'Forecasted TOD kW by Period'!C22+'Forecasted TOD kW by Period'!D22+'Forecasted TOD kW by Period'!E22+'Forecasted TOD kW by Period'!F22</f>
        <v>84354</v>
      </c>
      <c r="G35" s="464">
        <f>ROUND(D35/F35,2)</f>
        <v>0.02</v>
      </c>
      <c r="H35" s="464">
        <f>E35/F35</f>
        <v>1.5059036915854612E-2</v>
      </c>
      <c r="I35" s="464"/>
      <c r="J35" s="99" t="s">
        <v>17</v>
      </c>
      <c r="K35" s="99"/>
      <c r="L35" s="656" t="s">
        <v>568</v>
      </c>
    </row>
    <row r="36" spans="1:13" x14ac:dyDescent="0.25">
      <c r="A36" s="100" t="s">
        <v>162</v>
      </c>
      <c r="B36" s="99">
        <f>SUM(B20:B35)-SUM(B22:B23)</f>
        <v>10349640</v>
      </c>
      <c r="C36" s="99">
        <f>SUM(C20:C35)-SUM(C22:C23)</f>
        <v>10349640</v>
      </c>
      <c r="D36" s="99">
        <f>SUM(D20:D35)-SUM(D22:D23)</f>
        <v>105980313.60000002</v>
      </c>
      <c r="E36" s="99">
        <f>SUM(E20:E35)-SUM(E22:E23)</f>
        <v>81658659.600000009</v>
      </c>
      <c r="F36" s="99"/>
      <c r="G36" s="99"/>
      <c r="H36" s="99"/>
      <c r="I36" s="99"/>
      <c r="J36" s="99"/>
      <c r="K36" s="99"/>
      <c r="L36" s="656" t="s">
        <v>567</v>
      </c>
    </row>
    <row r="37" spans="1:13" x14ac:dyDescent="0.25">
      <c r="A37" s="549" t="s">
        <v>540</v>
      </c>
      <c r="B37" s="476">
        <f>+'May - Oct Capacity MSC by Class'!B37</f>
        <v>1708533.1910073189</v>
      </c>
      <c r="C37" s="476">
        <f>+'May - Oct Capacity MSC by Class'!C37</f>
        <v>1708533.1910073189</v>
      </c>
      <c r="D37" s="416">
        <f>+B37/$B$38*$D$39</f>
        <v>17495379.875914946</v>
      </c>
      <c r="E37" s="416">
        <f>C37/$C$38*$E$38</f>
        <v>13480326.877047747</v>
      </c>
      <c r="L37" s="657">
        <f>+E29/F29</f>
        <v>1.1486770803308024</v>
      </c>
      <c r="M37" t="s">
        <v>565</v>
      </c>
    </row>
    <row r="38" spans="1:13" x14ac:dyDescent="0.25">
      <c r="A38" s="550" t="s">
        <v>541</v>
      </c>
      <c r="B38" s="563">
        <f>+B36+B37</f>
        <v>12058173.19100732</v>
      </c>
      <c r="C38" s="563">
        <f>+C36+C37</f>
        <v>12058173.19100732</v>
      </c>
      <c r="D38" s="564">
        <f>+D36+D37</f>
        <v>123475693.47591497</v>
      </c>
      <c r="E38" s="564">
        <f>+C38*C16</f>
        <v>95138986.477047756</v>
      </c>
      <c r="F38" s="10"/>
      <c r="G38" s="10"/>
      <c r="H38" s="10"/>
      <c r="I38" s="10"/>
      <c r="J38" s="10"/>
      <c r="K38" s="625"/>
      <c r="L38" s="658"/>
    </row>
    <row r="39" spans="1:13" x14ac:dyDescent="0.25">
      <c r="A39" s="15"/>
      <c r="B39" s="10"/>
      <c r="C39" s="10"/>
      <c r="D39" s="476">
        <f>+B38*B16</f>
        <v>123475693.47591496</v>
      </c>
      <c r="E39" s="476">
        <f>+C38*C16</f>
        <v>95138986.477047756</v>
      </c>
      <c r="F39" s="7"/>
      <c r="G39" s="172"/>
      <c r="H39" s="172"/>
      <c r="I39" s="172"/>
      <c r="J39" s="68"/>
      <c r="K39" s="68"/>
      <c r="L39" s="657">
        <f>+E46/F46</f>
        <v>1.1715521213570204</v>
      </c>
      <c r="M39" t="s">
        <v>566</v>
      </c>
    </row>
    <row r="40" spans="1:13" x14ac:dyDescent="0.25">
      <c r="A40" s="15" t="s">
        <v>312</v>
      </c>
      <c r="B40" s="161"/>
      <c r="C40" s="161"/>
      <c r="D40" s="182">
        <f>D20</f>
        <v>51646668.800000004</v>
      </c>
      <c r="E40" s="182">
        <f>E20</f>
        <v>39794161.800000004</v>
      </c>
      <c r="F40" s="8">
        <f>ROUND(('Adj Sales Forecast'!H6*'TODS On Off %'!E11)+('Adj Sales Forecast'!I6*'TODS On Off %'!E11)+('TODS On Off %'!E11*'Adj Sales Forecast'!J6)+('TODS On Off %'!E11*'Adj Sales Forecast'!K6)+('TODS On Off %'!E11*'Adj Sales Forecast'!L6)+('TODS On Off %'!E11*'Adj Sales Forecast'!M6),0)</f>
        <v>2640487600</v>
      </c>
      <c r="G40" s="172">
        <f>ROUND(D40/F40,4)</f>
        <v>1.9599999999999999E-2</v>
      </c>
      <c r="H40" s="172">
        <f>ROUND(E40/F40,4)</f>
        <v>1.5100000000000001E-2</v>
      </c>
      <c r="I40" s="172"/>
      <c r="J40" s="68" t="s">
        <v>313</v>
      </c>
      <c r="K40" s="68"/>
      <c r="L40" s="659"/>
    </row>
    <row r="41" spans="1:13" x14ac:dyDescent="0.25">
      <c r="A41" s="15" t="s">
        <v>42</v>
      </c>
      <c r="B41" s="644"/>
      <c r="C41" s="644"/>
      <c r="D41" s="182">
        <f>+D42</f>
        <v>51646668.800000004</v>
      </c>
      <c r="E41" s="182">
        <f>+E42</f>
        <v>39794161.800000004</v>
      </c>
      <c r="F41" s="8">
        <f>+F42</f>
        <v>1470030800</v>
      </c>
      <c r="G41" s="172">
        <f>ROUND(D41/F41,4)</f>
        <v>3.5099999999999999E-2</v>
      </c>
      <c r="H41" s="172">
        <f>ROUND(E41/F41,4)</f>
        <v>2.7099999999999999E-2</v>
      </c>
      <c r="I41" s="172"/>
      <c r="J41" s="461" t="s">
        <v>479</v>
      </c>
      <c r="K41" s="68"/>
      <c r="L41" s="657">
        <f>+L39-L37</f>
        <v>2.2875041026217957E-2</v>
      </c>
    </row>
    <row r="42" spans="1:13" s="27" customFormat="1" x14ac:dyDescent="0.25">
      <c r="A42" s="15" t="s">
        <v>314</v>
      </c>
      <c r="B42" s="161"/>
      <c r="C42" s="161"/>
      <c r="D42" s="182">
        <f>D20</f>
        <v>51646668.800000004</v>
      </c>
      <c r="E42" s="182">
        <f>E20</f>
        <v>39794161.800000004</v>
      </c>
      <c r="F42" s="8">
        <f>ROUND(('Adj Sales Forecast'!$H$6*'TODS On Off %'!L9)+('Adj Sales Forecast'!$I$6*'TODS On Off %'!L9)+('Adj Sales Forecast'!$J$6*'TODS On Off %'!L9)+('Adj Sales Forecast'!$K$6*'TODS On Off %'!L9)+('Adj Sales Forecast'!$L$6*'TODS On Off %'!L9)+('Adj Sales Forecast'!$M$6*'TODS On Off %'!L9),0)</f>
        <v>1470030800</v>
      </c>
      <c r="G42" s="172">
        <f>ROUND(D42/F42,4)</f>
        <v>3.5099999999999999E-2</v>
      </c>
      <c r="H42" s="172">
        <f>ROUND(E42/F42,4)</f>
        <v>2.7099999999999999E-2</v>
      </c>
      <c r="I42" s="172"/>
      <c r="J42" s="68" t="s">
        <v>315</v>
      </c>
      <c r="K42" s="68"/>
      <c r="L42" s="161"/>
      <c r="M42" s="161"/>
    </row>
    <row r="43" spans="1:13" x14ac:dyDescent="0.25">
      <c r="A43" s="15" t="s">
        <v>316</v>
      </c>
      <c r="B43" s="161"/>
      <c r="C43" s="161"/>
      <c r="D43" s="184">
        <f>D21</f>
        <v>6087618.5600000005</v>
      </c>
      <c r="E43" s="184">
        <f>E21</f>
        <v>4690557.66</v>
      </c>
      <c r="F43" s="8">
        <f>ROUND(('TODS On Off %'!E27*'Adj Sales Forecast'!H13)+('Adj Sales Forecast'!I13*'TODS On Off %'!E27)+('TODS On Off %'!E27*'Adj Sales Forecast'!J13)+('TODS On Off %'!E27*'Adj Sales Forecast'!K13)+('TODS On Off %'!E27*'Adj Sales Forecast'!L13)+('TODS On Off %'!E27*'Adj Sales Forecast'!M13),0)</f>
        <v>586193000</v>
      </c>
      <c r="G43" s="172">
        <f>ROUND(D43/F43,4)</f>
        <v>1.04E-2</v>
      </c>
      <c r="H43" s="172">
        <f>ROUND(E43/F43,4)</f>
        <v>8.0000000000000002E-3</v>
      </c>
      <c r="I43" s="172"/>
      <c r="J43" s="68" t="s">
        <v>317</v>
      </c>
      <c r="K43" s="68"/>
      <c r="L43" s="161"/>
    </row>
    <row r="44" spans="1:13" hidden="1" x14ac:dyDescent="0.25">
      <c r="A44" s="68" t="s">
        <v>318</v>
      </c>
      <c r="D44" s="184">
        <f>D26</f>
        <v>0</v>
      </c>
      <c r="E44" s="184">
        <f>E26</f>
        <v>0</v>
      </c>
      <c r="F44" s="8" t="e">
        <f>ROUND(('TODS On Off %'!E43*'Adj Sales Forecast'!H19)+('Adj Sales Forecast'!I19*'TODS On Off %'!E43)+('TODS On Off %'!E43*'Adj Sales Forecast'!J19)+('TODS On Off %'!E43*'Adj Sales Forecast'!K19)+('TODS On Off %'!E43*'Adj Sales Forecast'!L19)+('TODS On Off %'!E43*'Adj Sales Forecast'!M19),0)</f>
        <v>#DIV/0!</v>
      </c>
      <c r="G44" s="172" t="e">
        <f>ROUND(D44/F44,4)</f>
        <v>#DIV/0!</v>
      </c>
      <c r="H44" s="172" t="e">
        <f>ROUND(E44/F44,4)</f>
        <v>#DIV/0!</v>
      </c>
      <c r="I44" s="172"/>
      <c r="J44" s="68" t="s">
        <v>319</v>
      </c>
      <c r="K44" s="68"/>
    </row>
    <row r="45" spans="1:13" x14ac:dyDescent="0.25">
      <c r="A45" s="68" t="s">
        <v>320</v>
      </c>
      <c r="B45" s="169"/>
      <c r="C45" s="169"/>
      <c r="D45" s="169">
        <f>D27</f>
        <v>3935487.9999999995</v>
      </c>
      <c r="E45" s="169">
        <f>E27</f>
        <v>3032324.25</v>
      </c>
      <c r="F45" s="8">
        <f>'Forecasted Conv kW by Period'!M23+'Forecasted Conv kW by Period'!N23+'Forecasted Conv kW by Period'!C23+'Forecasted Conv kW by Period'!D23+'Forecasted Conv kW by Period'!E23+'Forecasted Conv kW by Period'!F23+'Forecasted TOD kW by Period'!M26+'Forecasted TOD kW by Period'!N26+'Forecasted TOD kW by Period'!C26+'Forecasted TOD kW by Period'!D26+'Forecasted TOD kW by Period'!E26+'Forecasted TOD kW by Period'!F26</f>
        <v>1366732</v>
      </c>
      <c r="G45" s="173">
        <f>ROUND(D45/F45,2)</f>
        <v>2.88</v>
      </c>
      <c r="H45" s="173">
        <f>ROUND(E45/F45,2)</f>
        <v>2.2200000000000002</v>
      </c>
      <c r="I45" s="169"/>
      <c r="J45" s="68" t="s">
        <v>321</v>
      </c>
      <c r="K45" s="68"/>
      <c r="L45" s="169"/>
    </row>
    <row r="46" spans="1:13" s="27" customFormat="1" x14ac:dyDescent="0.25">
      <c r="A46" s="550" t="s">
        <v>322</v>
      </c>
      <c r="B46" s="416"/>
      <c r="C46" s="416"/>
      <c r="D46" s="416">
        <f>D29+D30</f>
        <v>30825379.84</v>
      </c>
      <c r="E46" s="416">
        <f>E29+E30</f>
        <v>23751195.990000002</v>
      </c>
      <c r="F46" s="476">
        <f>'Forecasted Conv kW by Period'!M26+'Forecasted Conv kW by Period'!N26+'Forecasted Conv kW by Period'!C26+'Forecasted Conv kW by Period'!D26+'Forecasted Conv kW by Period'!E26+'Forecasted Conv kW by Period'!F26+'Forecasted TOD kW by Period'!M30+'Forecasted TOD kW by Period'!N30+'Forecasted TOD kW by Period'!C30+'Forecasted TOD kW by Period'!D30+'Forecasted TOD kW by Period'!E30+'Forecasted TOD kW by Period'!F30</f>
        <v>20273273</v>
      </c>
      <c r="G46" s="464">
        <f>ROUND(D46/F46,2)</f>
        <v>1.52</v>
      </c>
      <c r="H46" s="565">
        <f>ROUND(E46/F46,2)</f>
        <v>1.17</v>
      </c>
      <c r="I46" s="169"/>
      <c r="J46" s="68" t="s">
        <v>323</v>
      </c>
      <c r="K46" s="68"/>
      <c r="L46" s="169"/>
      <c r="M46" s="169"/>
    </row>
    <row r="47" spans="1:13" x14ac:dyDescent="0.25">
      <c r="A47" s="15" t="s">
        <v>324</v>
      </c>
      <c r="B47" s="169"/>
      <c r="C47" s="169"/>
      <c r="D47" s="169">
        <f>D33</f>
        <v>235735.03999999998</v>
      </c>
      <c r="E47" s="169">
        <f>E33</f>
        <v>181635.69</v>
      </c>
      <c r="F47" s="8">
        <f>'Forecasted Conv kW by Period'!M29+'Forecasted Conv kW by Period'!N29+'Forecasted Conv kW by Period'!C29+'Forecasted Conv kW by Period'!D29+'Forecasted Conv kW by Period'!E29+'Forecasted Conv kW by Period'!F29</f>
        <v>239857</v>
      </c>
      <c r="G47" s="173">
        <f>ROUND(D47/F47,2)</f>
        <v>0.98</v>
      </c>
      <c r="H47" s="173">
        <f>ROUND(E47/F47,2)</f>
        <v>0.76</v>
      </c>
      <c r="I47" s="169"/>
      <c r="J47" s="68" t="s">
        <v>325</v>
      </c>
      <c r="K47" s="68"/>
      <c r="L47" s="169"/>
    </row>
    <row r="48" spans="1:13" x14ac:dyDescent="0.25">
      <c r="A48" s="15" t="s">
        <v>326</v>
      </c>
      <c r="B48" s="169"/>
      <c r="C48" s="169"/>
      <c r="D48" s="169">
        <f>D43</f>
        <v>6087618.5600000005</v>
      </c>
      <c r="E48" s="169">
        <f>E43</f>
        <v>4690557.66</v>
      </c>
      <c r="F48" s="8">
        <f>F43</f>
        <v>586193000</v>
      </c>
      <c r="G48" s="172">
        <f>G43</f>
        <v>1.04E-2</v>
      </c>
      <c r="H48" s="172">
        <f>H43</f>
        <v>8.0000000000000002E-3</v>
      </c>
      <c r="I48" s="169"/>
      <c r="J48" s="68" t="s">
        <v>317</v>
      </c>
      <c r="K48" s="68"/>
      <c r="L48" s="169"/>
    </row>
    <row r="49" spans="1:12" x14ac:dyDescent="0.25">
      <c r="A49" s="100"/>
      <c r="B49" s="169"/>
      <c r="C49" s="169"/>
      <c r="D49" s="169"/>
      <c r="E49" s="169"/>
      <c r="F49" s="169"/>
      <c r="G49" s="169"/>
      <c r="H49" s="169"/>
      <c r="I49" s="169"/>
      <c r="L49" s="169"/>
    </row>
    <row r="50" spans="1:12" x14ac:dyDescent="0.25">
      <c r="A50" s="100" t="s">
        <v>327</v>
      </c>
      <c r="B50" s="169"/>
      <c r="C50" s="169"/>
      <c r="D50" s="190">
        <v>0</v>
      </c>
      <c r="E50" s="190">
        <v>0</v>
      </c>
      <c r="F50" s="190">
        <v>0</v>
      </c>
      <c r="G50" s="190">
        <v>0</v>
      </c>
      <c r="H50" s="190">
        <v>0</v>
      </c>
      <c r="I50" s="182"/>
      <c r="L50" s="169"/>
    </row>
    <row r="51" spans="1:12" x14ac:dyDescent="0.25">
      <c r="A51" s="100"/>
      <c r="B51" s="169"/>
      <c r="C51" s="169"/>
      <c r="D51" s="169"/>
      <c r="E51" s="169"/>
      <c r="F51" s="169"/>
      <c r="G51" s="169"/>
      <c r="H51" s="169"/>
      <c r="I51" s="169"/>
      <c r="L51" s="169"/>
    </row>
    <row r="52" spans="1:12" x14ac:dyDescent="0.25">
      <c r="A52" s="100" t="s">
        <v>329</v>
      </c>
      <c r="B52" s="8">
        <f>'May - Oct Capacity MSC by Class'!B29</f>
        <v>3010291</v>
      </c>
      <c r="C52" s="99">
        <f>B52</f>
        <v>3010291</v>
      </c>
      <c r="D52" s="169">
        <f>ROUND(B52*$B$16,0)</f>
        <v>30825380</v>
      </c>
      <c r="E52" s="169">
        <f>ROUND($C$16*C52,0)</f>
        <v>23751196</v>
      </c>
      <c r="F52" s="8">
        <f>+'Adj Sales Forecast'!H25+'Adj Sales Forecast'!I25+'Adj Sales Forecast'!J25+'Adj Sales Forecast'!K25+'Adj Sales Forecast'!L25+'Adj Sales Forecast'!M25+'Adj Sales Forecast'!H29+'Adj Sales Forecast'!I29+'Adj Sales Forecast'!J29+'Adj Sales Forecast'!K29+'Adj Sales Forecast'!L29+'Adj Sales Forecast'!M29</f>
        <v>8212000000</v>
      </c>
      <c r="G52" s="170">
        <f>ROUND(D52/F52,5)</f>
        <v>3.7499999999999999E-3</v>
      </c>
      <c r="H52" s="170">
        <f>ROUND(E52/F52,5)</f>
        <v>2.8900000000000002E-3</v>
      </c>
      <c r="I52" s="8"/>
      <c r="J52" s="99" t="s">
        <v>330</v>
      </c>
      <c r="K52" s="99"/>
      <c r="L52" s="8"/>
    </row>
    <row r="53" spans="1:12" x14ac:dyDescent="0.25">
      <c r="A53" s="100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</row>
    <row r="54" spans="1:12" x14ac:dyDescent="0.25">
      <c r="A54" s="100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</row>
    <row r="55" spans="1:12" x14ac:dyDescent="0.25">
      <c r="A55" s="100"/>
      <c r="B55" s="8"/>
      <c r="C55" s="8"/>
      <c r="D55" s="8"/>
      <c r="E55" s="8"/>
      <c r="F55" s="8"/>
      <c r="G55" s="8"/>
      <c r="I55" s="8"/>
      <c r="J55" s="8"/>
      <c r="K55" s="8"/>
      <c r="L55" s="8"/>
    </row>
    <row r="56" spans="1:12" x14ac:dyDescent="0.25">
      <c r="A56" s="100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</row>
    <row r="57" spans="1:12" x14ac:dyDescent="0.25">
      <c r="A57" s="100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</row>
    <row r="58" spans="1:12" x14ac:dyDescent="0.25">
      <c r="A58" s="100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</row>
    <row r="59" spans="1:12" x14ac:dyDescent="0.25">
      <c r="A59" s="680" t="s">
        <v>571</v>
      </c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</row>
    <row r="60" spans="1:12" x14ac:dyDescent="0.25">
      <c r="A60" s="100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</row>
    <row r="61" spans="1:12" x14ac:dyDescent="0.25">
      <c r="A61" s="100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</row>
    <row r="62" spans="1:12" x14ac:dyDescent="0.25">
      <c r="A62" s="100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</row>
    <row r="63" spans="1:12" x14ac:dyDescent="0.25">
      <c r="A63" s="100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</row>
    <row r="64" spans="1:12" x14ac:dyDescent="0.25">
      <c r="A64" s="100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</row>
    <row r="65" spans="1:12" x14ac:dyDescent="0.25">
      <c r="A65" s="187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</row>
    <row r="66" spans="1:12" x14ac:dyDescent="0.25">
      <c r="A66" s="100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</row>
    <row r="67" spans="1:12" x14ac:dyDescent="0.25">
      <c r="A67" s="100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</row>
    <row r="68" spans="1:12" x14ac:dyDescent="0.25">
      <c r="A68" s="187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</row>
    <row r="69" spans="1:12" x14ac:dyDescent="0.25">
      <c r="A69" s="187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</row>
    <row r="70" spans="1:12" x14ac:dyDescent="0.25">
      <c r="A70" s="100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</row>
    <row r="71" spans="1:12" x14ac:dyDescent="0.25">
      <c r="A71" s="100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</row>
    <row r="72" spans="1:12" x14ac:dyDescent="0.25">
      <c r="A72" s="100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</row>
    <row r="73" spans="1:12" x14ac:dyDescent="0.25">
      <c r="B73" s="99"/>
      <c r="C73" s="99"/>
      <c r="D73" s="99"/>
      <c r="E73" s="99"/>
      <c r="F73" s="99"/>
      <c r="G73" s="99"/>
      <c r="H73" s="99"/>
      <c r="I73" s="99"/>
      <c r="J73" s="99"/>
      <c r="K73" s="99"/>
      <c r="L73" s="99"/>
    </row>
    <row r="74" spans="1:12" x14ac:dyDescent="0.25">
      <c r="B74" s="8"/>
      <c r="C74" s="8"/>
      <c r="D74" s="15"/>
      <c r="E74" s="15"/>
      <c r="F74" s="15"/>
      <c r="G74" s="15"/>
      <c r="H74" s="15"/>
      <c r="I74" s="15"/>
      <c r="J74" s="15"/>
      <c r="K74" s="15"/>
      <c r="L74" s="15"/>
    </row>
    <row r="75" spans="1:12" x14ac:dyDescent="0.25">
      <c r="B75" s="10"/>
      <c r="C75" s="10"/>
      <c r="D75" s="10"/>
      <c r="E75" s="10"/>
      <c r="F75" s="10"/>
      <c r="G75" s="10"/>
      <c r="H75" s="10"/>
      <c r="I75" s="10"/>
      <c r="J75" s="10"/>
      <c r="K75" s="625"/>
      <c r="L75" s="10"/>
    </row>
    <row r="76" spans="1:12" x14ac:dyDescent="0.25">
      <c r="B76" s="10"/>
      <c r="C76" s="10"/>
      <c r="D76" s="10"/>
      <c r="E76" s="10"/>
      <c r="F76" s="10"/>
      <c r="G76" s="10"/>
      <c r="H76" s="10"/>
      <c r="I76" s="10"/>
      <c r="J76" s="10"/>
      <c r="K76" s="625"/>
      <c r="L76" s="10"/>
    </row>
    <row r="77" spans="1:12" x14ac:dyDescent="0.25">
      <c r="A77" s="167"/>
      <c r="B77" s="161"/>
      <c r="C77" s="161"/>
      <c r="D77" s="161"/>
      <c r="E77" s="161"/>
      <c r="F77" s="161"/>
      <c r="G77" s="161"/>
      <c r="H77" s="161"/>
      <c r="I77" s="161"/>
      <c r="J77" s="161"/>
      <c r="K77" s="626"/>
      <c r="L77" s="161"/>
    </row>
    <row r="78" spans="1:12" x14ac:dyDescent="0.25"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</row>
    <row r="79" spans="1:12" x14ac:dyDescent="0.25">
      <c r="A79" s="168"/>
      <c r="B79" s="170"/>
      <c r="C79" s="170"/>
      <c r="D79" s="170"/>
      <c r="E79" s="170"/>
      <c r="F79" s="170"/>
      <c r="G79" s="170"/>
      <c r="H79" s="170"/>
      <c r="I79" s="170"/>
      <c r="J79" s="170"/>
      <c r="K79" s="170"/>
      <c r="L79" s="170"/>
    </row>
    <row r="80" spans="1:12" x14ac:dyDescent="0.25">
      <c r="A80" s="100"/>
      <c r="B80" s="170"/>
      <c r="C80" s="170"/>
      <c r="D80" s="170"/>
      <c r="E80" s="170"/>
      <c r="F80" s="170"/>
      <c r="G80" s="170"/>
      <c r="H80" s="170"/>
      <c r="I80" s="170"/>
      <c r="J80" s="170"/>
      <c r="K80" s="170"/>
      <c r="L80" s="170"/>
    </row>
    <row r="81" spans="1:12" x14ac:dyDescent="0.25">
      <c r="A81" s="100"/>
      <c r="B81" s="172"/>
      <c r="C81" s="172"/>
      <c r="D81" s="172"/>
      <c r="E81" s="172"/>
      <c r="F81" s="172"/>
      <c r="G81" s="172"/>
      <c r="H81" s="172"/>
      <c r="I81" s="172"/>
      <c r="J81" s="172"/>
      <c r="K81" s="172"/>
      <c r="L81" s="172"/>
    </row>
    <row r="82" spans="1:12" x14ac:dyDescent="0.25">
      <c r="A82" s="100"/>
      <c r="B82" s="172"/>
      <c r="C82" s="172"/>
      <c r="D82" s="172"/>
      <c r="E82" s="172"/>
      <c r="F82" s="172"/>
      <c r="G82" s="172"/>
      <c r="H82" s="172"/>
      <c r="I82" s="172"/>
      <c r="J82" s="172"/>
      <c r="K82" s="172"/>
      <c r="L82" s="172"/>
    </row>
    <row r="83" spans="1:12" x14ac:dyDescent="0.25">
      <c r="A83" s="100"/>
      <c r="B83" s="172"/>
      <c r="C83" s="172"/>
      <c r="D83" s="172"/>
      <c r="E83" s="172"/>
      <c r="F83" s="172"/>
      <c r="G83" s="172"/>
      <c r="H83" s="172"/>
      <c r="I83" s="172"/>
      <c r="J83" s="172"/>
      <c r="K83" s="172"/>
      <c r="L83" s="172"/>
    </row>
    <row r="84" spans="1:12" x14ac:dyDescent="0.25">
      <c r="A84" s="100"/>
      <c r="B84" s="172"/>
      <c r="C84" s="172"/>
      <c r="D84" s="172"/>
      <c r="E84" s="172"/>
      <c r="F84" s="172"/>
      <c r="G84" s="172"/>
      <c r="H84" s="172"/>
      <c r="I84" s="172"/>
      <c r="J84" s="172"/>
      <c r="K84" s="172"/>
      <c r="L84" s="172"/>
    </row>
    <row r="85" spans="1:12" x14ac:dyDescent="0.25">
      <c r="A85" s="100"/>
      <c r="B85" s="172"/>
      <c r="C85" s="172"/>
      <c r="D85" s="172"/>
      <c r="E85" s="172"/>
      <c r="F85" s="172"/>
      <c r="G85" s="172"/>
      <c r="H85" s="172"/>
      <c r="I85" s="172"/>
      <c r="J85" s="172"/>
      <c r="K85" s="172"/>
      <c r="L85" s="172"/>
    </row>
    <row r="86" spans="1:12" x14ac:dyDescent="0.25">
      <c r="A86" s="100"/>
      <c r="B86" s="172"/>
      <c r="C86" s="172"/>
      <c r="D86" s="172"/>
      <c r="E86" s="172"/>
      <c r="F86" s="172"/>
      <c r="G86" s="172"/>
      <c r="H86" s="172"/>
      <c r="I86" s="172"/>
      <c r="J86" s="172"/>
      <c r="K86" s="172"/>
      <c r="L86" s="172"/>
    </row>
    <row r="87" spans="1:12" x14ac:dyDescent="0.25">
      <c r="A87" s="100"/>
      <c r="B87" s="170"/>
      <c r="C87" s="170"/>
      <c r="D87" s="170"/>
      <c r="E87" s="170"/>
      <c r="F87" s="170"/>
      <c r="G87" s="170"/>
      <c r="H87" s="170"/>
      <c r="I87" s="170"/>
      <c r="J87" s="170"/>
      <c r="K87" s="170"/>
      <c r="L87" s="170"/>
    </row>
    <row r="88" spans="1:12" x14ac:dyDescent="0.25">
      <c r="A88" s="100"/>
      <c r="B88" s="172"/>
      <c r="C88" s="172"/>
      <c r="D88" s="172"/>
      <c r="E88" s="172"/>
      <c r="F88" s="172"/>
      <c r="G88" s="172"/>
      <c r="H88" s="172"/>
      <c r="I88" s="172"/>
      <c r="J88" s="172"/>
      <c r="K88" s="172"/>
      <c r="L88" s="172"/>
    </row>
    <row r="89" spans="1:12" x14ac:dyDescent="0.25">
      <c r="A89" s="100"/>
      <c r="B89" s="172"/>
      <c r="C89" s="172"/>
      <c r="D89" s="172"/>
      <c r="E89" s="172"/>
      <c r="F89" s="172"/>
      <c r="G89" s="172"/>
      <c r="H89" s="172"/>
      <c r="I89" s="172"/>
      <c r="J89" s="172"/>
      <c r="K89" s="172"/>
      <c r="L89" s="172"/>
    </row>
    <row r="90" spans="1:12" x14ac:dyDescent="0.25">
      <c r="A90" s="100"/>
      <c r="B90" s="172"/>
      <c r="C90" s="172"/>
      <c r="D90" s="172"/>
      <c r="E90" s="172"/>
      <c r="F90" s="172"/>
      <c r="G90" s="172"/>
      <c r="H90" s="172"/>
      <c r="I90" s="172"/>
      <c r="J90" s="172"/>
      <c r="K90" s="172"/>
      <c r="L90" s="172"/>
    </row>
    <row r="91" spans="1:12" x14ac:dyDescent="0.25">
      <c r="A91" s="100"/>
      <c r="B91" s="172"/>
      <c r="C91" s="172"/>
      <c r="D91" s="172"/>
      <c r="E91" s="172"/>
      <c r="F91" s="172"/>
      <c r="G91" s="172"/>
      <c r="H91" s="172"/>
      <c r="I91" s="172"/>
      <c r="J91" s="172"/>
      <c r="K91" s="172"/>
      <c r="L91" s="172"/>
    </row>
    <row r="92" spans="1:12" hidden="1" x14ac:dyDescent="0.25">
      <c r="A92" s="100"/>
      <c r="B92" s="172"/>
      <c r="C92" s="172"/>
      <c r="D92" s="172"/>
      <c r="E92" s="172"/>
      <c r="F92" s="172"/>
      <c r="G92" s="172"/>
      <c r="H92" s="172"/>
      <c r="I92" s="172"/>
      <c r="J92" s="172"/>
      <c r="K92" s="172"/>
      <c r="L92" s="172"/>
    </row>
    <row r="93" spans="1:12" x14ac:dyDescent="0.25">
      <c r="A93" s="100"/>
      <c r="B93" s="172"/>
      <c r="C93" s="172"/>
      <c r="D93" s="172"/>
      <c r="E93" s="172"/>
      <c r="F93" s="172"/>
      <c r="G93" s="172"/>
      <c r="H93" s="172"/>
      <c r="I93" s="172"/>
      <c r="J93" s="172"/>
      <c r="K93" s="172"/>
      <c r="L93" s="172"/>
    </row>
    <row r="94" spans="1:12" x14ac:dyDescent="0.25">
      <c r="A94" s="100"/>
      <c r="B94" s="172"/>
      <c r="C94" s="172"/>
      <c r="D94" s="172"/>
      <c r="E94" s="172"/>
      <c r="F94" s="172"/>
      <c r="G94" s="172"/>
      <c r="H94" s="172"/>
      <c r="I94" s="172"/>
      <c r="J94" s="172"/>
      <c r="K94" s="172"/>
      <c r="L94" s="172"/>
    </row>
    <row r="95" spans="1:12" x14ac:dyDescent="0.25">
      <c r="A95" s="100"/>
      <c r="B95" s="172"/>
      <c r="C95" s="172"/>
      <c r="D95" s="172"/>
      <c r="E95" s="172"/>
      <c r="F95" s="172"/>
      <c r="G95" s="172"/>
      <c r="H95" s="172"/>
      <c r="I95" s="172"/>
      <c r="J95" s="172"/>
      <c r="K95" s="172"/>
      <c r="L95" s="172"/>
    </row>
    <row r="96" spans="1:12" hidden="1" x14ac:dyDescent="0.25">
      <c r="A96" s="187"/>
      <c r="B96" s="170"/>
      <c r="C96" s="170"/>
      <c r="D96" s="170"/>
      <c r="E96" s="170"/>
      <c r="F96" s="170"/>
      <c r="G96" s="170"/>
      <c r="H96" s="170"/>
    </row>
    <row r="97" spans="1:8" hidden="1" x14ac:dyDescent="0.25">
      <c r="A97" s="100"/>
      <c r="B97" s="170"/>
      <c r="C97" s="170"/>
      <c r="D97" s="170"/>
      <c r="E97" s="170"/>
      <c r="F97" s="170"/>
      <c r="G97" s="170"/>
      <c r="H97" s="170"/>
    </row>
    <row r="98" spans="1:8" hidden="1" x14ac:dyDescent="0.25">
      <c r="A98" s="100"/>
      <c r="B98" s="170"/>
      <c r="C98" s="170"/>
      <c r="D98" s="170"/>
      <c r="E98" s="170"/>
      <c r="F98" s="170"/>
      <c r="G98" s="170"/>
      <c r="H98" s="170"/>
    </row>
    <row r="99" spans="1:8" hidden="1" x14ac:dyDescent="0.25">
      <c r="A99" s="187"/>
      <c r="B99" s="170"/>
      <c r="C99" s="170"/>
      <c r="D99" s="170"/>
      <c r="E99" s="170"/>
      <c r="F99" s="170"/>
      <c r="G99" s="170"/>
      <c r="H99" s="170"/>
    </row>
    <row r="100" spans="1:8" hidden="1" x14ac:dyDescent="0.25">
      <c r="A100" s="187"/>
      <c r="B100" s="170"/>
      <c r="C100" s="170"/>
      <c r="D100" s="170"/>
      <c r="E100" s="170"/>
      <c r="F100" s="170"/>
      <c r="G100" s="170"/>
      <c r="H100" s="170"/>
    </row>
    <row r="101" spans="1:8" hidden="1" x14ac:dyDescent="0.25">
      <c r="A101" s="100"/>
      <c r="B101" s="170"/>
      <c r="C101" s="170"/>
      <c r="D101" s="170"/>
      <c r="E101" s="170"/>
      <c r="F101" s="170"/>
      <c r="G101" s="170"/>
      <c r="H101" s="170"/>
    </row>
    <row r="102" spans="1:8" hidden="1" x14ac:dyDescent="0.25">
      <c r="A102" s="100"/>
      <c r="B102" s="170"/>
      <c r="C102" s="170"/>
      <c r="D102" s="170"/>
      <c r="E102" s="170"/>
      <c r="F102" s="170"/>
      <c r="G102" s="170"/>
      <c r="H102" s="170"/>
    </row>
    <row r="103" spans="1:8" hidden="1" x14ac:dyDescent="0.25">
      <c r="A103" s="100"/>
      <c r="B103" s="170"/>
      <c r="C103" s="170"/>
      <c r="D103" s="170"/>
      <c r="E103" s="170"/>
      <c r="F103" s="170"/>
      <c r="G103" s="170"/>
      <c r="H103" s="170"/>
    </row>
    <row r="104" spans="1:8" x14ac:dyDescent="0.25">
      <c r="B104" s="15"/>
      <c r="C104" s="15"/>
      <c r="D104" s="15"/>
      <c r="E104" s="15"/>
      <c r="F104" s="15"/>
    </row>
    <row r="105" spans="1:8" x14ac:dyDescent="0.25">
      <c r="B105" s="15"/>
      <c r="C105" s="15"/>
      <c r="D105" s="15"/>
      <c r="E105" s="15"/>
      <c r="F105" s="15"/>
    </row>
    <row r="106" spans="1:8" x14ac:dyDescent="0.25">
      <c r="B106" s="15"/>
      <c r="C106" s="15"/>
      <c r="D106" s="15"/>
      <c r="E106" s="15"/>
      <c r="F106" s="15"/>
    </row>
    <row r="107" spans="1:8" x14ac:dyDescent="0.25">
      <c r="B107" s="15"/>
      <c r="C107" s="15"/>
      <c r="D107" s="15"/>
      <c r="E107" s="15"/>
      <c r="F107" s="15"/>
    </row>
    <row r="108" spans="1:8" x14ac:dyDescent="0.25">
      <c r="B108" s="15"/>
      <c r="C108" s="15"/>
      <c r="D108" s="15"/>
      <c r="E108" s="15"/>
      <c r="F108" s="15"/>
    </row>
    <row r="109" spans="1:8" x14ac:dyDescent="0.25">
      <c r="B109" s="15"/>
      <c r="C109" s="15"/>
      <c r="D109" s="15"/>
      <c r="E109" s="15"/>
      <c r="F109" s="15"/>
    </row>
    <row r="110" spans="1:8" x14ac:dyDescent="0.25">
      <c r="B110" s="15"/>
      <c r="C110" s="15"/>
      <c r="D110" s="15"/>
      <c r="E110" s="15"/>
      <c r="F110" s="15"/>
    </row>
    <row r="111" spans="1:8" x14ac:dyDescent="0.25">
      <c r="B111" s="15"/>
      <c r="C111" s="15"/>
      <c r="D111" s="15"/>
      <c r="E111" s="15"/>
      <c r="F111" s="15"/>
    </row>
    <row r="112" spans="1:8" x14ac:dyDescent="0.25">
      <c r="B112" s="15"/>
      <c r="C112" s="15"/>
      <c r="D112" s="15"/>
      <c r="E112" s="15"/>
      <c r="F112" s="15"/>
    </row>
    <row r="113" spans="2:6" x14ac:dyDescent="0.25">
      <c r="B113" s="15"/>
      <c r="C113" s="15"/>
      <c r="D113" s="15"/>
      <c r="E113" s="15"/>
      <c r="F113" s="15"/>
    </row>
    <row r="114" spans="2:6" x14ac:dyDescent="0.25">
      <c r="B114" s="15"/>
      <c r="C114" s="15"/>
      <c r="D114" s="15"/>
      <c r="E114" s="15"/>
      <c r="F114" s="15"/>
    </row>
    <row r="115" spans="2:6" x14ac:dyDescent="0.25">
      <c r="B115" s="15"/>
      <c r="C115" s="15"/>
      <c r="D115" s="15"/>
      <c r="E115" s="15"/>
      <c r="F115" s="15"/>
    </row>
    <row r="116" spans="2:6" x14ac:dyDescent="0.25">
      <c r="B116" s="15"/>
      <c r="C116" s="15"/>
      <c r="D116" s="15"/>
      <c r="E116" s="15"/>
      <c r="F116" s="15"/>
    </row>
    <row r="117" spans="2:6" x14ac:dyDescent="0.25">
      <c r="B117" s="15"/>
      <c r="C117" s="15"/>
      <c r="D117" s="15"/>
      <c r="E117" s="15"/>
      <c r="F117" s="15"/>
    </row>
    <row r="118" spans="2:6" x14ac:dyDescent="0.25">
      <c r="B118" s="15"/>
      <c r="C118" s="15"/>
      <c r="D118" s="15"/>
      <c r="E118" s="15"/>
      <c r="F118" s="15"/>
    </row>
    <row r="119" spans="2:6" x14ac:dyDescent="0.25">
      <c r="B119" s="15"/>
      <c r="C119" s="15"/>
      <c r="D119" s="15"/>
      <c r="E119" s="15"/>
      <c r="F119" s="15"/>
    </row>
    <row r="120" spans="2:6" x14ac:dyDescent="0.25">
      <c r="B120" s="15"/>
      <c r="C120" s="15"/>
      <c r="D120" s="15"/>
      <c r="E120" s="15"/>
      <c r="F120" s="15"/>
    </row>
    <row r="121" spans="2:6" x14ac:dyDescent="0.25">
      <c r="B121" s="15"/>
      <c r="C121" s="15"/>
      <c r="D121" s="15"/>
      <c r="E121" s="15"/>
      <c r="F121" s="15"/>
    </row>
    <row r="122" spans="2:6" x14ac:dyDescent="0.25">
      <c r="B122" s="15"/>
      <c r="C122" s="15"/>
      <c r="D122" s="15"/>
      <c r="E122" s="15"/>
      <c r="F122" s="15"/>
    </row>
    <row r="123" spans="2:6" x14ac:dyDescent="0.25">
      <c r="B123" s="15"/>
      <c r="C123" s="15"/>
      <c r="D123" s="15"/>
      <c r="E123" s="15"/>
      <c r="F123" s="15"/>
    </row>
    <row r="124" spans="2:6" x14ac:dyDescent="0.25">
      <c r="B124" s="15"/>
      <c r="C124" s="15"/>
      <c r="D124" s="15"/>
      <c r="E124" s="15"/>
      <c r="F124" s="15"/>
    </row>
    <row r="125" spans="2:6" x14ac:dyDescent="0.25">
      <c r="B125" s="15"/>
      <c r="C125" s="15"/>
      <c r="D125" s="15"/>
      <c r="E125" s="15"/>
      <c r="F125" s="15"/>
    </row>
    <row r="126" spans="2:6" x14ac:dyDescent="0.25">
      <c r="B126" s="15"/>
      <c r="C126" s="15"/>
      <c r="D126" s="15"/>
      <c r="E126" s="15"/>
      <c r="F126" s="15"/>
    </row>
    <row r="127" spans="2:6" x14ac:dyDescent="0.25">
      <c r="B127" s="15"/>
      <c r="C127" s="15"/>
      <c r="D127" s="15"/>
      <c r="E127" s="15"/>
      <c r="F127" s="15"/>
    </row>
    <row r="128" spans="2:6" x14ac:dyDescent="0.25">
      <c r="B128" s="15"/>
      <c r="C128" s="15"/>
      <c r="D128" s="15"/>
      <c r="E128" s="15"/>
      <c r="F128" s="15"/>
    </row>
    <row r="129" spans="2:6" x14ac:dyDescent="0.25">
      <c r="B129" s="15"/>
      <c r="C129" s="15"/>
      <c r="D129" s="15"/>
      <c r="E129" s="15"/>
      <c r="F129" s="15"/>
    </row>
    <row r="130" spans="2:6" x14ac:dyDescent="0.25">
      <c r="B130" s="15"/>
      <c r="C130" s="15"/>
      <c r="D130" s="15"/>
      <c r="E130" s="15"/>
      <c r="F130" s="15"/>
    </row>
    <row r="131" spans="2:6" x14ac:dyDescent="0.25">
      <c r="B131" s="15"/>
      <c r="C131" s="15"/>
      <c r="D131" s="15"/>
      <c r="E131" s="15"/>
      <c r="F131" s="15"/>
    </row>
    <row r="132" spans="2:6" x14ac:dyDescent="0.25">
      <c r="B132" s="15"/>
      <c r="C132" s="15"/>
      <c r="D132" s="15"/>
      <c r="E132" s="15"/>
      <c r="F132" s="15"/>
    </row>
    <row r="133" spans="2:6" x14ac:dyDescent="0.25">
      <c r="B133" s="15"/>
      <c r="C133" s="15"/>
      <c r="D133" s="15"/>
      <c r="E133" s="15"/>
      <c r="F133" s="15"/>
    </row>
    <row r="134" spans="2:6" x14ac:dyDescent="0.25">
      <c r="B134" s="15"/>
      <c r="C134" s="15"/>
      <c r="D134" s="15"/>
      <c r="E134" s="15"/>
      <c r="F134" s="15"/>
    </row>
    <row r="135" spans="2:6" x14ac:dyDescent="0.25">
      <c r="B135" s="15"/>
      <c r="C135" s="15"/>
      <c r="D135" s="15"/>
      <c r="E135" s="15"/>
      <c r="F135" s="15"/>
    </row>
    <row r="136" spans="2:6" x14ac:dyDescent="0.25">
      <c r="B136" s="15"/>
      <c r="C136" s="15"/>
      <c r="D136" s="15"/>
      <c r="E136" s="15"/>
      <c r="F136" s="15"/>
    </row>
    <row r="137" spans="2:6" x14ac:dyDescent="0.25">
      <c r="B137" s="15"/>
      <c r="C137" s="15"/>
      <c r="D137" s="15"/>
      <c r="E137" s="15"/>
      <c r="F137" s="15"/>
    </row>
    <row r="138" spans="2:6" x14ac:dyDescent="0.25">
      <c r="B138" s="15"/>
      <c r="C138" s="15"/>
      <c r="D138" s="15"/>
      <c r="E138" s="15"/>
      <c r="F138" s="15"/>
    </row>
    <row r="139" spans="2:6" x14ac:dyDescent="0.25">
      <c r="B139" s="15"/>
      <c r="C139" s="15"/>
      <c r="D139" s="15"/>
      <c r="E139" s="15"/>
      <c r="F139" s="15"/>
    </row>
    <row r="140" spans="2:6" x14ac:dyDescent="0.25">
      <c r="B140" s="15"/>
      <c r="C140" s="15"/>
      <c r="D140" s="15"/>
      <c r="E140" s="15"/>
      <c r="F140" s="15"/>
    </row>
    <row r="141" spans="2:6" x14ac:dyDescent="0.25">
      <c r="B141" s="15"/>
      <c r="C141" s="15"/>
      <c r="D141" s="15"/>
      <c r="E141" s="15"/>
      <c r="F141" s="15"/>
    </row>
    <row r="142" spans="2:6" x14ac:dyDescent="0.25">
      <c r="B142" s="15"/>
      <c r="C142" s="15"/>
      <c r="D142" s="15"/>
      <c r="E142" s="15"/>
      <c r="F142" s="15"/>
    </row>
    <row r="143" spans="2:6" x14ac:dyDescent="0.25">
      <c r="B143" s="15"/>
      <c r="C143" s="15"/>
      <c r="D143" s="15"/>
      <c r="E143" s="15"/>
      <c r="F143" s="15"/>
    </row>
    <row r="144" spans="2:6" x14ac:dyDescent="0.25">
      <c r="B144" s="15"/>
      <c r="C144" s="15"/>
      <c r="D144" s="15"/>
      <c r="E144" s="15"/>
      <c r="F144" s="15"/>
    </row>
    <row r="145" spans="2:6" x14ac:dyDescent="0.25">
      <c r="B145" s="15"/>
      <c r="C145" s="15"/>
      <c r="D145" s="15"/>
      <c r="E145" s="15"/>
      <c r="F145" s="15"/>
    </row>
    <row r="146" spans="2:6" x14ac:dyDescent="0.25">
      <c r="B146" s="15"/>
      <c r="C146" s="15"/>
      <c r="D146" s="15"/>
      <c r="E146" s="15"/>
      <c r="F146" s="15"/>
    </row>
    <row r="147" spans="2:6" x14ac:dyDescent="0.25">
      <c r="B147" s="15"/>
      <c r="C147" s="15"/>
      <c r="D147" s="15"/>
      <c r="E147" s="15"/>
      <c r="F147" s="15"/>
    </row>
    <row r="148" spans="2:6" x14ac:dyDescent="0.25">
      <c r="B148" s="15"/>
      <c r="C148" s="15"/>
      <c r="D148" s="15"/>
      <c r="E148" s="15"/>
      <c r="F148" s="15"/>
    </row>
    <row r="149" spans="2:6" x14ac:dyDescent="0.25">
      <c r="B149" s="15"/>
      <c r="C149" s="15"/>
      <c r="D149" s="15"/>
      <c r="E149" s="15"/>
      <c r="F149" s="15"/>
    </row>
    <row r="150" spans="2:6" x14ac:dyDescent="0.25">
      <c r="B150" s="15"/>
      <c r="C150" s="15"/>
      <c r="D150" s="15"/>
      <c r="E150" s="15"/>
      <c r="F150" s="15"/>
    </row>
    <row r="151" spans="2:6" x14ac:dyDescent="0.25">
      <c r="B151" s="15"/>
      <c r="C151" s="15"/>
      <c r="D151" s="15"/>
      <c r="E151" s="15"/>
      <c r="F151" s="15"/>
    </row>
    <row r="152" spans="2:6" x14ac:dyDescent="0.25">
      <c r="B152" s="15"/>
      <c r="C152" s="15"/>
      <c r="D152" s="15"/>
      <c r="E152" s="15"/>
      <c r="F152" s="15"/>
    </row>
    <row r="153" spans="2:6" x14ac:dyDescent="0.25">
      <c r="B153" s="15"/>
      <c r="C153" s="15"/>
      <c r="D153" s="15"/>
      <c r="E153" s="15"/>
      <c r="F153" s="15"/>
    </row>
    <row r="154" spans="2:6" x14ac:dyDescent="0.25">
      <c r="B154" s="15"/>
      <c r="C154" s="15"/>
      <c r="D154" s="15"/>
      <c r="E154" s="15"/>
      <c r="F154" s="15"/>
    </row>
    <row r="155" spans="2:6" x14ac:dyDescent="0.25">
      <c r="B155" s="15"/>
      <c r="C155" s="15"/>
      <c r="D155" s="15"/>
      <c r="E155" s="15"/>
      <c r="F155" s="15"/>
    </row>
    <row r="156" spans="2:6" x14ac:dyDescent="0.25">
      <c r="B156" s="15"/>
      <c r="C156" s="15"/>
      <c r="D156" s="15"/>
      <c r="E156" s="15"/>
      <c r="F156" s="15"/>
    </row>
    <row r="157" spans="2:6" x14ac:dyDescent="0.25">
      <c r="B157" s="15"/>
      <c r="C157" s="15"/>
      <c r="D157" s="15"/>
      <c r="E157" s="15"/>
      <c r="F157" s="15"/>
    </row>
    <row r="158" spans="2:6" x14ac:dyDescent="0.25">
      <c r="B158" s="15"/>
      <c r="C158" s="15"/>
      <c r="D158" s="15"/>
      <c r="E158" s="15"/>
      <c r="F158" s="15"/>
    </row>
    <row r="159" spans="2:6" x14ac:dyDescent="0.25">
      <c r="B159" s="15"/>
      <c r="C159" s="15"/>
      <c r="D159" s="15"/>
      <c r="E159" s="15"/>
      <c r="F159" s="15"/>
    </row>
    <row r="160" spans="2:6" x14ac:dyDescent="0.25">
      <c r="B160" s="15"/>
      <c r="C160" s="15"/>
      <c r="D160" s="15"/>
      <c r="E160" s="15"/>
      <c r="F160" s="15"/>
    </row>
    <row r="161" spans="2:6" x14ac:dyDescent="0.25">
      <c r="B161" s="15"/>
      <c r="C161" s="15"/>
      <c r="D161" s="15"/>
      <c r="E161" s="15"/>
      <c r="F161" s="15"/>
    </row>
    <row r="162" spans="2:6" x14ac:dyDescent="0.25">
      <c r="B162" s="15"/>
      <c r="C162" s="15"/>
      <c r="D162" s="15"/>
      <c r="E162" s="15"/>
      <c r="F162" s="15"/>
    </row>
    <row r="163" spans="2:6" x14ac:dyDescent="0.25">
      <c r="B163" s="15"/>
      <c r="C163" s="15"/>
      <c r="D163" s="15"/>
      <c r="E163" s="15"/>
      <c r="F163" s="15"/>
    </row>
    <row r="164" spans="2:6" x14ac:dyDescent="0.25">
      <c r="B164" s="15"/>
      <c r="C164" s="15"/>
      <c r="D164" s="15"/>
      <c r="E164" s="15"/>
      <c r="F164" s="15"/>
    </row>
    <row r="165" spans="2:6" x14ac:dyDescent="0.25">
      <c r="B165" s="15"/>
      <c r="C165" s="15"/>
      <c r="D165" s="15"/>
      <c r="E165" s="15"/>
      <c r="F165" s="15"/>
    </row>
    <row r="166" spans="2:6" x14ac:dyDescent="0.25">
      <c r="B166" s="15"/>
      <c r="C166" s="15"/>
      <c r="D166" s="15"/>
      <c r="E166" s="15"/>
      <c r="F166" s="15"/>
    </row>
    <row r="167" spans="2:6" x14ac:dyDescent="0.25">
      <c r="B167" s="15"/>
      <c r="C167" s="15"/>
      <c r="D167" s="15"/>
      <c r="E167" s="15"/>
      <c r="F167" s="15"/>
    </row>
    <row r="168" spans="2:6" x14ac:dyDescent="0.25">
      <c r="B168" s="15"/>
      <c r="C168" s="15"/>
      <c r="D168" s="15"/>
      <c r="E168" s="15"/>
      <c r="F168" s="15"/>
    </row>
    <row r="169" spans="2:6" x14ac:dyDescent="0.25">
      <c r="B169" s="15"/>
      <c r="C169" s="15"/>
      <c r="D169" s="15"/>
      <c r="E169" s="15"/>
      <c r="F169" s="15"/>
    </row>
    <row r="170" spans="2:6" x14ac:dyDescent="0.25">
      <c r="B170" s="15"/>
      <c r="C170" s="15"/>
      <c r="D170" s="15"/>
      <c r="E170" s="15"/>
      <c r="F170" s="15"/>
    </row>
    <row r="171" spans="2:6" x14ac:dyDescent="0.25">
      <c r="B171" s="15"/>
      <c r="C171" s="15"/>
      <c r="D171" s="15"/>
      <c r="E171" s="15"/>
      <c r="F171" s="15"/>
    </row>
    <row r="172" spans="2:6" x14ac:dyDescent="0.25">
      <c r="B172" s="15"/>
      <c r="C172" s="15"/>
      <c r="D172" s="15"/>
      <c r="E172" s="15"/>
      <c r="F172" s="15"/>
    </row>
    <row r="173" spans="2:6" x14ac:dyDescent="0.25">
      <c r="B173" s="15"/>
      <c r="C173" s="15"/>
      <c r="D173" s="15"/>
      <c r="E173" s="15"/>
      <c r="F173" s="15"/>
    </row>
    <row r="174" spans="2:6" x14ac:dyDescent="0.25">
      <c r="B174" s="15"/>
      <c r="C174" s="15"/>
      <c r="D174" s="15"/>
      <c r="E174" s="15"/>
      <c r="F174" s="15"/>
    </row>
    <row r="175" spans="2:6" x14ac:dyDescent="0.25">
      <c r="B175" s="15"/>
      <c r="C175" s="15"/>
      <c r="D175" s="15"/>
      <c r="E175" s="15"/>
      <c r="F175" s="15"/>
    </row>
    <row r="176" spans="2:6" x14ac:dyDescent="0.25">
      <c r="B176" s="15"/>
      <c r="C176" s="15"/>
      <c r="D176" s="15"/>
      <c r="E176" s="15"/>
      <c r="F176" s="15"/>
    </row>
    <row r="177" spans="2:6" x14ac:dyDescent="0.25">
      <c r="B177" s="15"/>
      <c r="C177" s="15"/>
      <c r="D177" s="15"/>
      <c r="E177" s="15"/>
      <c r="F177" s="15"/>
    </row>
    <row r="178" spans="2:6" x14ac:dyDescent="0.25">
      <c r="B178" s="15"/>
      <c r="C178" s="15"/>
      <c r="D178" s="15"/>
      <c r="E178" s="15"/>
      <c r="F178" s="15"/>
    </row>
    <row r="179" spans="2:6" x14ac:dyDescent="0.25">
      <c r="B179" s="15"/>
      <c r="C179" s="15"/>
      <c r="D179" s="15"/>
      <c r="E179" s="15"/>
      <c r="F179" s="15"/>
    </row>
    <row r="180" spans="2:6" x14ac:dyDescent="0.25">
      <c r="B180" s="15"/>
      <c r="C180" s="15"/>
      <c r="D180" s="15"/>
      <c r="E180" s="15"/>
      <c r="F180" s="15"/>
    </row>
    <row r="181" spans="2:6" x14ac:dyDescent="0.25">
      <c r="B181" s="15"/>
      <c r="C181" s="15"/>
      <c r="D181" s="15"/>
      <c r="E181" s="15"/>
      <c r="F181" s="15"/>
    </row>
    <row r="182" spans="2:6" x14ac:dyDescent="0.25">
      <c r="B182" s="15"/>
      <c r="C182" s="15"/>
      <c r="D182" s="15"/>
      <c r="E182" s="15"/>
      <c r="F182" s="15"/>
    </row>
    <row r="183" spans="2:6" x14ac:dyDescent="0.25">
      <c r="B183" s="15"/>
      <c r="C183" s="15"/>
      <c r="D183" s="15"/>
      <c r="E183" s="15"/>
      <c r="F183" s="15"/>
    </row>
    <row r="184" spans="2:6" x14ac:dyDescent="0.25">
      <c r="B184" s="15"/>
      <c r="C184" s="15"/>
      <c r="D184" s="15"/>
      <c r="E184" s="15"/>
      <c r="F184" s="15"/>
    </row>
    <row r="185" spans="2:6" x14ac:dyDescent="0.25">
      <c r="B185" s="15"/>
      <c r="C185" s="15"/>
      <c r="D185" s="15"/>
      <c r="E185" s="15"/>
      <c r="F185" s="15"/>
    </row>
    <row r="186" spans="2:6" x14ac:dyDescent="0.25">
      <c r="B186" s="15"/>
      <c r="C186" s="15"/>
      <c r="D186" s="15"/>
      <c r="E186" s="15"/>
      <c r="F186" s="15"/>
    </row>
    <row r="187" spans="2:6" x14ac:dyDescent="0.25">
      <c r="B187" s="15"/>
      <c r="C187" s="15"/>
      <c r="D187" s="15"/>
      <c r="E187" s="15"/>
      <c r="F187" s="15"/>
    </row>
    <row r="188" spans="2:6" x14ac:dyDescent="0.25">
      <c r="B188" s="15"/>
      <c r="C188" s="15"/>
      <c r="D188" s="15"/>
      <c r="E188" s="15"/>
      <c r="F188" s="15"/>
    </row>
    <row r="189" spans="2:6" x14ac:dyDescent="0.25">
      <c r="B189" s="15"/>
      <c r="C189" s="15"/>
      <c r="D189" s="15"/>
      <c r="E189" s="15"/>
      <c r="F189" s="15"/>
    </row>
    <row r="190" spans="2:6" x14ac:dyDescent="0.25">
      <c r="B190" s="15"/>
      <c r="C190" s="15"/>
      <c r="D190" s="15"/>
      <c r="E190" s="15"/>
      <c r="F190" s="15"/>
    </row>
    <row r="191" spans="2:6" x14ac:dyDescent="0.25">
      <c r="B191" s="15"/>
      <c r="C191" s="15"/>
      <c r="D191" s="15"/>
      <c r="E191" s="15"/>
      <c r="F191" s="15"/>
    </row>
    <row r="192" spans="2:6" x14ac:dyDescent="0.25">
      <c r="B192" s="15"/>
      <c r="C192" s="15"/>
      <c r="D192" s="15"/>
      <c r="E192" s="15"/>
      <c r="F192" s="15"/>
    </row>
    <row r="193" spans="2:6" x14ac:dyDescent="0.25">
      <c r="B193" s="15"/>
      <c r="C193" s="15"/>
      <c r="D193" s="15"/>
      <c r="E193" s="15"/>
      <c r="F193" s="15"/>
    </row>
    <row r="194" spans="2:6" x14ac:dyDescent="0.25">
      <c r="B194" s="15"/>
      <c r="C194" s="15"/>
      <c r="D194" s="15"/>
      <c r="E194" s="15"/>
      <c r="F194" s="15"/>
    </row>
    <row r="195" spans="2:6" x14ac:dyDescent="0.25">
      <c r="B195" s="15"/>
      <c r="C195" s="15"/>
      <c r="D195" s="15"/>
      <c r="E195" s="15"/>
      <c r="F195" s="15"/>
    </row>
    <row r="196" spans="2:6" x14ac:dyDescent="0.25">
      <c r="B196" s="15"/>
      <c r="C196" s="15"/>
      <c r="D196" s="15"/>
      <c r="E196" s="15"/>
      <c r="F196" s="15"/>
    </row>
    <row r="197" spans="2:6" x14ac:dyDescent="0.25">
      <c r="B197" s="15"/>
      <c r="C197" s="15"/>
      <c r="D197" s="15"/>
      <c r="E197" s="15"/>
      <c r="F197" s="15"/>
    </row>
    <row r="198" spans="2:6" x14ac:dyDescent="0.25">
      <c r="B198" s="15"/>
      <c r="C198" s="15"/>
      <c r="D198" s="15"/>
      <c r="E198" s="15"/>
      <c r="F198" s="15"/>
    </row>
    <row r="199" spans="2:6" x14ac:dyDescent="0.25">
      <c r="B199" s="15"/>
      <c r="C199" s="15"/>
      <c r="D199" s="15"/>
      <c r="E199" s="15"/>
      <c r="F199" s="15"/>
    </row>
    <row r="200" spans="2:6" x14ac:dyDescent="0.25">
      <c r="B200" s="15"/>
      <c r="C200" s="15"/>
      <c r="D200" s="15"/>
      <c r="E200" s="15"/>
      <c r="F200" s="15"/>
    </row>
    <row r="201" spans="2:6" x14ac:dyDescent="0.25">
      <c r="B201" s="15"/>
      <c r="C201" s="15"/>
      <c r="D201" s="15"/>
      <c r="E201" s="15"/>
      <c r="F201" s="15"/>
    </row>
    <row r="202" spans="2:6" x14ac:dyDescent="0.25">
      <c r="B202" s="15"/>
      <c r="C202" s="15"/>
      <c r="D202" s="15"/>
      <c r="E202" s="15"/>
      <c r="F202" s="15"/>
    </row>
    <row r="203" spans="2:6" x14ac:dyDescent="0.25">
      <c r="B203" s="15"/>
      <c r="C203" s="15"/>
      <c r="D203" s="15"/>
      <c r="E203" s="15"/>
      <c r="F203" s="15"/>
    </row>
    <row r="204" spans="2:6" x14ac:dyDescent="0.25">
      <c r="B204" s="15"/>
      <c r="C204" s="15"/>
      <c r="D204" s="15"/>
      <c r="E204" s="15"/>
      <c r="F204" s="15"/>
    </row>
    <row r="205" spans="2:6" x14ac:dyDescent="0.25">
      <c r="B205" s="15"/>
      <c r="C205" s="15"/>
      <c r="D205" s="15"/>
      <c r="E205" s="15"/>
      <c r="F205" s="15"/>
    </row>
    <row r="206" spans="2:6" x14ac:dyDescent="0.25">
      <c r="B206" s="15"/>
      <c r="C206" s="15"/>
      <c r="D206" s="15"/>
      <c r="E206" s="15"/>
      <c r="F206" s="15"/>
    </row>
    <row r="207" spans="2:6" x14ac:dyDescent="0.25">
      <c r="B207" s="15"/>
      <c r="C207" s="15"/>
      <c r="D207" s="15"/>
      <c r="E207" s="15"/>
      <c r="F207" s="15"/>
    </row>
    <row r="208" spans="2:6" x14ac:dyDescent="0.25">
      <c r="B208" s="15"/>
      <c r="C208" s="15"/>
      <c r="D208" s="15"/>
      <c r="E208" s="15"/>
      <c r="F208" s="15"/>
    </row>
    <row r="209" spans="2:6" x14ac:dyDescent="0.25">
      <c r="B209" s="15"/>
      <c r="C209" s="15"/>
      <c r="D209" s="15"/>
      <c r="E209" s="15"/>
      <c r="F209" s="15"/>
    </row>
    <row r="210" spans="2:6" x14ac:dyDescent="0.25">
      <c r="B210" s="15"/>
      <c r="C210" s="15"/>
      <c r="D210" s="15"/>
      <c r="E210" s="15"/>
      <c r="F210" s="15"/>
    </row>
    <row r="211" spans="2:6" x14ac:dyDescent="0.25">
      <c r="B211" s="15"/>
      <c r="C211" s="15"/>
      <c r="D211" s="15"/>
      <c r="E211" s="15"/>
      <c r="F211" s="15"/>
    </row>
    <row r="212" spans="2:6" x14ac:dyDescent="0.25">
      <c r="B212" s="15"/>
      <c r="C212" s="15"/>
      <c r="D212" s="15"/>
      <c r="E212" s="15"/>
      <c r="F212" s="15"/>
    </row>
    <row r="213" spans="2:6" x14ac:dyDescent="0.25">
      <c r="B213" s="15"/>
      <c r="C213" s="15"/>
      <c r="D213" s="15"/>
      <c r="E213" s="15"/>
      <c r="F213" s="15"/>
    </row>
    <row r="214" spans="2:6" x14ac:dyDescent="0.25">
      <c r="B214" s="15"/>
      <c r="C214" s="15"/>
      <c r="D214" s="15"/>
      <c r="E214" s="15"/>
      <c r="F214" s="15"/>
    </row>
    <row r="215" spans="2:6" x14ac:dyDescent="0.25">
      <c r="B215" s="15"/>
      <c r="C215" s="15"/>
      <c r="D215" s="15"/>
      <c r="E215" s="15"/>
      <c r="F215" s="15"/>
    </row>
    <row r="216" spans="2:6" x14ac:dyDescent="0.25">
      <c r="B216" s="15"/>
      <c r="C216" s="15"/>
      <c r="D216" s="15"/>
      <c r="E216" s="15"/>
      <c r="F216" s="15"/>
    </row>
    <row r="217" spans="2:6" x14ac:dyDescent="0.25">
      <c r="B217" s="15"/>
      <c r="C217" s="15"/>
      <c r="D217" s="15"/>
      <c r="E217" s="15"/>
      <c r="F217" s="15"/>
    </row>
    <row r="218" spans="2:6" x14ac:dyDescent="0.25">
      <c r="B218" s="15"/>
      <c r="C218" s="15"/>
      <c r="D218" s="15"/>
      <c r="E218" s="15"/>
      <c r="F218" s="15"/>
    </row>
    <row r="219" spans="2:6" x14ac:dyDescent="0.25">
      <c r="B219" s="15"/>
      <c r="C219" s="15"/>
      <c r="D219" s="15"/>
      <c r="E219" s="15"/>
      <c r="F219" s="15"/>
    </row>
    <row r="220" spans="2:6" x14ac:dyDescent="0.25">
      <c r="B220" s="15"/>
      <c r="C220" s="15"/>
      <c r="D220" s="15"/>
      <c r="E220" s="15"/>
      <c r="F220" s="15"/>
    </row>
    <row r="221" spans="2:6" x14ac:dyDescent="0.25">
      <c r="B221" s="15"/>
      <c r="C221" s="15"/>
      <c r="D221" s="15"/>
      <c r="E221" s="15"/>
      <c r="F221" s="15"/>
    </row>
    <row r="222" spans="2:6" x14ac:dyDescent="0.25">
      <c r="B222" s="15"/>
      <c r="C222" s="15"/>
      <c r="D222" s="15"/>
      <c r="E222" s="15"/>
      <c r="F222" s="15"/>
    </row>
    <row r="223" spans="2:6" x14ac:dyDescent="0.25">
      <c r="B223" s="15"/>
      <c r="C223" s="15"/>
      <c r="D223" s="15"/>
      <c r="E223" s="15"/>
      <c r="F223" s="15"/>
    </row>
    <row r="224" spans="2:6" x14ac:dyDescent="0.25">
      <c r="B224" s="15"/>
      <c r="C224" s="15"/>
      <c r="D224" s="15"/>
      <c r="E224" s="15"/>
      <c r="F224" s="15"/>
    </row>
    <row r="225" spans="2:6" x14ac:dyDescent="0.25">
      <c r="B225" s="15"/>
      <c r="C225" s="15"/>
      <c r="D225" s="15"/>
      <c r="E225" s="15"/>
      <c r="F225" s="15"/>
    </row>
    <row r="226" spans="2:6" x14ac:dyDescent="0.25">
      <c r="B226" s="15"/>
      <c r="C226" s="15"/>
      <c r="D226" s="15"/>
      <c r="E226" s="15"/>
      <c r="F226" s="15"/>
    </row>
    <row r="227" spans="2:6" x14ac:dyDescent="0.25">
      <c r="B227" s="15"/>
      <c r="C227" s="15"/>
      <c r="D227" s="15"/>
      <c r="E227" s="15"/>
      <c r="F227" s="15"/>
    </row>
    <row r="228" spans="2:6" x14ac:dyDescent="0.25">
      <c r="B228" s="15"/>
      <c r="C228" s="15"/>
      <c r="D228" s="15"/>
      <c r="E228" s="15"/>
      <c r="F228" s="15"/>
    </row>
    <row r="229" spans="2:6" x14ac:dyDescent="0.25">
      <c r="B229" s="15"/>
      <c r="C229" s="15"/>
      <c r="D229" s="15"/>
      <c r="E229" s="15"/>
      <c r="F229" s="15"/>
    </row>
    <row r="230" spans="2:6" x14ac:dyDescent="0.25">
      <c r="B230" s="15"/>
      <c r="C230" s="15"/>
      <c r="D230" s="15"/>
      <c r="E230" s="15"/>
      <c r="F230" s="15"/>
    </row>
    <row r="231" spans="2:6" x14ac:dyDescent="0.25">
      <c r="B231" s="15"/>
      <c r="C231" s="15"/>
      <c r="D231" s="15"/>
      <c r="E231" s="15"/>
      <c r="F231" s="15"/>
    </row>
    <row r="232" spans="2:6" x14ac:dyDescent="0.25">
      <c r="B232" s="15"/>
      <c r="C232" s="15"/>
      <c r="D232" s="15"/>
      <c r="E232" s="15"/>
      <c r="F232" s="15"/>
    </row>
    <row r="233" spans="2:6" x14ac:dyDescent="0.25">
      <c r="B233" s="15"/>
      <c r="C233" s="15"/>
      <c r="D233" s="15"/>
      <c r="E233" s="15"/>
      <c r="F233" s="15"/>
    </row>
    <row r="234" spans="2:6" x14ac:dyDescent="0.25">
      <c r="B234" s="15"/>
      <c r="C234" s="15"/>
      <c r="D234" s="15"/>
      <c r="E234" s="15"/>
      <c r="F234" s="15"/>
    </row>
    <row r="235" spans="2:6" x14ac:dyDescent="0.25">
      <c r="B235" s="15"/>
      <c r="C235" s="15"/>
      <c r="D235" s="15"/>
      <c r="E235" s="15"/>
      <c r="F235" s="15"/>
    </row>
    <row r="236" spans="2:6" x14ac:dyDescent="0.25">
      <c r="B236" s="15"/>
      <c r="C236" s="15"/>
      <c r="D236" s="15"/>
      <c r="E236" s="15"/>
      <c r="F236" s="15"/>
    </row>
    <row r="237" spans="2:6" x14ac:dyDescent="0.25">
      <c r="B237" s="15"/>
      <c r="C237" s="15"/>
      <c r="D237" s="15"/>
      <c r="E237" s="15"/>
      <c r="F237" s="15"/>
    </row>
    <row r="238" spans="2:6" x14ac:dyDescent="0.25">
      <c r="B238" s="15"/>
      <c r="C238" s="15"/>
      <c r="D238" s="15"/>
      <c r="E238" s="15"/>
      <c r="F238" s="15"/>
    </row>
    <row r="239" spans="2:6" x14ac:dyDescent="0.25">
      <c r="B239" s="15"/>
      <c r="C239" s="15"/>
      <c r="D239" s="15"/>
      <c r="E239" s="15"/>
      <c r="F239" s="15"/>
    </row>
    <row r="240" spans="2:6" x14ac:dyDescent="0.25">
      <c r="B240" s="15"/>
      <c r="C240" s="15"/>
      <c r="D240" s="15"/>
      <c r="E240" s="15"/>
      <c r="F240" s="15"/>
    </row>
    <row r="241" spans="2:6" x14ac:dyDescent="0.25">
      <c r="B241" s="15"/>
      <c r="C241" s="15"/>
      <c r="D241" s="15"/>
      <c r="E241" s="15"/>
      <c r="F241" s="15"/>
    </row>
    <row r="242" spans="2:6" x14ac:dyDescent="0.25">
      <c r="B242" s="15"/>
      <c r="C242" s="15"/>
      <c r="D242" s="15"/>
      <c r="E242" s="15"/>
      <c r="F242" s="15"/>
    </row>
    <row r="243" spans="2:6" x14ac:dyDescent="0.25">
      <c r="B243" s="15"/>
      <c r="C243" s="15"/>
      <c r="D243" s="15"/>
      <c r="E243" s="15"/>
      <c r="F243" s="15"/>
    </row>
    <row r="244" spans="2:6" x14ac:dyDescent="0.25">
      <c r="B244" s="15"/>
      <c r="C244" s="15"/>
      <c r="D244" s="15"/>
      <c r="E244" s="15"/>
      <c r="F244" s="15"/>
    </row>
    <row r="245" spans="2:6" x14ac:dyDescent="0.25">
      <c r="B245" s="15"/>
      <c r="C245" s="15"/>
      <c r="D245" s="15"/>
      <c r="E245" s="15"/>
      <c r="F245" s="15"/>
    </row>
    <row r="246" spans="2:6" x14ac:dyDescent="0.25">
      <c r="B246" s="15"/>
      <c r="C246" s="15"/>
      <c r="D246" s="15"/>
      <c r="E246" s="15"/>
      <c r="F246" s="15"/>
    </row>
    <row r="247" spans="2:6" x14ac:dyDescent="0.25">
      <c r="B247" s="15"/>
      <c r="C247" s="15"/>
      <c r="D247" s="15"/>
      <c r="E247" s="15"/>
      <c r="F247" s="15"/>
    </row>
    <row r="248" spans="2:6" x14ac:dyDescent="0.25">
      <c r="B248" s="15"/>
      <c r="C248" s="15"/>
      <c r="D248" s="15"/>
      <c r="E248" s="15"/>
      <c r="F248" s="15"/>
    </row>
    <row r="249" spans="2:6" x14ac:dyDescent="0.25">
      <c r="B249" s="15"/>
      <c r="C249" s="15"/>
      <c r="D249" s="15"/>
      <c r="E249" s="15"/>
      <c r="F249" s="15"/>
    </row>
    <row r="250" spans="2:6" x14ac:dyDescent="0.25">
      <c r="B250" s="15"/>
      <c r="C250" s="15"/>
      <c r="D250" s="15"/>
      <c r="E250" s="15"/>
      <c r="F250" s="15"/>
    </row>
    <row r="251" spans="2:6" x14ac:dyDescent="0.25">
      <c r="B251" s="15"/>
      <c r="C251" s="15"/>
      <c r="D251" s="15"/>
      <c r="E251" s="15"/>
      <c r="F251" s="15"/>
    </row>
    <row r="252" spans="2:6" x14ac:dyDescent="0.25">
      <c r="B252" s="15"/>
      <c r="C252" s="15"/>
      <c r="D252" s="15"/>
      <c r="E252" s="15"/>
      <c r="F252" s="15"/>
    </row>
    <row r="253" spans="2:6" x14ac:dyDescent="0.25">
      <c r="B253" s="15"/>
      <c r="C253" s="15"/>
      <c r="D253" s="15"/>
      <c r="E253" s="15"/>
      <c r="F253" s="15"/>
    </row>
    <row r="254" spans="2:6" x14ac:dyDescent="0.25">
      <c r="B254" s="15"/>
      <c r="C254" s="15"/>
      <c r="D254" s="15"/>
      <c r="E254" s="15"/>
      <c r="F254" s="15"/>
    </row>
    <row r="255" spans="2:6" x14ac:dyDescent="0.25">
      <c r="B255" s="15"/>
      <c r="C255" s="15"/>
      <c r="D255" s="15"/>
      <c r="E255" s="15"/>
      <c r="F255" s="15"/>
    </row>
    <row r="256" spans="2:6" x14ac:dyDescent="0.25">
      <c r="B256" s="15"/>
      <c r="C256" s="15"/>
      <c r="D256" s="15"/>
      <c r="E256" s="15"/>
      <c r="F256" s="15"/>
    </row>
    <row r="257" spans="2:6" x14ac:dyDescent="0.25">
      <c r="B257" s="15"/>
      <c r="C257" s="15"/>
      <c r="D257" s="15"/>
      <c r="E257" s="15"/>
      <c r="F257" s="15"/>
    </row>
    <row r="258" spans="2:6" x14ac:dyDescent="0.25">
      <c r="B258" s="15"/>
      <c r="C258" s="15"/>
      <c r="D258" s="15"/>
      <c r="E258" s="15"/>
      <c r="F258" s="15"/>
    </row>
    <row r="259" spans="2:6" x14ac:dyDescent="0.25">
      <c r="B259" s="15"/>
      <c r="C259" s="15"/>
      <c r="D259" s="15"/>
      <c r="E259" s="15"/>
      <c r="F259" s="15"/>
    </row>
    <row r="260" spans="2:6" x14ac:dyDescent="0.25">
      <c r="B260" s="15"/>
      <c r="C260" s="15"/>
      <c r="D260" s="15"/>
      <c r="E260" s="15"/>
      <c r="F260" s="15"/>
    </row>
    <row r="261" spans="2:6" x14ac:dyDescent="0.25">
      <c r="B261" s="15"/>
      <c r="C261" s="15"/>
      <c r="D261" s="15"/>
      <c r="E261" s="15"/>
      <c r="F261" s="15"/>
    </row>
    <row r="262" spans="2:6" x14ac:dyDescent="0.25">
      <c r="B262" s="15"/>
      <c r="C262" s="15"/>
      <c r="D262" s="15"/>
      <c r="E262" s="15"/>
      <c r="F262" s="15"/>
    </row>
    <row r="263" spans="2:6" x14ac:dyDescent="0.25">
      <c r="B263" s="15"/>
      <c r="C263" s="15"/>
      <c r="D263" s="15"/>
      <c r="E263" s="15"/>
      <c r="F263" s="15"/>
    </row>
    <row r="264" spans="2:6" x14ac:dyDescent="0.25">
      <c r="B264" s="15"/>
      <c r="C264" s="15"/>
      <c r="D264" s="15"/>
      <c r="E264" s="15"/>
      <c r="F264" s="15"/>
    </row>
    <row r="265" spans="2:6" x14ac:dyDescent="0.25">
      <c r="B265" s="15"/>
      <c r="C265" s="15"/>
      <c r="D265" s="15"/>
      <c r="E265" s="15"/>
      <c r="F265" s="15"/>
    </row>
    <row r="266" spans="2:6" x14ac:dyDescent="0.25">
      <c r="B266" s="15"/>
      <c r="C266" s="15"/>
      <c r="D266" s="15"/>
      <c r="E266" s="15"/>
      <c r="F266" s="15"/>
    </row>
    <row r="267" spans="2:6" x14ac:dyDescent="0.25">
      <c r="B267" s="15"/>
      <c r="C267" s="15"/>
      <c r="D267" s="15"/>
      <c r="E267" s="15"/>
      <c r="F267" s="15"/>
    </row>
    <row r="268" spans="2:6" x14ac:dyDescent="0.25">
      <c r="B268" s="15"/>
      <c r="C268" s="15"/>
      <c r="D268" s="15"/>
      <c r="E268" s="15"/>
      <c r="F268" s="15"/>
    </row>
    <row r="269" spans="2:6" x14ac:dyDescent="0.25">
      <c r="B269" s="15"/>
      <c r="C269" s="15"/>
      <c r="D269" s="15"/>
      <c r="E269" s="15"/>
      <c r="F269" s="15"/>
    </row>
    <row r="270" spans="2:6" x14ac:dyDescent="0.25">
      <c r="B270" s="15"/>
      <c r="C270" s="15"/>
      <c r="D270" s="15"/>
      <c r="E270" s="15"/>
      <c r="F270" s="15"/>
    </row>
    <row r="271" spans="2:6" x14ac:dyDescent="0.25">
      <c r="B271" s="15"/>
      <c r="C271" s="15"/>
      <c r="D271" s="15"/>
      <c r="E271" s="15"/>
      <c r="F271" s="15"/>
    </row>
    <row r="272" spans="2:6" x14ac:dyDescent="0.25">
      <c r="B272" s="15"/>
      <c r="C272" s="15"/>
      <c r="D272" s="15"/>
      <c r="E272" s="15"/>
      <c r="F272" s="15"/>
    </row>
    <row r="273" spans="2:6" x14ac:dyDescent="0.25">
      <c r="B273" s="15"/>
      <c r="C273" s="15"/>
      <c r="D273" s="15"/>
      <c r="E273" s="15"/>
      <c r="F273" s="15"/>
    </row>
    <row r="274" spans="2:6" x14ac:dyDescent="0.25">
      <c r="B274" s="15"/>
      <c r="C274" s="15"/>
      <c r="D274" s="15"/>
      <c r="E274" s="15"/>
      <c r="F274" s="15"/>
    </row>
    <row r="275" spans="2:6" x14ac:dyDescent="0.25">
      <c r="B275" s="15"/>
      <c r="C275" s="15"/>
      <c r="D275" s="15"/>
      <c r="E275" s="15"/>
      <c r="F275" s="15"/>
    </row>
    <row r="276" spans="2:6" x14ac:dyDescent="0.25">
      <c r="B276" s="15"/>
      <c r="C276" s="15"/>
      <c r="D276" s="15"/>
      <c r="E276" s="15"/>
      <c r="F276" s="15"/>
    </row>
    <row r="277" spans="2:6" x14ac:dyDescent="0.25">
      <c r="B277" s="15"/>
      <c r="C277" s="15"/>
      <c r="D277" s="15"/>
      <c r="E277" s="15"/>
      <c r="F277" s="15"/>
    </row>
    <row r="278" spans="2:6" x14ac:dyDescent="0.25">
      <c r="B278" s="15"/>
      <c r="C278" s="15"/>
      <c r="D278" s="15"/>
      <c r="E278" s="15"/>
      <c r="F278" s="15"/>
    </row>
    <row r="279" spans="2:6" x14ac:dyDescent="0.25">
      <c r="B279" s="15"/>
      <c r="C279" s="15"/>
      <c r="D279" s="15"/>
      <c r="E279" s="15"/>
      <c r="F279" s="15"/>
    </row>
    <row r="280" spans="2:6" x14ac:dyDescent="0.25">
      <c r="B280" s="15"/>
      <c r="C280" s="15"/>
      <c r="D280" s="15"/>
      <c r="E280" s="15"/>
      <c r="F280" s="15"/>
    </row>
    <row r="281" spans="2:6" x14ac:dyDescent="0.25">
      <c r="B281" s="15"/>
      <c r="C281" s="15"/>
      <c r="D281" s="15"/>
      <c r="E281" s="15"/>
      <c r="F281" s="15"/>
    </row>
    <row r="282" spans="2:6" x14ac:dyDescent="0.25">
      <c r="B282" s="15"/>
      <c r="C282" s="15"/>
      <c r="D282" s="15"/>
      <c r="E282" s="15"/>
      <c r="F282" s="15"/>
    </row>
    <row r="283" spans="2:6" x14ac:dyDescent="0.25">
      <c r="B283" s="15"/>
      <c r="C283" s="15"/>
      <c r="D283" s="15"/>
      <c r="E283" s="15"/>
      <c r="F283" s="15"/>
    </row>
    <row r="284" spans="2:6" x14ac:dyDescent="0.25">
      <c r="B284" s="15"/>
      <c r="C284" s="15"/>
      <c r="D284" s="15"/>
      <c r="E284" s="15"/>
      <c r="F284" s="15"/>
    </row>
    <row r="285" spans="2:6" x14ac:dyDescent="0.25">
      <c r="B285" s="15"/>
      <c r="C285" s="15"/>
      <c r="D285" s="15"/>
      <c r="E285" s="15"/>
      <c r="F285" s="15"/>
    </row>
    <row r="286" spans="2:6" x14ac:dyDescent="0.25">
      <c r="B286" s="15"/>
      <c r="C286" s="15"/>
      <c r="D286" s="15"/>
      <c r="E286" s="15"/>
      <c r="F286" s="15"/>
    </row>
    <row r="287" spans="2:6" x14ac:dyDescent="0.25">
      <c r="B287" s="15"/>
      <c r="C287" s="15"/>
      <c r="D287" s="15"/>
      <c r="E287" s="15"/>
      <c r="F287" s="15"/>
    </row>
    <row r="288" spans="2:6" x14ac:dyDescent="0.25">
      <c r="B288" s="15"/>
      <c r="C288" s="15"/>
      <c r="D288" s="15"/>
      <c r="E288" s="15"/>
      <c r="F288" s="15"/>
    </row>
    <row r="289" spans="2:6" x14ac:dyDescent="0.25">
      <c r="B289" s="15"/>
      <c r="C289" s="15"/>
      <c r="D289" s="15"/>
      <c r="E289" s="15"/>
      <c r="F289" s="15"/>
    </row>
    <row r="290" spans="2:6" x14ac:dyDescent="0.25">
      <c r="B290" s="15"/>
      <c r="C290" s="15"/>
      <c r="D290" s="15"/>
      <c r="E290" s="15"/>
      <c r="F290" s="15"/>
    </row>
    <row r="291" spans="2:6" x14ac:dyDescent="0.25">
      <c r="B291" s="15"/>
      <c r="C291" s="15"/>
      <c r="D291" s="15"/>
      <c r="E291" s="15"/>
      <c r="F291" s="15"/>
    </row>
    <row r="292" spans="2:6" x14ac:dyDescent="0.25">
      <c r="B292" s="15"/>
      <c r="C292" s="15"/>
      <c r="D292" s="15"/>
      <c r="E292" s="15"/>
      <c r="F292" s="15"/>
    </row>
    <row r="293" spans="2:6" x14ac:dyDescent="0.25">
      <c r="B293" s="15"/>
      <c r="C293" s="15"/>
      <c r="D293" s="15"/>
      <c r="E293" s="15"/>
      <c r="F293" s="15"/>
    </row>
    <row r="294" spans="2:6" x14ac:dyDescent="0.25">
      <c r="B294" s="15"/>
      <c r="C294" s="15"/>
      <c r="D294" s="15"/>
      <c r="E294" s="15"/>
      <c r="F294" s="15"/>
    </row>
    <row r="295" spans="2:6" x14ac:dyDescent="0.25">
      <c r="B295" s="15"/>
      <c r="C295" s="15"/>
      <c r="D295" s="15"/>
      <c r="E295" s="15"/>
      <c r="F295" s="15"/>
    </row>
    <row r="296" spans="2:6" x14ac:dyDescent="0.25">
      <c r="B296" s="15"/>
      <c r="C296" s="15"/>
      <c r="D296" s="15"/>
      <c r="E296" s="15"/>
      <c r="F296" s="15"/>
    </row>
    <row r="297" spans="2:6" x14ac:dyDescent="0.25">
      <c r="B297" s="15"/>
      <c r="C297" s="15"/>
      <c r="D297" s="15"/>
      <c r="E297" s="15"/>
      <c r="F297" s="15"/>
    </row>
    <row r="298" spans="2:6" x14ac:dyDescent="0.25">
      <c r="B298" s="15"/>
      <c r="C298" s="15"/>
      <c r="D298" s="15"/>
      <c r="E298" s="15"/>
      <c r="F298" s="15"/>
    </row>
    <row r="299" spans="2:6" x14ac:dyDescent="0.25">
      <c r="B299" s="15"/>
      <c r="C299" s="15"/>
      <c r="D299" s="15"/>
      <c r="E299" s="15"/>
      <c r="F299" s="15"/>
    </row>
    <row r="300" spans="2:6" x14ac:dyDescent="0.25">
      <c r="B300" s="15"/>
      <c r="C300" s="15"/>
      <c r="D300" s="15"/>
      <c r="E300" s="15"/>
      <c r="F300" s="15"/>
    </row>
    <row r="301" spans="2:6" x14ac:dyDescent="0.25">
      <c r="B301" s="15"/>
      <c r="C301" s="15"/>
      <c r="D301" s="15"/>
      <c r="E301" s="15"/>
      <c r="F301" s="15"/>
    </row>
    <row r="302" spans="2:6" x14ac:dyDescent="0.25">
      <c r="B302" s="15"/>
      <c r="C302" s="15"/>
      <c r="D302" s="15"/>
      <c r="E302" s="15"/>
      <c r="F302" s="15"/>
    </row>
    <row r="303" spans="2:6" x14ac:dyDescent="0.25">
      <c r="B303" s="15"/>
      <c r="C303" s="15"/>
      <c r="D303" s="15"/>
      <c r="E303" s="15"/>
      <c r="F303" s="15"/>
    </row>
    <row r="304" spans="2:6" x14ac:dyDescent="0.25">
      <c r="B304" s="15"/>
      <c r="C304" s="15"/>
      <c r="D304" s="15"/>
      <c r="E304" s="15"/>
      <c r="F304" s="15"/>
    </row>
    <row r="305" spans="2:6" x14ac:dyDescent="0.25">
      <c r="B305" s="15"/>
      <c r="C305" s="15"/>
      <c r="D305" s="15"/>
      <c r="E305" s="15"/>
      <c r="F305" s="15"/>
    </row>
    <row r="306" spans="2:6" x14ac:dyDescent="0.25">
      <c r="B306" s="15"/>
      <c r="C306" s="15"/>
      <c r="D306" s="15"/>
      <c r="E306" s="15"/>
      <c r="F306" s="15"/>
    </row>
    <row r="307" spans="2:6" x14ac:dyDescent="0.25">
      <c r="B307" s="15"/>
      <c r="C307" s="15"/>
      <c r="D307" s="15"/>
      <c r="E307" s="15"/>
      <c r="F307" s="15"/>
    </row>
    <row r="308" spans="2:6" x14ac:dyDescent="0.25">
      <c r="B308" s="15"/>
      <c r="C308" s="15"/>
      <c r="D308" s="15"/>
      <c r="E308" s="15"/>
      <c r="F308" s="15"/>
    </row>
    <row r="309" spans="2:6" x14ac:dyDescent="0.25">
      <c r="B309" s="15"/>
      <c r="C309" s="15"/>
      <c r="D309" s="15"/>
      <c r="E309" s="15"/>
      <c r="F309" s="15"/>
    </row>
    <row r="310" spans="2:6" x14ac:dyDescent="0.25">
      <c r="B310" s="15"/>
      <c r="C310" s="15"/>
      <c r="D310" s="15"/>
      <c r="E310" s="15"/>
      <c r="F310" s="15"/>
    </row>
    <row r="311" spans="2:6" x14ac:dyDescent="0.25">
      <c r="B311" s="15"/>
      <c r="C311" s="15"/>
      <c r="D311" s="15"/>
      <c r="E311" s="15"/>
      <c r="F311" s="15"/>
    </row>
    <row r="312" spans="2:6" x14ac:dyDescent="0.25">
      <c r="B312" s="15"/>
      <c r="C312" s="15"/>
      <c r="D312" s="15"/>
      <c r="E312" s="15"/>
      <c r="F312" s="15"/>
    </row>
    <row r="313" spans="2:6" x14ac:dyDescent="0.25">
      <c r="B313" s="15"/>
      <c r="C313" s="15"/>
      <c r="D313" s="15"/>
      <c r="E313" s="15"/>
      <c r="F313" s="15"/>
    </row>
    <row r="314" spans="2:6" x14ac:dyDescent="0.25">
      <c r="B314" s="15"/>
      <c r="C314" s="15"/>
      <c r="D314" s="15"/>
      <c r="E314" s="15"/>
      <c r="F314" s="15"/>
    </row>
    <row r="315" spans="2:6" x14ac:dyDescent="0.25">
      <c r="B315" s="15"/>
      <c r="C315" s="15"/>
      <c r="D315" s="15"/>
      <c r="E315" s="15"/>
      <c r="F315" s="15"/>
    </row>
    <row r="316" spans="2:6" x14ac:dyDescent="0.25">
      <c r="B316" s="15"/>
      <c r="C316" s="15"/>
      <c r="D316" s="15"/>
      <c r="E316" s="15"/>
      <c r="F316" s="15"/>
    </row>
    <row r="317" spans="2:6" x14ac:dyDescent="0.25">
      <c r="B317" s="15"/>
      <c r="C317" s="15"/>
      <c r="D317" s="15"/>
      <c r="E317" s="15"/>
      <c r="F317" s="15"/>
    </row>
    <row r="318" spans="2:6" x14ac:dyDescent="0.25">
      <c r="B318" s="15"/>
      <c r="C318" s="15"/>
      <c r="D318" s="15"/>
      <c r="E318" s="15"/>
      <c r="F318" s="15"/>
    </row>
    <row r="319" spans="2:6" x14ac:dyDescent="0.25">
      <c r="B319" s="15"/>
      <c r="C319" s="15"/>
      <c r="D319" s="15"/>
      <c r="E319" s="15"/>
      <c r="F319" s="15"/>
    </row>
    <row r="320" spans="2:6" x14ac:dyDescent="0.25">
      <c r="B320" s="15"/>
      <c r="C320" s="15"/>
      <c r="D320" s="15"/>
      <c r="E320" s="15"/>
      <c r="F320" s="15"/>
    </row>
    <row r="321" spans="2:6" x14ac:dyDescent="0.25">
      <c r="B321" s="15"/>
      <c r="C321" s="15"/>
      <c r="D321" s="15"/>
      <c r="E321" s="15"/>
      <c r="F321" s="15"/>
    </row>
    <row r="322" spans="2:6" x14ac:dyDescent="0.25">
      <c r="B322" s="15"/>
      <c r="C322" s="15"/>
      <c r="D322" s="15"/>
      <c r="E322" s="15"/>
      <c r="F322" s="15"/>
    </row>
    <row r="323" spans="2:6" x14ac:dyDescent="0.25">
      <c r="B323" s="15"/>
      <c r="C323" s="15"/>
      <c r="D323" s="15"/>
      <c r="E323" s="15"/>
      <c r="F323" s="15"/>
    </row>
    <row r="324" spans="2:6" x14ac:dyDescent="0.25">
      <c r="B324" s="15"/>
      <c r="C324" s="15"/>
      <c r="D324" s="15"/>
      <c r="E324" s="15"/>
      <c r="F324" s="15"/>
    </row>
    <row r="325" spans="2:6" x14ac:dyDescent="0.25">
      <c r="B325" s="15"/>
      <c r="C325" s="15"/>
      <c r="D325" s="15"/>
      <c r="E325" s="15"/>
      <c r="F325" s="15"/>
    </row>
    <row r="326" spans="2:6" x14ac:dyDescent="0.25">
      <c r="B326" s="15"/>
      <c r="C326" s="15"/>
      <c r="D326" s="15"/>
      <c r="E326" s="15"/>
      <c r="F326" s="15"/>
    </row>
    <row r="327" spans="2:6" x14ac:dyDescent="0.25">
      <c r="B327" s="15"/>
      <c r="C327" s="15"/>
      <c r="D327" s="15"/>
      <c r="E327" s="15"/>
      <c r="F327" s="15"/>
    </row>
    <row r="328" spans="2:6" x14ac:dyDescent="0.25">
      <c r="B328" s="15"/>
      <c r="C328" s="15"/>
      <c r="D328" s="15"/>
      <c r="E328" s="15"/>
      <c r="F328" s="15"/>
    </row>
    <row r="329" spans="2:6" x14ac:dyDescent="0.25">
      <c r="B329" s="15"/>
      <c r="C329" s="15"/>
      <c r="D329" s="15"/>
      <c r="E329" s="15"/>
      <c r="F329" s="15"/>
    </row>
    <row r="330" spans="2:6" x14ac:dyDescent="0.25">
      <c r="B330" s="15"/>
      <c r="C330" s="15"/>
      <c r="D330" s="15"/>
      <c r="E330" s="15"/>
      <c r="F330" s="15"/>
    </row>
    <row r="331" spans="2:6" x14ac:dyDescent="0.25">
      <c r="B331" s="15"/>
      <c r="C331" s="15"/>
      <c r="D331" s="15"/>
      <c r="E331" s="15"/>
      <c r="F331" s="15"/>
    </row>
    <row r="332" spans="2:6" x14ac:dyDescent="0.25">
      <c r="B332" s="15"/>
      <c r="C332" s="15"/>
      <c r="D332" s="15"/>
      <c r="E332" s="15"/>
      <c r="F332" s="15"/>
    </row>
    <row r="333" spans="2:6" x14ac:dyDescent="0.25">
      <c r="B333" s="15"/>
      <c r="C333" s="15"/>
      <c r="D333" s="15"/>
      <c r="E333" s="15"/>
      <c r="F333" s="15"/>
    </row>
    <row r="334" spans="2:6" x14ac:dyDescent="0.25">
      <c r="B334" s="15"/>
      <c r="C334" s="15"/>
      <c r="D334" s="15"/>
      <c r="E334" s="15"/>
      <c r="F334" s="15"/>
    </row>
    <row r="335" spans="2:6" x14ac:dyDescent="0.25">
      <c r="B335" s="15"/>
      <c r="C335" s="15"/>
      <c r="D335" s="15"/>
      <c r="E335" s="15"/>
      <c r="F335" s="15"/>
    </row>
    <row r="336" spans="2:6" x14ac:dyDescent="0.25">
      <c r="B336" s="15"/>
      <c r="C336" s="15"/>
      <c r="D336" s="15"/>
      <c r="E336" s="15"/>
      <c r="F336" s="15"/>
    </row>
    <row r="337" spans="2:6" x14ac:dyDescent="0.25">
      <c r="B337" s="15"/>
      <c r="C337" s="15"/>
      <c r="D337" s="15"/>
      <c r="E337" s="15"/>
      <c r="F337" s="15"/>
    </row>
    <row r="338" spans="2:6" x14ac:dyDescent="0.25">
      <c r="B338" s="15"/>
      <c r="C338" s="15"/>
      <c r="D338" s="15"/>
      <c r="E338" s="15"/>
      <c r="F338" s="15"/>
    </row>
    <row r="339" spans="2:6" x14ac:dyDescent="0.25">
      <c r="B339" s="15"/>
      <c r="C339" s="15"/>
      <c r="D339" s="15"/>
      <c r="E339" s="15"/>
      <c r="F339" s="15"/>
    </row>
    <row r="340" spans="2:6" x14ac:dyDescent="0.25">
      <c r="B340" s="15"/>
      <c r="C340" s="15"/>
      <c r="D340" s="15"/>
      <c r="E340" s="15"/>
      <c r="F340" s="15"/>
    </row>
    <row r="341" spans="2:6" x14ac:dyDescent="0.25">
      <c r="B341" s="15"/>
      <c r="C341" s="15"/>
      <c r="D341" s="15"/>
      <c r="E341" s="15"/>
      <c r="F341" s="15"/>
    </row>
    <row r="342" spans="2:6" x14ac:dyDescent="0.25">
      <c r="B342" s="15"/>
      <c r="C342" s="15"/>
      <c r="D342" s="15"/>
      <c r="E342" s="15"/>
      <c r="F342" s="15"/>
    </row>
    <row r="343" spans="2:6" x14ac:dyDescent="0.25">
      <c r="B343" s="15"/>
      <c r="C343" s="15"/>
      <c r="D343" s="15"/>
      <c r="E343" s="15"/>
      <c r="F343" s="15"/>
    </row>
    <row r="344" spans="2:6" x14ac:dyDescent="0.25">
      <c r="B344" s="15"/>
      <c r="C344" s="15"/>
      <c r="D344" s="15"/>
      <c r="E344" s="15"/>
      <c r="F344" s="15"/>
    </row>
    <row r="345" spans="2:6" x14ac:dyDescent="0.25">
      <c r="B345" s="15"/>
      <c r="C345" s="15"/>
      <c r="D345" s="15"/>
      <c r="E345" s="15"/>
      <c r="F345" s="15"/>
    </row>
    <row r="346" spans="2:6" x14ac:dyDescent="0.25">
      <c r="B346" s="15"/>
      <c r="C346" s="15"/>
      <c r="D346" s="15"/>
      <c r="E346" s="15"/>
      <c r="F346" s="15"/>
    </row>
    <row r="347" spans="2:6" x14ac:dyDescent="0.25">
      <c r="B347" s="15"/>
      <c r="C347" s="15"/>
      <c r="D347" s="15"/>
      <c r="E347" s="15"/>
      <c r="F347" s="15"/>
    </row>
    <row r="348" spans="2:6" x14ac:dyDescent="0.25">
      <c r="B348" s="15"/>
      <c r="C348" s="15"/>
      <c r="D348" s="15"/>
      <c r="E348" s="15"/>
      <c r="F348" s="15"/>
    </row>
    <row r="349" spans="2:6" x14ac:dyDescent="0.25">
      <c r="B349" s="15"/>
      <c r="C349" s="15"/>
      <c r="D349" s="15"/>
      <c r="E349" s="15"/>
      <c r="F349" s="15"/>
    </row>
    <row r="350" spans="2:6" x14ac:dyDescent="0.25">
      <c r="B350" s="15"/>
      <c r="C350" s="15"/>
      <c r="D350" s="15"/>
      <c r="E350" s="15"/>
      <c r="F350" s="15"/>
    </row>
    <row r="351" spans="2:6" x14ac:dyDescent="0.25">
      <c r="B351" s="15"/>
      <c r="C351" s="15"/>
      <c r="D351" s="15"/>
      <c r="E351" s="15"/>
      <c r="F351" s="15"/>
    </row>
    <row r="352" spans="2:6" x14ac:dyDescent="0.25">
      <c r="B352" s="15"/>
      <c r="C352" s="15"/>
      <c r="D352" s="15"/>
      <c r="E352" s="15"/>
      <c r="F352" s="15"/>
    </row>
    <row r="353" spans="2:6" x14ac:dyDescent="0.25">
      <c r="B353" s="15"/>
      <c r="C353" s="15"/>
      <c r="D353" s="15"/>
      <c r="E353" s="15"/>
      <c r="F353" s="15"/>
    </row>
    <row r="354" spans="2:6" x14ac:dyDescent="0.25">
      <c r="B354" s="15"/>
      <c r="C354" s="15"/>
      <c r="D354" s="15"/>
      <c r="E354" s="15"/>
      <c r="F354" s="15"/>
    </row>
    <row r="355" spans="2:6" x14ac:dyDescent="0.25">
      <c r="B355" s="15"/>
      <c r="C355" s="15"/>
      <c r="D355" s="15"/>
      <c r="E355" s="15"/>
      <c r="F355" s="15"/>
    </row>
    <row r="356" spans="2:6" x14ac:dyDescent="0.25">
      <c r="B356" s="15"/>
      <c r="C356" s="15"/>
      <c r="D356" s="15"/>
      <c r="E356" s="15"/>
      <c r="F356" s="15"/>
    </row>
    <row r="357" spans="2:6" x14ac:dyDescent="0.25">
      <c r="B357" s="15"/>
      <c r="C357" s="15"/>
      <c r="D357" s="15"/>
      <c r="E357" s="15"/>
      <c r="F357" s="15"/>
    </row>
    <row r="358" spans="2:6" x14ac:dyDescent="0.25">
      <c r="B358" s="15"/>
      <c r="C358" s="15"/>
      <c r="D358" s="15"/>
      <c r="E358" s="15"/>
      <c r="F358" s="15"/>
    </row>
    <row r="359" spans="2:6" x14ac:dyDescent="0.25">
      <c r="B359" s="15"/>
      <c r="C359" s="15"/>
      <c r="D359" s="15"/>
      <c r="E359" s="15"/>
      <c r="F359" s="15"/>
    </row>
    <row r="360" spans="2:6" x14ac:dyDescent="0.25">
      <c r="B360" s="15"/>
      <c r="C360" s="15"/>
      <c r="D360" s="15"/>
      <c r="E360" s="15"/>
      <c r="F360" s="15"/>
    </row>
    <row r="361" spans="2:6" x14ac:dyDescent="0.25">
      <c r="B361" s="15"/>
      <c r="C361" s="15"/>
      <c r="D361" s="15"/>
      <c r="E361" s="15"/>
      <c r="F361" s="15"/>
    </row>
    <row r="362" spans="2:6" x14ac:dyDescent="0.25">
      <c r="B362" s="15"/>
      <c r="C362" s="15"/>
      <c r="D362" s="15"/>
      <c r="E362" s="15"/>
      <c r="F362" s="15"/>
    </row>
    <row r="363" spans="2:6" x14ac:dyDescent="0.25">
      <c r="B363" s="15"/>
      <c r="C363" s="15"/>
      <c r="D363" s="15"/>
      <c r="E363" s="15"/>
      <c r="F363" s="15"/>
    </row>
    <row r="364" spans="2:6" x14ac:dyDescent="0.25">
      <c r="B364" s="15"/>
      <c r="C364" s="15"/>
      <c r="D364" s="15"/>
      <c r="E364" s="15"/>
      <c r="F364" s="15"/>
    </row>
    <row r="365" spans="2:6" x14ac:dyDescent="0.25">
      <c r="B365" s="15"/>
      <c r="C365" s="15"/>
      <c r="D365" s="15"/>
      <c r="E365" s="15"/>
      <c r="F365" s="15"/>
    </row>
    <row r="366" spans="2:6" x14ac:dyDescent="0.25">
      <c r="B366" s="15"/>
      <c r="C366" s="15"/>
      <c r="D366" s="15"/>
      <c r="E366" s="15"/>
      <c r="F366" s="15"/>
    </row>
    <row r="367" spans="2:6" x14ac:dyDescent="0.25">
      <c r="B367" s="15"/>
      <c r="C367" s="15"/>
      <c r="D367" s="15"/>
      <c r="E367" s="15"/>
      <c r="F367" s="15"/>
    </row>
    <row r="368" spans="2:6" x14ac:dyDescent="0.25">
      <c r="B368" s="15"/>
      <c r="C368" s="15"/>
      <c r="D368" s="15"/>
      <c r="E368" s="15"/>
      <c r="F368" s="15"/>
    </row>
    <row r="369" spans="2:6" x14ac:dyDescent="0.25">
      <c r="B369" s="15"/>
      <c r="C369" s="15"/>
      <c r="D369" s="15"/>
      <c r="E369" s="15"/>
      <c r="F369" s="15"/>
    </row>
    <row r="370" spans="2:6" x14ac:dyDescent="0.25">
      <c r="B370" s="15"/>
      <c r="C370" s="15"/>
      <c r="D370" s="15"/>
      <c r="E370" s="15"/>
      <c r="F370" s="15"/>
    </row>
    <row r="371" spans="2:6" x14ac:dyDescent="0.25">
      <c r="B371" s="15"/>
      <c r="C371" s="15"/>
      <c r="D371" s="15"/>
      <c r="E371" s="15"/>
      <c r="F371" s="15"/>
    </row>
    <row r="372" spans="2:6" x14ac:dyDescent="0.25">
      <c r="B372" s="15"/>
      <c r="C372" s="15"/>
      <c r="D372" s="15"/>
      <c r="E372" s="15"/>
      <c r="F372" s="15"/>
    </row>
    <row r="373" spans="2:6" x14ac:dyDescent="0.25">
      <c r="B373" s="15"/>
      <c r="C373" s="15"/>
      <c r="D373" s="15"/>
      <c r="E373" s="15"/>
      <c r="F373" s="15"/>
    </row>
    <row r="374" spans="2:6" x14ac:dyDescent="0.25">
      <c r="B374" s="15"/>
      <c r="C374" s="15"/>
      <c r="D374" s="15"/>
      <c r="E374" s="15"/>
      <c r="F374" s="15"/>
    </row>
    <row r="375" spans="2:6" x14ac:dyDescent="0.25">
      <c r="B375" s="15"/>
      <c r="C375" s="15"/>
      <c r="D375" s="15"/>
      <c r="E375" s="15"/>
      <c r="F375" s="15"/>
    </row>
    <row r="376" spans="2:6" x14ac:dyDescent="0.25">
      <c r="B376" s="15"/>
      <c r="C376" s="15"/>
      <c r="D376" s="15"/>
      <c r="E376" s="15"/>
      <c r="F376" s="15"/>
    </row>
    <row r="377" spans="2:6" x14ac:dyDescent="0.25">
      <c r="B377" s="15"/>
      <c r="C377" s="15"/>
      <c r="D377" s="15"/>
      <c r="E377" s="15"/>
      <c r="F377" s="15"/>
    </row>
    <row r="378" spans="2:6" x14ac:dyDescent="0.25">
      <c r="B378" s="15"/>
      <c r="C378" s="15"/>
      <c r="D378" s="15"/>
      <c r="E378" s="15"/>
      <c r="F378" s="15"/>
    </row>
    <row r="379" spans="2:6" x14ac:dyDescent="0.25">
      <c r="B379" s="15"/>
      <c r="C379" s="15"/>
      <c r="D379" s="15"/>
      <c r="E379" s="15"/>
      <c r="F379" s="15"/>
    </row>
    <row r="380" spans="2:6" x14ac:dyDescent="0.25">
      <c r="B380" s="15"/>
      <c r="C380" s="15"/>
      <c r="D380" s="15"/>
      <c r="E380" s="15"/>
      <c r="F380" s="15"/>
    </row>
    <row r="381" spans="2:6" x14ac:dyDescent="0.25">
      <c r="B381" s="15"/>
      <c r="C381" s="15"/>
      <c r="D381" s="15"/>
      <c r="E381" s="15"/>
      <c r="F381" s="15"/>
    </row>
    <row r="382" spans="2:6" x14ac:dyDescent="0.25">
      <c r="B382" s="15"/>
      <c r="C382" s="15"/>
      <c r="D382" s="15"/>
      <c r="E382" s="15"/>
      <c r="F382" s="15"/>
    </row>
    <row r="383" spans="2:6" x14ac:dyDescent="0.25">
      <c r="B383" s="15"/>
      <c r="C383" s="15"/>
      <c r="D383" s="15"/>
      <c r="E383" s="15"/>
      <c r="F383" s="15"/>
    </row>
    <row r="384" spans="2:6" x14ac:dyDescent="0.25">
      <c r="B384" s="15"/>
      <c r="C384" s="15"/>
      <c r="D384" s="15"/>
      <c r="E384" s="15"/>
      <c r="F384" s="15"/>
    </row>
    <row r="385" spans="2:6" x14ac:dyDescent="0.25">
      <c r="B385" s="15"/>
      <c r="C385" s="15"/>
      <c r="D385" s="15"/>
      <c r="E385" s="15"/>
      <c r="F385" s="15"/>
    </row>
    <row r="386" spans="2:6" x14ac:dyDescent="0.25">
      <c r="B386" s="15"/>
      <c r="C386" s="15"/>
      <c r="D386" s="15"/>
      <c r="E386" s="15"/>
      <c r="F386" s="15"/>
    </row>
    <row r="387" spans="2:6" x14ac:dyDescent="0.25">
      <c r="B387" s="15"/>
      <c r="C387" s="15"/>
      <c r="D387" s="15"/>
      <c r="E387" s="15"/>
      <c r="F387" s="15"/>
    </row>
    <row r="388" spans="2:6" x14ac:dyDescent="0.25">
      <c r="B388" s="15"/>
      <c r="C388" s="15"/>
      <c r="D388" s="15"/>
      <c r="E388" s="15"/>
      <c r="F388" s="15"/>
    </row>
    <row r="389" spans="2:6" x14ac:dyDescent="0.25">
      <c r="B389" s="15"/>
      <c r="C389" s="15"/>
      <c r="D389" s="15"/>
      <c r="E389" s="15"/>
      <c r="F389" s="15"/>
    </row>
    <row r="390" spans="2:6" x14ac:dyDescent="0.25">
      <c r="B390" s="15"/>
      <c r="C390" s="15"/>
      <c r="D390" s="15"/>
      <c r="E390" s="15"/>
      <c r="F390" s="15"/>
    </row>
    <row r="391" spans="2:6" x14ac:dyDescent="0.25">
      <c r="B391" s="15"/>
      <c r="C391" s="15"/>
      <c r="D391" s="15"/>
      <c r="E391" s="15"/>
      <c r="F391" s="15"/>
    </row>
    <row r="392" spans="2:6" x14ac:dyDescent="0.25">
      <c r="B392" s="15"/>
      <c r="C392" s="15"/>
      <c r="D392" s="15"/>
      <c r="E392" s="15"/>
      <c r="F392" s="15"/>
    </row>
    <row r="393" spans="2:6" x14ac:dyDescent="0.25">
      <c r="B393" s="15"/>
      <c r="C393" s="15"/>
      <c r="D393" s="15"/>
      <c r="E393" s="15"/>
      <c r="F393" s="15"/>
    </row>
    <row r="394" spans="2:6" x14ac:dyDescent="0.25">
      <c r="B394" s="15"/>
      <c r="C394" s="15"/>
      <c r="D394" s="15"/>
      <c r="E394" s="15"/>
      <c r="F394" s="15"/>
    </row>
    <row r="395" spans="2:6" x14ac:dyDescent="0.25">
      <c r="B395" s="15"/>
      <c r="C395" s="15"/>
      <c r="D395" s="15"/>
      <c r="E395" s="15"/>
      <c r="F395" s="15"/>
    </row>
    <row r="396" spans="2:6" x14ac:dyDescent="0.25">
      <c r="B396" s="15"/>
      <c r="C396" s="15"/>
      <c r="D396" s="15"/>
      <c r="E396" s="15"/>
      <c r="F396" s="15"/>
    </row>
    <row r="397" spans="2:6" x14ac:dyDescent="0.25">
      <c r="B397" s="15"/>
      <c r="C397" s="15"/>
      <c r="D397" s="15"/>
      <c r="E397" s="15"/>
      <c r="F397" s="15"/>
    </row>
    <row r="398" spans="2:6" x14ac:dyDescent="0.25">
      <c r="B398" s="15"/>
      <c r="C398" s="15"/>
      <c r="D398" s="15"/>
      <c r="E398" s="15"/>
      <c r="F398" s="15"/>
    </row>
    <row r="399" spans="2:6" x14ac:dyDescent="0.25">
      <c r="B399" s="15"/>
      <c r="C399" s="15"/>
      <c r="D399" s="15"/>
      <c r="E399" s="15"/>
      <c r="F399" s="15"/>
    </row>
    <row r="400" spans="2:6" x14ac:dyDescent="0.25">
      <c r="B400" s="15"/>
      <c r="C400" s="15"/>
      <c r="D400" s="15"/>
      <c r="E400" s="15"/>
      <c r="F400" s="15"/>
    </row>
    <row r="401" spans="2:6" x14ac:dyDescent="0.25">
      <c r="B401" s="15"/>
      <c r="C401" s="15"/>
      <c r="D401" s="15"/>
      <c r="E401" s="15"/>
      <c r="F401" s="15"/>
    </row>
    <row r="402" spans="2:6" x14ac:dyDescent="0.25">
      <c r="B402" s="15"/>
      <c r="C402" s="15"/>
      <c r="D402" s="15"/>
      <c r="E402" s="15"/>
      <c r="F402" s="15"/>
    </row>
    <row r="403" spans="2:6" x14ac:dyDescent="0.25">
      <c r="B403" s="15"/>
      <c r="C403" s="15"/>
      <c r="D403" s="15"/>
      <c r="E403" s="15"/>
      <c r="F403" s="15"/>
    </row>
    <row r="404" spans="2:6" x14ac:dyDescent="0.25">
      <c r="B404" s="15"/>
      <c r="C404" s="15"/>
      <c r="D404" s="15"/>
      <c r="E404" s="15"/>
      <c r="F404" s="15"/>
    </row>
    <row r="405" spans="2:6" x14ac:dyDescent="0.25">
      <c r="B405" s="15"/>
      <c r="C405" s="15"/>
      <c r="D405" s="15"/>
      <c r="E405" s="15"/>
      <c r="F405" s="15"/>
    </row>
    <row r="406" spans="2:6" x14ac:dyDescent="0.25">
      <c r="B406" s="15"/>
      <c r="C406" s="15"/>
      <c r="D406" s="15"/>
      <c r="E406" s="15"/>
      <c r="F406" s="15"/>
    </row>
    <row r="407" spans="2:6" x14ac:dyDescent="0.25">
      <c r="B407" s="15"/>
      <c r="C407" s="15"/>
      <c r="D407" s="15"/>
      <c r="E407" s="15"/>
      <c r="F407" s="15"/>
    </row>
    <row r="408" spans="2:6" x14ac:dyDescent="0.25">
      <c r="B408" s="15"/>
      <c r="C408" s="15"/>
      <c r="D408" s="15"/>
      <c r="E408" s="15"/>
      <c r="F408" s="15"/>
    </row>
    <row r="409" spans="2:6" x14ac:dyDescent="0.25">
      <c r="B409" s="15"/>
      <c r="C409" s="15"/>
      <c r="D409" s="15"/>
      <c r="E409" s="15"/>
      <c r="F409" s="15"/>
    </row>
    <row r="410" spans="2:6" x14ac:dyDescent="0.25">
      <c r="B410" s="15"/>
      <c r="C410" s="15"/>
      <c r="D410" s="15"/>
      <c r="E410" s="15"/>
      <c r="F410" s="15"/>
    </row>
    <row r="411" spans="2:6" x14ac:dyDescent="0.25">
      <c r="B411" s="15"/>
      <c r="C411" s="15"/>
      <c r="D411" s="15"/>
      <c r="E411" s="15"/>
      <c r="F411" s="15"/>
    </row>
    <row r="412" spans="2:6" x14ac:dyDescent="0.25">
      <c r="B412" s="15"/>
      <c r="C412" s="15"/>
      <c r="D412" s="15"/>
      <c r="E412" s="15"/>
      <c r="F412" s="15"/>
    </row>
    <row r="413" spans="2:6" x14ac:dyDescent="0.25">
      <c r="B413" s="15"/>
      <c r="C413" s="15"/>
      <c r="D413" s="15"/>
      <c r="E413" s="15"/>
      <c r="F413" s="15"/>
    </row>
    <row r="414" spans="2:6" x14ac:dyDescent="0.25">
      <c r="B414" s="15"/>
      <c r="C414" s="15"/>
      <c r="D414" s="15"/>
      <c r="E414" s="15"/>
      <c r="F414" s="15"/>
    </row>
    <row r="415" spans="2:6" x14ac:dyDescent="0.25">
      <c r="B415" s="15"/>
      <c r="C415" s="15"/>
      <c r="D415" s="15"/>
      <c r="E415" s="15"/>
      <c r="F415" s="15"/>
    </row>
    <row r="416" spans="2:6" x14ac:dyDescent="0.25">
      <c r="B416" s="15"/>
      <c r="C416" s="15"/>
      <c r="D416" s="15"/>
      <c r="E416" s="15"/>
      <c r="F416" s="15"/>
    </row>
    <row r="417" spans="2:6" x14ac:dyDescent="0.25">
      <c r="B417" s="15"/>
      <c r="C417" s="15"/>
      <c r="D417" s="15"/>
      <c r="E417" s="15"/>
      <c r="F417" s="15"/>
    </row>
    <row r="418" spans="2:6" x14ac:dyDescent="0.25">
      <c r="B418" s="15"/>
      <c r="C418" s="15"/>
      <c r="D418" s="15"/>
      <c r="E418" s="15"/>
      <c r="F418" s="15"/>
    </row>
    <row r="419" spans="2:6" x14ac:dyDescent="0.25">
      <c r="B419" s="15"/>
      <c r="C419" s="15"/>
      <c r="D419" s="15"/>
      <c r="E419" s="15"/>
      <c r="F419" s="15"/>
    </row>
    <row r="420" spans="2:6" x14ac:dyDescent="0.25">
      <c r="B420" s="15"/>
      <c r="C420" s="15"/>
      <c r="D420" s="15"/>
      <c r="E420" s="15"/>
      <c r="F420" s="15"/>
    </row>
    <row r="421" spans="2:6" x14ac:dyDescent="0.25">
      <c r="B421" s="15"/>
      <c r="C421" s="15"/>
      <c r="D421" s="15"/>
      <c r="E421" s="15"/>
      <c r="F421" s="15"/>
    </row>
    <row r="422" spans="2:6" x14ac:dyDescent="0.25">
      <c r="B422" s="15"/>
      <c r="C422" s="15"/>
      <c r="D422" s="15"/>
      <c r="E422" s="15"/>
      <c r="F422" s="15"/>
    </row>
    <row r="423" spans="2:6" x14ac:dyDescent="0.25">
      <c r="B423" s="15"/>
      <c r="C423" s="15"/>
      <c r="D423" s="15"/>
      <c r="E423" s="15"/>
      <c r="F423" s="15"/>
    </row>
    <row r="424" spans="2:6" x14ac:dyDescent="0.25">
      <c r="B424" s="15"/>
      <c r="C424" s="15"/>
      <c r="D424" s="15"/>
      <c r="E424" s="15"/>
      <c r="F424" s="15"/>
    </row>
    <row r="425" spans="2:6" x14ac:dyDescent="0.25">
      <c r="B425" s="15"/>
      <c r="C425" s="15"/>
      <c r="D425" s="15"/>
      <c r="E425" s="15"/>
      <c r="F425" s="15"/>
    </row>
    <row r="426" spans="2:6" x14ac:dyDescent="0.25">
      <c r="B426" s="15"/>
      <c r="C426" s="15"/>
      <c r="D426" s="15"/>
      <c r="E426" s="15"/>
      <c r="F426" s="15"/>
    </row>
    <row r="427" spans="2:6" x14ac:dyDescent="0.25">
      <c r="B427" s="15"/>
      <c r="C427" s="15"/>
      <c r="D427" s="15"/>
      <c r="E427" s="15"/>
      <c r="F427" s="15"/>
    </row>
    <row r="428" spans="2:6" x14ac:dyDescent="0.25">
      <c r="B428" s="15"/>
      <c r="C428" s="15"/>
      <c r="D428" s="15"/>
      <c r="E428" s="15"/>
      <c r="F428" s="15"/>
    </row>
    <row r="429" spans="2:6" x14ac:dyDescent="0.25">
      <c r="B429" s="15"/>
      <c r="C429" s="15"/>
      <c r="D429" s="15"/>
      <c r="E429" s="15"/>
      <c r="F429" s="15"/>
    </row>
    <row r="430" spans="2:6" x14ac:dyDescent="0.25">
      <c r="B430" s="15"/>
      <c r="C430" s="15"/>
      <c r="D430" s="15"/>
      <c r="E430" s="15"/>
      <c r="F430" s="15"/>
    </row>
    <row r="431" spans="2:6" x14ac:dyDescent="0.25">
      <c r="B431" s="15"/>
      <c r="C431" s="15"/>
      <c r="D431" s="15"/>
      <c r="E431" s="15"/>
      <c r="F431" s="15"/>
    </row>
    <row r="432" spans="2:6" x14ac:dyDescent="0.25">
      <c r="B432" s="15"/>
      <c r="C432" s="15"/>
      <c r="D432" s="15"/>
      <c r="E432" s="15"/>
      <c r="F432" s="15"/>
    </row>
    <row r="433" spans="2:6" x14ac:dyDescent="0.25">
      <c r="B433" s="15"/>
      <c r="C433" s="15"/>
      <c r="D433" s="15"/>
      <c r="E433" s="15"/>
      <c r="F433" s="15"/>
    </row>
    <row r="434" spans="2:6" x14ac:dyDescent="0.25">
      <c r="B434" s="15"/>
      <c r="C434" s="15"/>
      <c r="D434" s="15"/>
      <c r="E434" s="15"/>
      <c r="F434" s="15"/>
    </row>
    <row r="435" spans="2:6" x14ac:dyDescent="0.25">
      <c r="B435" s="15"/>
      <c r="C435" s="15"/>
      <c r="D435" s="15"/>
      <c r="E435" s="15"/>
      <c r="F435" s="15"/>
    </row>
    <row r="436" spans="2:6" x14ac:dyDescent="0.25">
      <c r="B436" s="15"/>
      <c r="C436" s="15"/>
      <c r="D436" s="15"/>
      <c r="E436" s="15"/>
      <c r="F436" s="15"/>
    </row>
    <row r="437" spans="2:6" x14ac:dyDescent="0.25">
      <c r="B437" s="15"/>
      <c r="C437" s="15"/>
      <c r="D437" s="15"/>
      <c r="E437" s="15"/>
      <c r="F437" s="15"/>
    </row>
    <row r="438" spans="2:6" x14ac:dyDescent="0.25">
      <c r="B438" s="15"/>
      <c r="C438" s="15"/>
      <c r="D438" s="15"/>
      <c r="E438" s="15"/>
      <c r="F438" s="15"/>
    </row>
    <row r="439" spans="2:6" x14ac:dyDescent="0.25">
      <c r="B439" s="15"/>
      <c r="C439" s="15"/>
      <c r="D439" s="15"/>
      <c r="E439" s="15"/>
      <c r="F439" s="15"/>
    </row>
    <row r="440" spans="2:6" x14ac:dyDescent="0.25">
      <c r="B440" s="15"/>
      <c r="C440" s="15"/>
      <c r="D440" s="15"/>
      <c r="E440" s="15"/>
      <c r="F440" s="15"/>
    </row>
    <row r="441" spans="2:6" x14ac:dyDescent="0.25">
      <c r="B441" s="15"/>
      <c r="C441" s="15"/>
      <c r="D441" s="15"/>
      <c r="E441" s="15"/>
      <c r="F441" s="15"/>
    </row>
    <row r="442" spans="2:6" x14ac:dyDescent="0.25">
      <c r="B442" s="15"/>
      <c r="C442" s="15"/>
      <c r="D442" s="15"/>
      <c r="E442" s="15"/>
      <c r="F442" s="15"/>
    </row>
    <row r="443" spans="2:6" x14ac:dyDescent="0.25">
      <c r="B443" s="15"/>
      <c r="C443" s="15"/>
      <c r="D443" s="15"/>
      <c r="E443" s="15"/>
      <c r="F443" s="15"/>
    </row>
    <row r="444" spans="2:6" x14ac:dyDescent="0.25">
      <c r="B444" s="15"/>
      <c r="C444" s="15"/>
      <c r="D444" s="15"/>
      <c r="E444" s="15"/>
      <c r="F444" s="15"/>
    </row>
    <row r="445" spans="2:6" x14ac:dyDescent="0.25">
      <c r="B445" s="15"/>
      <c r="C445" s="15"/>
      <c r="D445" s="15"/>
      <c r="E445" s="15"/>
      <c r="F445" s="15"/>
    </row>
    <row r="446" spans="2:6" x14ac:dyDescent="0.25">
      <c r="B446" s="15"/>
      <c r="C446" s="15"/>
      <c r="D446" s="15"/>
      <c r="E446" s="15"/>
      <c r="F446" s="15"/>
    </row>
    <row r="447" spans="2:6" x14ac:dyDescent="0.25">
      <c r="B447" s="15"/>
      <c r="C447" s="15"/>
      <c r="D447" s="15"/>
      <c r="E447" s="15"/>
      <c r="F447" s="15"/>
    </row>
    <row r="448" spans="2:6" x14ac:dyDescent="0.25">
      <c r="B448" s="15"/>
      <c r="C448" s="15"/>
      <c r="D448" s="15"/>
      <c r="E448" s="15"/>
      <c r="F448" s="15"/>
    </row>
    <row r="449" spans="2:6" x14ac:dyDescent="0.25">
      <c r="B449" s="15"/>
      <c r="C449" s="15"/>
      <c r="D449" s="15"/>
      <c r="E449" s="15"/>
      <c r="F449" s="15"/>
    </row>
    <row r="450" spans="2:6" x14ac:dyDescent="0.25">
      <c r="B450" s="15"/>
      <c r="C450" s="15"/>
      <c r="D450" s="15"/>
      <c r="E450" s="15"/>
      <c r="F450" s="15"/>
    </row>
    <row r="451" spans="2:6" x14ac:dyDescent="0.25">
      <c r="B451" s="15"/>
      <c r="C451" s="15"/>
      <c r="D451" s="15"/>
      <c r="E451" s="15"/>
      <c r="F451" s="15"/>
    </row>
    <row r="452" spans="2:6" x14ac:dyDescent="0.25">
      <c r="B452" s="15"/>
      <c r="C452" s="15"/>
      <c r="D452" s="15"/>
      <c r="E452" s="15"/>
      <c r="F452" s="15"/>
    </row>
    <row r="453" spans="2:6" x14ac:dyDescent="0.25">
      <c r="B453" s="15"/>
      <c r="C453" s="15"/>
      <c r="D453" s="15"/>
      <c r="E453" s="15"/>
      <c r="F453" s="15"/>
    </row>
    <row r="454" spans="2:6" x14ac:dyDescent="0.25">
      <c r="B454" s="15"/>
      <c r="C454" s="15"/>
      <c r="D454" s="15"/>
      <c r="E454" s="15"/>
      <c r="F454" s="15"/>
    </row>
    <row r="455" spans="2:6" x14ac:dyDescent="0.25">
      <c r="B455" s="15"/>
      <c r="C455" s="15"/>
      <c r="D455" s="15"/>
      <c r="E455" s="15"/>
      <c r="F455" s="15"/>
    </row>
    <row r="456" spans="2:6" x14ac:dyDescent="0.25">
      <c r="B456" s="15"/>
      <c r="C456" s="15"/>
      <c r="D456" s="15"/>
      <c r="E456" s="15"/>
      <c r="F456" s="15"/>
    </row>
    <row r="457" spans="2:6" x14ac:dyDescent="0.25">
      <c r="B457" s="15"/>
      <c r="C457" s="15"/>
      <c r="D457" s="15"/>
      <c r="E457" s="15"/>
      <c r="F457" s="15"/>
    </row>
    <row r="458" spans="2:6" x14ac:dyDescent="0.25">
      <c r="B458" s="15"/>
      <c r="C458" s="15"/>
      <c r="D458" s="15"/>
      <c r="E458" s="15"/>
      <c r="F458" s="15"/>
    </row>
    <row r="459" spans="2:6" x14ac:dyDescent="0.25">
      <c r="B459" s="15"/>
      <c r="C459" s="15"/>
      <c r="D459" s="15"/>
      <c r="E459" s="15"/>
      <c r="F459" s="15"/>
    </row>
    <row r="460" spans="2:6" x14ac:dyDescent="0.25">
      <c r="B460" s="15"/>
      <c r="C460" s="15"/>
      <c r="D460" s="15"/>
      <c r="E460" s="15"/>
      <c r="F460" s="15"/>
    </row>
    <row r="461" spans="2:6" x14ac:dyDescent="0.25">
      <c r="B461" s="15"/>
      <c r="C461" s="15"/>
      <c r="D461" s="15"/>
      <c r="E461" s="15"/>
      <c r="F461" s="15"/>
    </row>
    <row r="462" spans="2:6" x14ac:dyDescent="0.25">
      <c r="B462" s="15"/>
      <c r="C462" s="15"/>
      <c r="D462" s="15"/>
      <c r="E462" s="15"/>
      <c r="F462" s="15"/>
    </row>
    <row r="463" spans="2:6" x14ac:dyDescent="0.25">
      <c r="B463" s="15"/>
      <c r="C463" s="15"/>
      <c r="D463" s="15"/>
      <c r="E463" s="15"/>
      <c r="F463" s="15"/>
    </row>
    <row r="464" spans="2:6" x14ac:dyDescent="0.25">
      <c r="B464" s="15"/>
      <c r="C464" s="15"/>
      <c r="D464" s="15"/>
      <c r="E464" s="15"/>
      <c r="F464" s="15"/>
    </row>
    <row r="465" spans="2:6" x14ac:dyDescent="0.25">
      <c r="B465" s="15"/>
      <c r="C465" s="15"/>
      <c r="D465" s="15"/>
      <c r="E465" s="15"/>
      <c r="F465" s="15"/>
    </row>
    <row r="466" spans="2:6" x14ac:dyDescent="0.25">
      <c r="B466" s="15"/>
      <c r="C466" s="15"/>
      <c r="D466" s="15"/>
      <c r="E466" s="15"/>
      <c r="F466" s="15"/>
    </row>
    <row r="467" spans="2:6" x14ac:dyDescent="0.25">
      <c r="B467" s="15"/>
      <c r="C467" s="15"/>
      <c r="D467" s="15"/>
      <c r="E467" s="15"/>
      <c r="F467" s="15"/>
    </row>
    <row r="468" spans="2:6" x14ac:dyDescent="0.25">
      <c r="B468" s="15"/>
      <c r="C468" s="15"/>
      <c r="D468" s="15"/>
      <c r="E468" s="15"/>
      <c r="F468" s="15"/>
    </row>
    <row r="469" spans="2:6" x14ac:dyDescent="0.25">
      <c r="B469" s="15"/>
      <c r="C469" s="15"/>
      <c r="D469" s="15"/>
      <c r="E469" s="15"/>
      <c r="F469" s="15"/>
    </row>
    <row r="470" spans="2:6" x14ac:dyDescent="0.25">
      <c r="B470" s="15"/>
      <c r="C470" s="15"/>
      <c r="D470" s="15"/>
      <c r="E470" s="15"/>
      <c r="F470" s="15"/>
    </row>
    <row r="471" spans="2:6" x14ac:dyDescent="0.25">
      <c r="B471" s="15"/>
      <c r="C471" s="15"/>
      <c r="D471" s="15"/>
      <c r="E471" s="15"/>
      <c r="F471" s="15"/>
    </row>
    <row r="472" spans="2:6" x14ac:dyDescent="0.25">
      <c r="B472" s="15"/>
      <c r="C472" s="15"/>
      <c r="D472" s="15"/>
      <c r="E472" s="15"/>
      <c r="F472" s="15"/>
    </row>
    <row r="473" spans="2:6" x14ac:dyDescent="0.25">
      <c r="B473" s="15"/>
      <c r="C473" s="15"/>
      <c r="D473" s="15"/>
      <c r="E473" s="15"/>
      <c r="F473" s="15"/>
    </row>
    <row r="474" spans="2:6" x14ac:dyDescent="0.25">
      <c r="B474" s="15"/>
      <c r="C474" s="15"/>
      <c r="D474" s="15"/>
      <c r="E474" s="15"/>
      <c r="F474" s="15"/>
    </row>
    <row r="475" spans="2:6" x14ac:dyDescent="0.25">
      <c r="B475" s="15"/>
      <c r="C475" s="15"/>
      <c r="D475" s="15"/>
      <c r="E475" s="15"/>
      <c r="F475" s="15"/>
    </row>
    <row r="476" spans="2:6" x14ac:dyDescent="0.25">
      <c r="B476" s="15"/>
      <c r="C476" s="15"/>
      <c r="D476" s="15"/>
      <c r="E476" s="15"/>
      <c r="F476" s="15"/>
    </row>
    <row r="477" spans="2:6" x14ac:dyDescent="0.25">
      <c r="B477" s="15"/>
      <c r="C477" s="15"/>
      <c r="D477" s="15"/>
      <c r="E477" s="15"/>
      <c r="F477" s="15"/>
    </row>
    <row r="478" spans="2:6" x14ac:dyDescent="0.25">
      <c r="B478" s="15"/>
      <c r="C478" s="15"/>
      <c r="D478" s="15"/>
      <c r="E478" s="15"/>
      <c r="F478" s="15"/>
    </row>
    <row r="479" spans="2:6" x14ac:dyDescent="0.25">
      <c r="B479" s="15"/>
      <c r="C479" s="15"/>
      <c r="D479" s="15"/>
      <c r="E479" s="15"/>
      <c r="F479" s="15"/>
    </row>
    <row r="480" spans="2:6" x14ac:dyDescent="0.25">
      <c r="B480" s="15"/>
      <c r="C480" s="15"/>
      <c r="D480" s="15"/>
      <c r="E480" s="15"/>
      <c r="F480" s="15"/>
    </row>
    <row r="481" spans="2:6" x14ac:dyDescent="0.25">
      <c r="B481" s="15"/>
      <c r="C481" s="15"/>
      <c r="D481" s="15"/>
      <c r="E481" s="15"/>
      <c r="F481" s="15"/>
    </row>
    <row r="482" spans="2:6" x14ac:dyDescent="0.25">
      <c r="B482" s="15"/>
      <c r="C482" s="15"/>
      <c r="D482" s="15"/>
      <c r="E482" s="15"/>
      <c r="F482" s="15"/>
    </row>
    <row r="483" spans="2:6" x14ac:dyDescent="0.25">
      <c r="B483" s="15"/>
      <c r="C483" s="15"/>
      <c r="D483" s="15"/>
      <c r="E483" s="15"/>
      <c r="F483" s="15"/>
    </row>
    <row r="484" spans="2:6" x14ac:dyDescent="0.25">
      <c r="B484" s="15"/>
      <c r="C484" s="15"/>
      <c r="D484" s="15"/>
      <c r="E484" s="15"/>
      <c r="F484" s="15"/>
    </row>
    <row r="485" spans="2:6" x14ac:dyDescent="0.25">
      <c r="B485" s="15"/>
      <c r="C485" s="15"/>
      <c r="D485" s="15"/>
      <c r="E485" s="15"/>
      <c r="F485" s="15"/>
    </row>
    <row r="486" spans="2:6" x14ac:dyDescent="0.25">
      <c r="B486" s="15"/>
      <c r="C486" s="15"/>
      <c r="D486" s="15"/>
      <c r="E486" s="15"/>
      <c r="F486" s="15"/>
    </row>
    <row r="487" spans="2:6" x14ac:dyDescent="0.25">
      <c r="B487" s="15"/>
      <c r="C487" s="15"/>
      <c r="D487" s="15"/>
      <c r="E487" s="15"/>
      <c r="F487" s="15"/>
    </row>
    <row r="488" spans="2:6" x14ac:dyDescent="0.25">
      <c r="B488" s="15"/>
      <c r="C488" s="15"/>
      <c r="D488" s="15"/>
      <c r="E488" s="15"/>
      <c r="F488" s="15"/>
    </row>
    <row r="489" spans="2:6" x14ac:dyDescent="0.25">
      <c r="B489" s="15"/>
      <c r="C489" s="15"/>
      <c r="D489" s="15"/>
      <c r="E489" s="15"/>
      <c r="F489" s="15"/>
    </row>
    <row r="490" spans="2:6" x14ac:dyDescent="0.25">
      <c r="B490" s="15"/>
      <c r="C490" s="15"/>
      <c r="D490" s="15"/>
      <c r="E490" s="15"/>
      <c r="F490" s="15"/>
    </row>
    <row r="491" spans="2:6" x14ac:dyDescent="0.25">
      <c r="B491" s="15"/>
      <c r="C491" s="15"/>
      <c r="D491" s="15"/>
      <c r="E491" s="15"/>
      <c r="F491" s="15"/>
    </row>
    <row r="492" spans="2:6" x14ac:dyDescent="0.25">
      <c r="B492" s="15"/>
      <c r="C492" s="15"/>
      <c r="D492" s="15"/>
      <c r="E492" s="15"/>
      <c r="F492" s="15"/>
    </row>
    <row r="493" spans="2:6" x14ac:dyDescent="0.25">
      <c r="B493" s="15"/>
      <c r="C493" s="15"/>
      <c r="D493" s="15"/>
      <c r="E493" s="15"/>
      <c r="F493" s="15"/>
    </row>
    <row r="494" spans="2:6" x14ac:dyDescent="0.25">
      <c r="B494" s="15"/>
      <c r="C494" s="15"/>
      <c r="D494" s="15"/>
      <c r="E494" s="15"/>
      <c r="F494" s="15"/>
    </row>
    <row r="495" spans="2:6" x14ac:dyDescent="0.25">
      <c r="B495" s="15"/>
      <c r="C495" s="15"/>
      <c r="D495" s="15"/>
      <c r="E495" s="15"/>
      <c r="F495" s="15"/>
    </row>
    <row r="496" spans="2:6" x14ac:dyDescent="0.25">
      <c r="B496" s="15"/>
      <c r="C496" s="15"/>
      <c r="D496" s="15"/>
      <c r="E496" s="15"/>
      <c r="F496" s="15"/>
    </row>
    <row r="497" spans="2:6" x14ac:dyDescent="0.25">
      <c r="B497" s="15"/>
      <c r="C497" s="15"/>
      <c r="D497" s="15"/>
      <c r="E497" s="15"/>
      <c r="F497" s="15"/>
    </row>
    <row r="498" spans="2:6" x14ac:dyDescent="0.25">
      <c r="B498" s="15"/>
      <c r="C498" s="15"/>
      <c r="D498" s="15"/>
      <c r="E498" s="15"/>
      <c r="F498" s="15"/>
    </row>
    <row r="499" spans="2:6" x14ac:dyDescent="0.25">
      <c r="B499" s="15"/>
      <c r="C499" s="15"/>
      <c r="D499" s="15"/>
      <c r="E499" s="15"/>
      <c r="F499" s="15"/>
    </row>
    <row r="500" spans="2:6" x14ac:dyDescent="0.25">
      <c r="B500" s="15"/>
      <c r="C500" s="15"/>
      <c r="D500" s="15"/>
      <c r="E500" s="15"/>
      <c r="F500" s="15"/>
    </row>
    <row r="501" spans="2:6" x14ac:dyDescent="0.25">
      <c r="B501" s="15"/>
      <c r="C501" s="15"/>
      <c r="D501" s="15"/>
      <c r="E501" s="15"/>
      <c r="F501" s="15"/>
    </row>
    <row r="502" spans="2:6" x14ac:dyDescent="0.25">
      <c r="B502" s="15"/>
      <c r="C502" s="15"/>
      <c r="D502" s="15"/>
      <c r="E502" s="15"/>
      <c r="F502" s="15"/>
    </row>
    <row r="503" spans="2:6" x14ac:dyDescent="0.25">
      <c r="B503" s="15"/>
      <c r="C503" s="15"/>
      <c r="D503" s="15"/>
      <c r="E503" s="15"/>
      <c r="F503" s="15"/>
    </row>
    <row r="504" spans="2:6" x14ac:dyDescent="0.25">
      <c r="B504" s="15"/>
      <c r="C504" s="15"/>
      <c r="D504" s="15"/>
      <c r="E504" s="15"/>
      <c r="F504" s="15"/>
    </row>
    <row r="505" spans="2:6" x14ac:dyDescent="0.25">
      <c r="B505" s="15"/>
      <c r="C505" s="15"/>
      <c r="D505" s="15"/>
      <c r="E505" s="15"/>
      <c r="F505" s="15"/>
    </row>
    <row r="506" spans="2:6" x14ac:dyDescent="0.25">
      <c r="B506" s="15"/>
      <c r="C506" s="15"/>
      <c r="D506" s="15"/>
      <c r="E506" s="15"/>
      <c r="F506" s="15"/>
    </row>
    <row r="507" spans="2:6" x14ac:dyDescent="0.25">
      <c r="B507" s="15"/>
      <c r="C507" s="15"/>
      <c r="D507" s="15"/>
      <c r="E507" s="15"/>
      <c r="F507" s="15"/>
    </row>
    <row r="508" spans="2:6" x14ac:dyDescent="0.25">
      <c r="B508" s="15"/>
      <c r="C508" s="15"/>
      <c r="D508" s="15"/>
      <c r="E508" s="15"/>
      <c r="F508" s="15"/>
    </row>
    <row r="509" spans="2:6" x14ac:dyDescent="0.25">
      <c r="B509" s="15"/>
      <c r="C509" s="15"/>
      <c r="D509" s="15"/>
      <c r="E509" s="15"/>
      <c r="F509" s="15"/>
    </row>
    <row r="510" spans="2:6" x14ac:dyDescent="0.25">
      <c r="B510" s="15"/>
      <c r="C510" s="15"/>
      <c r="D510" s="15"/>
      <c r="E510" s="15"/>
      <c r="F510" s="15"/>
    </row>
    <row r="511" spans="2:6" x14ac:dyDescent="0.25">
      <c r="B511" s="15"/>
      <c r="C511" s="15"/>
      <c r="D511" s="15"/>
      <c r="E511" s="15"/>
      <c r="F511" s="15"/>
    </row>
    <row r="512" spans="2:6" x14ac:dyDescent="0.25">
      <c r="B512" s="15"/>
      <c r="C512" s="15"/>
      <c r="D512" s="15"/>
      <c r="E512" s="15"/>
      <c r="F512" s="15"/>
    </row>
    <row r="513" spans="2:6" x14ac:dyDescent="0.25">
      <c r="B513" s="15"/>
      <c r="C513" s="15"/>
      <c r="D513" s="15"/>
      <c r="E513" s="15"/>
      <c r="F513" s="15"/>
    </row>
    <row r="514" spans="2:6" x14ac:dyDescent="0.25">
      <c r="B514" s="15"/>
      <c r="C514" s="15"/>
      <c r="D514" s="15"/>
      <c r="E514" s="15"/>
      <c r="F514" s="15"/>
    </row>
    <row r="515" spans="2:6" x14ac:dyDescent="0.25">
      <c r="B515" s="15"/>
      <c r="C515" s="15"/>
      <c r="D515" s="15"/>
      <c r="E515" s="15"/>
      <c r="F515" s="15"/>
    </row>
    <row r="516" spans="2:6" x14ac:dyDescent="0.25">
      <c r="B516" s="15"/>
      <c r="C516" s="15"/>
      <c r="D516" s="15"/>
      <c r="E516" s="15"/>
      <c r="F516" s="15"/>
    </row>
    <row r="517" spans="2:6" x14ac:dyDescent="0.25">
      <c r="B517" s="15"/>
      <c r="C517" s="15"/>
      <c r="D517" s="15"/>
      <c r="E517" s="15"/>
      <c r="F517" s="15"/>
    </row>
    <row r="518" spans="2:6" x14ac:dyDescent="0.25">
      <c r="B518" s="15"/>
      <c r="C518" s="15"/>
      <c r="D518" s="15"/>
      <c r="E518" s="15"/>
      <c r="F518" s="15"/>
    </row>
    <row r="519" spans="2:6" x14ac:dyDescent="0.25">
      <c r="B519" s="15"/>
      <c r="C519" s="15"/>
      <c r="D519" s="15"/>
      <c r="E519" s="15"/>
      <c r="F519" s="15"/>
    </row>
    <row r="520" spans="2:6" x14ac:dyDescent="0.25">
      <c r="B520" s="15"/>
      <c r="C520" s="15"/>
      <c r="D520" s="15"/>
      <c r="E520" s="15"/>
      <c r="F520" s="15"/>
    </row>
    <row r="521" spans="2:6" x14ac:dyDescent="0.25">
      <c r="B521" s="15"/>
      <c r="C521" s="15"/>
      <c r="D521" s="15"/>
      <c r="E521" s="15"/>
      <c r="F521" s="15"/>
    </row>
    <row r="522" spans="2:6" x14ac:dyDescent="0.25">
      <c r="B522" s="15"/>
      <c r="C522" s="15"/>
      <c r="D522" s="15"/>
      <c r="E522" s="15"/>
      <c r="F522" s="15"/>
    </row>
    <row r="523" spans="2:6" x14ac:dyDescent="0.25">
      <c r="B523" s="15"/>
      <c r="C523" s="15"/>
      <c r="D523" s="15"/>
      <c r="E523" s="15"/>
      <c r="F523" s="15"/>
    </row>
    <row r="524" spans="2:6" x14ac:dyDescent="0.25">
      <c r="B524" s="15"/>
      <c r="C524" s="15"/>
      <c r="D524" s="15"/>
      <c r="E524" s="15"/>
      <c r="F524" s="15"/>
    </row>
    <row r="525" spans="2:6" x14ac:dyDescent="0.25">
      <c r="B525" s="15"/>
      <c r="C525" s="15"/>
      <c r="D525" s="15"/>
      <c r="E525" s="15"/>
      <c r="F525" s="15"/>
    </row>
    <row r="526" spans="2:6" x14ac:dyDescent="0.25">
      <c r="B526" s="15"/>
      <c r="C526" s="15"/>
      <c r="D526" s="15"/>
      <c r="E526" s="15"/>
      <c r="F526" s="15"/>
    </row>
    <row r="527" spans="2:6" x14ac:dyDescent="0.25">
      <c r="B527" s="15"/>
      <c r="C527" s="15"/>
      <c r="D527" s="15"/>
      <c r="E527" s="15"/>
      <c r="F527" s="15"/>
    </row>
    <row r="528" spans="2:6" x14ac:dyDescent="0.25">
      <c r="B528" s="15"/>
      <c r="C528" s="15"/>
      <c r="D528" s="15"/>
      <c r="E528" s="15"/>
      <c r="F528" s="15"/>
    </row>
    <row r="529" spans="2:6" x14ac:dyDescent="0.25">
      <c r="B529" s="15"/>
      <c r="C529" s="15"/>
      <c r="D529" s="15"/>
      <c r="E529" s="15"/>
      <c r="F529" s="15"/>
    </row>
    <row r="530" spans="2:6" x14ac:dyDescent="0.25">
      <c r="B530" s="15"/>
      <c r="C530" s="15"/>
      <c r="D530" s="15"/>
      <c r="E530" s="15"/>
      <c r="F530" s="15"/>
    </row>
    <row r="531" spans="2:6" x14ac:dyDescent="0.25">
      <c r="B531" s="15"/>
      <c r="C531" s="15"/>
      <c r="D531" s="15"/>
      <c r="E531" s="15"/>
      <c r="F531" s="15"/>
    </row>
    <row r="532" spans="2:6" x14ac:dyDescent="0.25">
      <c r="B532" s="15"/>
      <c r="C532" s="15"/>
      <c r="D532" s="15"/>
      <c r="E532" s="15"/>
      <c r="F532" s="15"/>
    </row>
    <row r="533" spans="2:6" x14ac:dyDescent="0.25">
      <c r="B533" s="15"/>
      <c r="C533" s="15"/>
      <c r="D533" s="15"/>
      <c r="E533" s="15"/>
      <c r="F533" s="15"/>
    </row>
    <row r="534" spans="2:6" x14ac:dyDescent="0.25">
      <c r="B534" s="15"/>
      <c r="C534" s="15"/>
      <c r="D534" s="15"/>
      <c r="E534" s="15"/>
      <c r="F534" s="15"/>
    </row>
    <row r="535" spans="2:6" x14ac:dyDescent="0.25">
      <c r="B535" s="15"/>
      <c r="C535" s="15"/>
      <c r="D535" s="15"/>
      <c r="E535" s="15"/>
      <c r="F535" s="15"/>
    </row>
    <row r="536" spans="2:6" x14ac:dyDescent="0.25">
      <c r="B536" s="15"/>
      <c r="C536" s="15"/>
      <c r="D536" s="15"/>
      <c r="E536" s="15"/>
      <c r="F536" s="15"/>
    </row>
    <row r="537" spans="2:6" x14ac:dyDescent="0.25">
      <c r="B537" s="15"/>
      <c r="C537" s="15"/>
      <c r="D537" s="15"/>
      <c r="E537" s="15"/>
      <c r="F537" s="15"/>
    </row>
    <row r="538" spans="2:6" x14ac:dyDescent="0.25">
      <c r="B538" s="15"/>
      <c r="C538" s="15"/>
      <c r="D538" s="15"/>
      <c r="E538" s="15"/>
      <c r="F538" s="15"/>
    </row>
    <row r="539" spans="2:6" x14ac:dyDescent="0.25">
      <c r="B539" s="15"/>
      <c r="C539" s="15"/>
      <c r="D539" s="15"/>
      <c r="E539" s="15"/>
      <c r="F539" s="15"/>
    </row>
    <row r="540" spans="2:6" x14ac:dyDescent="0.25">
      <c r="B540" s="15"/>
      <c r="C540" s="15"/>
      <c r="D540" s="15"/>
      <c r="E540" s="15"/>
      <c r="F540" s="15"/>
    </row>
    <row r="541" spans="2:6" x14ac:dyDescent="0.25">
      <c r="B541" s="15"/>
      <c r="C541" s="15"/>
      <c r="D541" s="15"/>
      <c r="E541" s="15"/>
      <c r="F541" s="15"/>
    </row>
    <row r="542" spans="2:6" x14ac:dyDescent="0.25">
      <c r="B542" s="15"/>
      <c r="C542" s="15"/>
      <c r="D542" s="15"/>
      <c r="E542" s="15"/>
      <c r="F542" s="15"/>
    </row>
    <row r="543" spans="2:6" x14ac:dyDescent="0.25">
      <c r="B543" s="15"/>
      <c r="C543" s="15"/>
      <c r="D543" s="15"/>
      <c r="E543" s="15"/>
      <c r="F543" s="15"/>
    </row>
    <row r="544" spans="2:6" x14ac:dyDescent="0.25">
      <c r="B544" s="15"/>
      <c r="C544" s="15"/>
      <c r="D544" s="15"/>
      <c r="E544" s="15"/>
      <c r="F544" s="15"/>
    </row>
    <row r="545" spans="2:6" x14ac:dyDescent="0.25">
      <c r="B545" s="15"/>
      <c r="C545" s="15"/>
      <c r="D545" s="15"/>
      <c r="E545" s="15"/>
      <c r="F545" s="15"/>
    </row>
    <row r="546" spans="2:6" x14ac:dyDescent="0.25">
      <c r="B546" s="15"/>
      <c r="C546" s="15"/>
      <c r="D546" s="15"/>
      <c r="E546" s="15"/>
      <c r="F546" s="15"/>
    </row>
    <row r="547" spans="2:6" x14ac:dyDescent="0.25">
      <c r="B547" s="15"/>
      <c r="C547" s="15"/>
      <c r="D547" s="15"/>
      <c r="E547" s="15"/>
      <c r="F547" s="15"/>
    </row>
    <row r="548" spans="2:6" x14ac:dyDescent="0.25">
      <c r="B548" s="15"/>
      <c r="C548" s="15"/>
      <c r="D548" s="15"/>
      <c r="E548" s="15"/>
      <c r="F548" s="15"/>
    </row>
    <row r="549" spans="2:6" x14ac:dyDescent="0.25">
      <c r="B549" s="15"/>
      <c r="C549" s="15"/>
      <c r="D549" s="15"/>
      <c r="E549" s="15"/>
      <c r="F549" s="15"/>
    </row>
    <row r="550" spans="2:6" x14ac:dyDescent="0.25">
      <c r="B550" s="15"/>
      <c r="C550" s="15"/>
      <c r="D550" s="15"/>
      <c r="E550" s="15"/>
      <c r="F550" s="15"/>
    </row>
    <row r="551" spans="2:6" x14ac:dyDescent="0.25">
      <c r="B551" s="15"/>
      <c r="C551" s="15"/>
      <c r="D551" s="15"/>
      <c r="E551" s="15"/>
      <c r="F551" s="15"/>
    </row>
    <row r="552" spans="2:6" x14ac:dyDescent="0.25">
      <c r="B552" s="15"/>
      <c r="C552" s="15"/>
      <c r="D552" s="15"/>
      <c r="E552" s="15"/>
      <c r="F552" s="15"/>
    </row>
    <row r="553" spans="2:6" x14ac:dyDescent="0.25">
      <c r="B553" s="15"/>
      <c r="C553" s="15"/>
      <c r="D553" s="15"/>
      <c r="E553" s="15"/>
      <c r="F553" s="15"/>
    </row>
    <row r="554" spans="2:6" x14ac:dyDescent="0.25">
      <c r="B554" s="15"/>
      <c r="C554" s="15"/>
      <c r="D554" s="15"/>
      <c r="E554" s="15"/>
      <c r="F554" s="15"/>
    </row>
    <row r="555" spans="2:6" x14ac:dyDescent="0.25">
      <c r="B555" s="15"/>
      <c r="C555" s="15"/>
      <c r="D555" s="15"/>
      <c r="E555" s="15"/>
      <c r="F555" s="15"/>
    </row>
    <row r="556" spans="2:6" x14ac:dyDescent="0.25">
      <c r="B556" s="15"/>
      <c r="C556" s="15"/>
      <c r="D556" s="15"/>
      <c r="E556" s="15"/>
      <c r="F556" s="15"/>
    </row>
    <row r="557" spans="2:6" x14ac:dyDescent="0.25">
      <c r="B557" s="15"/>
      <c r="C557" s="15"/>
      <c r="D557" s="15"/>
      <c r="E557" s="15"/>
      <c r="F557" s="15"/>
    </row>
    <row r="558" spans="2:6" x14ac:dyDescent="0.25">
      <c r="B558" s="15"/>
      <c r="C558" s="15"/>
      <c r="D558" s="15"/>
      <c r="E558" s="15"/>
      <c r="F558" s="15"/>
    </row>
    <row r="559" spans="2:6" x14ac:dyDescent="0.25">
      <c r="B559" s="15"/>
      <c r="C559" s="15"/>
      <c r="D559" s="15"/>
      <c r="E559" s="15"/>
      <c r="F559" s="15"/>
    </row>
    <row r="560" spans="2:6" x14ac:dyDescent="0.25">
      <c r="B560" s="15"/>
      <c r="C560" s="15"/>
      <c r="D560" s="15"/>
      <c r="E560" s="15"/>
      <c r="F560" s="15"/>
    </row>
    <row r="561" spans="2:6" x14ac:dyDescent="0.25">
      <c r="B561" s="15"/>
      <c r="C561" s="15"/>
      <c r="D561" s="15"/>
      <c r="E561" s="15"/>
      <c r="F561" s="15"/>
    </row>
    <row r="562" spans="2:6" x14ac:dyDescent="0.25">
      <c r="B562" s="15"/>
      <c r="C562" s="15"/>
      <c r="D562" s="15"/>
      <c r="E562" s="15"/>
      <c r="F562" s="15"/>
    </row>
    <row r="563" spans="2:6" x14ac:dyDescent="0.25">
      <c r="B563" s="15"/>
      <c r="C563" s="15"/>
      <c r="D563" s="15"/>
      <c r="E563" s="15"/>
      <c r="F563" s="15"/>
    </row>
    <row r="564" spans="2:6" x14ac:dyDescent="0.25">
      <c r="B564" s="15"/>
      <c r="C564" s="15"/>
      <c r="D564" s="15"/>
      <c r="E564" s="15"/>
      <c r="F564" s="15"/>
    </row>
    <row r="565" spans="2:6" x14ac:dyDescent="0.25">
      <c r="B565" s="15"/>
      <c r="C565" s="15"/>
      <c r="D565" s="15"/>
      <c r="E565" s="15"/>
      <c r="F565" s="15"/>
    </row>
    <row r="566" spans="2:6" x14ac:dyDescent="0.25">
      <c r="B566" s="15"/>
      <c r="C566" s="15"/>
      <c r="D566" s="15"/>
      <c r="E566" s="15"/>
      <c r="F566" s="15"/>
    </row>
    <row r="567" spans="2:6" x14ac:dyDescent="0.25">
      <c r="B567" s="15"/>
      <c r="C567" s="15"/>
      <c r="D567" s="15"/>
      <c r="E567" s="15"/>
      <c r="F567" s="15"/>
    </row>
    <row r="568" spans="2:6" x14ac:dyDescent="0.25">
      <c r="B568" s="15"/>
      <c r="C568" s="15"/>
      <c r="D568" s="15"/>
      <c r="E568" s="15"/>
      <c r="F568" s="15"/>
    </row>
    <row r="569" spans="2:6" x14ac:dyDescent="0.25">
      <c r="B569" s="15"/>
      <c r="C569" s="15"/>
      <c r="D569" s="15"/>
      <c r="E569" s="15"/>
      <c r="F569" s="15"/>
    </row>
    <row r="570" spans="2:6" x14ac:dyDescent="0.25">
      <c r="B570" s="15"/>
      <c r="C570" s="15"/>
      <c r="D570" s="15"/>
      <c r="E570" s="15"/>
      <c r="F570" s="15"/>
    </row>
    <row r="571" spans="2:6" x14ac:dyDescent="0.25">
      <c r="B571" s="15"/>
      <c r="C571" s="15"/>
      <c r="D571" s="15"/>
      <c r="E571" s="15"/>
      <c r="F571" s="15"/>
    </row>
    <row r="572" spans="2:6" x14ac:dyDescent="0.25">
      <c r="B572" s="15"/>
      <c r="C572" s="15"/>
      <c r="D572" s="15"/>
      <c r="E572" s="15"/>
      <c r="F572" s="15"/>
    </row>
    <row r="573" spans="2:6" x14ac:dyDescent="0.25">
      <c r="B573" s="15"/>
      <c r="C573" s="15"/>
      <c r="D573" s="15"/>
      <c r="E573" s="15"/>
      <c r="F573" s="15"/>
    </row>
    <row r="574" spans="2:6" x14ac:dyDescent="0.25">
      <c r="B574" s="15"/>
      <c r="C574" s="15"/>
      <c r="D574" s="15"/>
      <c r="E574" s="15"/>
      <c r="F574" s="15"/>
    </row>
    <row r="575" spans="2:6" x14ac:dyDescent="0.25">
      <c r="B575" s="15"/>
      <c r="C575" s="15"/>
      <c r="D575" s="15"/>
      <c r="E575" s="15"/>
      <c r="F575" s="15"/>
    </row>
    <row r="576" spans="2:6" x14ac:dyDescent="0.25">
      <c r="B576" s="15"/>
      <c r="C576" s="15"/>
      <c r="D576" s="15"/>
      <c r="E576" s="15"/>
      <c r="F576" s="15"/>
    </row>
    <row r="577" spans="2:6" x14ac:dyDescent="0.25">
      <c r="B577" s="15"/>
      <c r="C577" s="15"/>
      <c r="D577" s="15"/>
      <c r="E577" s="15"/>
      <c r="F577" s="15"/>
    </row>
    <row r="578" spans="2:6" x14ac:dyDescent="0.25">
      <c r="B578" s="15"/>
      <c r="C578" s="15"/>
      <c r="D578" s="15"/>
      <c r="E578" s="15"/>
      <c r="F578" s="15"/>
    </row>
    <row r="579" spans="2:6" x14ac:dyDescent="0.25">
      <c r="B579" s="15"/>
      <c r="C579" s="15"/>
      <c r="D579" s="15"/>
      <c r="E579" s="15"/>
      <c r="F579" s="15"/>
    </row>
    <row r="580" spans="2:6" x14ac:dyDescent="0.25">
      <c r="B580" s="15"/>
      <c r="C580" s="15"/>
      <c r="D580" s="15"/>
      <c r="E580" s="15"/>
      <c r="F580" s="15"/>
    </row>
    <row r="581" spans="2:6" x14ac:dyDescent="0.25">
      <c r="B581" s="15"/>
      <c r="C581" s="15"/>
      <c r="D581" s="15"/>
      <c r="E581" s="15"/>
      <c r="F581" s="15"/>
    </row>
    <row r="582" spans="2:6" x14ac:dyDescent="0.25">
      <c r="B582" s="15"/>
      <c r="C582" s="15"/>
      <c r="D582" s="15"/>
      <c r="E582" s="15"/>
      <c r="F582" s="15"/>
    </row>
    <row r="583" spans="2:6" x14ac:dyDescent="0.25">
      <c r="B583" s="15"/>
      <c r="C583" s="15"/>
      <c r="D583" s="15"/>
      <c r="E583" s="15"/>
      <c r="F583" s="15"/>
    </row>
    <row r="584" spans="2:6" x14ac:dyDescent="0.25">
      <c r="B584" s="15"/>
      <c r="C584" s="15"/>
      <c r="D584" s="15"/>
      <c r="E584" s="15"/>
      <c r="F584" s="15"/>
    </row>
    <row r="585" spans="2:6" x14ac:dyDescent="0.25">
      <c r="B585" s="15"/>
      <c r="C585" s="15"/>
      <c r="D585" s="15"/>
      <c r="E585" s="15"/>
      <c r="F585" s="15"/>
    </row>
    <row r="586" spans="2:6" x14ac:dyDescent="0.25">
      <c r="B586" s="15"/>
      <c r="C586" s="15"/>
      <c r="D586" s="15"/>
      <c r="E586" s="15"/>
      <c r="F586" s="15"/>
    </row>
    <row r="587" spans="2:6" x14ac:dyDescent="0.25">
      <c r="B587" s="15"/>
      <c r="C587" s="15"/>
      <c r="D587" s="15"/>
      <c r="E587" s="15"/>
      <c r="F587" s="15"/>
    </row>
    <row r="588" spans="2:6" x14ac:dyDescent="0.25">
      <c r="B588" s="15"/>
      <c r="C588" s="15"/>
      <c r="D588" s="15"/>
      <c r="E588" s="15"/>
      <c r="F588" s="15"/>
    </row>
    <row r="589" spans="2:6" x14ac:dyDescent="0.25">
      <c r="B589" s="15"/>
      <c r="C589" s="15"/>
      <c r="D589" s="15"/>
      <c r="E589" s="15"/>
      <c r="F589" s="15"/>
    </row>
    <row r="590" spans="2:6" x14ac:dyDescent="0.25">
      <c r="B590" s="15"/>
      <c r="C590" s="15"/>
      <c r="D590" s="15"/>
      <c r="E590" s="15"/>
      <c r="F590" s="15"/>
    </row>
    <row r="591" spans="2:6" x14ac:dyDescent="0.25">
      <c r="B591" s="15"/>
      <c r="C591" s="15"/>
      <c r="D591" s="15"/>
      <c r="E591" s="15"/>
      <c r="F591" s="15"/>
    </row>
    <row r="592" spans="2:6" x14ac:dyDescent="0.25">
      <c r="B592" s="15"/>
      <c r="C592" s="15"/>
      <c r="D592" s="15"/>
      <c r="E592" s="15"/>
      <c r="F592" s="15"/>
    </row>
    <row r="593" spans="2:6" x14ac:dyDescent="0.25">
      <c r="B593" s="15"/>
      <c r="C593" s="15"/>
      <c r="D593" s="15"/>
      <c r="E593" s="15"/>
      <c r="F593" s="15"/>
    </row>
  </sheetData>
  <mergeCells count="6">
    <mergeCell ref="K17:K18"/>
    <mergeCell ref="A1:H1"/>
    <mergeCell ref="A3:H3"/>
    <mergeCell ref="A4:H4"/>
    <mergeCell ref="A5:H5"/>
    <mergeCell ref="D10:E10"/>
  </mergeCells>
  <pageMargins left="0.75" right="0.75" top="1" bottom="1" header="0.5" footer="0.5"/>
  <pageSetup scale="74" orientation="landscape" r:id="rId1"/>
  <headerFooter alignWithMargins="0"/>
  <rowBreaks count="2" manualBreakCount="2">
    <brk id="36" max="16383" man="1"/>
    <brk id="73" max="16383" man="1"/>
  </rowBreaks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9"/>
  <dimension ref="A1:V121"/>
  <sheetViews>
    <sheetView zoomScale="120" zoomScaleNormal="120" workbookViewId="0">
      <selection activeCell="L22" sqref="L22"/>
    </sheetView>
  </sheetViews>
  <sheetFormatPr defaultColWidth="9.1796875" defaultRowHeight="12.5" x14ac:dyDescent="0.25"/>
  <cols>
    <col min="1" max="9" width="9.1796875" style="241"/>
    <col min="10" max="16384" width="9.1796875" style="234"/>
  </cols>
  <sheetData>
    <row r="1" spans="1:22" x14ac:dyDescent="0.25">
      <c r="A1" s="228" t="s">
        <v>361</v>
      </c>
      <c r="B1" s="229"/>
      <c r="C1" s="229"/>
      <c r="D1" s="230"/>
      <c r="E1" s="231"/>
      <c r="F1" s="228" t="s">
        <v>362</v>
      </c>
      <c r="G1" s="229"/>
      <c r="H1" s="232"/>
      <c r="I1" s="233"/>
      <c r="P1" s="235" t="s">
        <v>361</v>
      </c>
      <c r="Q1" s="235"/>
      <c r="R1" s="235"/>
      <c r="T1" s="235" t="s">
        <v>363</v>
      </c>
      <c r="U1" s="235"/>
      <c r="V1" s="235"/>
    </row>
    <row r="2" spans="1:22" x14ac:dyDescent="0.25">
      <c r="A2" s="228" t="s">
        <v>364</v>
      </c>
      <c r="B2" s="233"/>
      <c r="C2" s="236"/>
      <c r="D2" s="230" t="s">
        <v>365</v>
      </c>
      <c r="E2" s="231"/>
      <c r="F2" s="228" t="s">
        <v>364</v>
      </c>
      <c r="G2" s="233"/>
      <c r="H2" s="236"/>
      <c r="I2" s="230" t="s">
        <v>365</v>
      </c>
      <c r="P2" s="235"/>
      <c r="Q2" s="235"/>
      <c r="R2" s="235"/>
      <c r="T2" s="235"/>
      <c r="U2" s="235"/>
      <c r="V2" s="235"/>
    </row>
    <row r="3" spans="1:22" x14ac:dyDescent="0.25">
      <c r="A3" s="228" t="s">
        <v>366</v>
      </c>
      <c r="B3" s="230" t="s">
        <v>367</v>
      </c>
      <c r="C3" s="228" t="s">
        <v>367</v>
      </c>
      <c r="D3" s="230" t="s">
        <v>366</v>
      </c>
      <c r="E3" s="231"/>
      <c r="F3" s="228" t="s">
        <v>366</v>
      </c>
      <c r="G3" s="230" t="s">
        <v>367</v>
      </c>
      <c r="H3" s="228" t="s">
        <v>367</v>
      </c>
      <c r="I3" s="230" t="s">
        <v>366</v>
      </c>
      <c r="P3" s="235" t="s">
        <v>367</v>
      </c>
      <c r="Q3" s="235" t="s">
        <v>366</v>
      </c>
      <c r="R3" s="235" t="s">
        <v>368</v>
      </c>
      <c r="T3" s="235" t="s">
        <v>367</v>
      </c>
      <c r="U3" s="235" t="s">
        <v>366</v>
      </c>
      <c r="V3" s="235" t="s">
        <v>368</v>
      </c>
    </row>
    <row r="4" spans="1:22" x14ac:dyDescent="0.25">
      <c r="A4" s="237">
        <v>5.7680000000000002E-2</v>
      </c>
      <c r="B4" s="238">
        <v>36800</v>
      </c>
      <c r="C4" s="239">
        <v>38723</v>
      </c>
      <c r="D4" s="240">
        <v>0.19594999999999999</v>
      </c>
      <c r="F4" s="237">
        <v>3.4470000000000001E-2</v>
      </c>
      <c r="G4" s="238">
        <v>36800</v>
      </c>
      <c r="H4" s="239">
        <v>39668</v>
      </c>
      <c r="I4" s="240">
        <v>0.15846000000000002</v>
      </c>
      <c r="P4" s="242">
        <v>36678</v>
      </c>
      <c r="Q4" s="243">
        <v>8.6900000000000005E-2</v>
      </c>
      <c r="R4" s="243">
        <v>2.3999999999999998E-3</v>
      </c>
      <c r="T4" s="242">
        <v>36678</v>
      </c>
      <c r="U4" s="243">
        <v>5.4359999999999999E-2</v>
      </c>
      <c r="V4" s="243">
        <v>3.4939999999999999E-2</v>
      </c>
    </row>
    <row r="5" spans="1:22" x14ac:dyDescent="0.25">
      <c r="A5" s="244">
        <v>6.5710000000000005E-2</v>
      </c>
      <c r="B5" s="245">
        <v>37196</v>
      </c>
      <c r="C5" s="246">
        <v>39668</v>
      </c>
      <c r="D5" s="247">
        <v>0.187</v>
      </c>
      <c r="F5" s="244">
        <v>4.582E-2</v>
      </c>
      <c r="G5" s="245">
        <v>37561</v>
      </c>
      <c r="H5" s="246">
        <v>39729</v>
      </c>
      <c r="I5" s="247">
        <v>0.14473</v>
      </c>
      <c r="P5" s="242">
        <v>36708</v>
      </c>
      <c r="Q5" s="243">
        <v>0.10091</v>
      </c>
      <c r="R5" s="243">
        <v>-5.7999999999999996E-3</v>
      </c>
      <c r="T5" s="242">
        <v>36708</v>
      </c>
      <c r="U5" s="243">
        <v>6.3689999999999997E-2</v>
      </c>
      <c r="V5" s="243">
        <v>3.1419999999999997E-2</v>
      </c>
    </row>
    <row r="6" spans="1:22" x14ac:dyDescent="0.25">
      <c r="A6" s="244">
        <v>6.5710000000000005E-2</v>
      </c>
      <c r="B6" s="245">
        <v>37226</v>
      </c>
      <c r="C6" s="246">
        <v>39699</v>
      </c>
      <c r="D6" s="247">
        <v>0.16277000000000003</v>
      </c>
      <c r="F6" s="244">
        <v>4.6039999999999998E-2</v>
      </c>
      <c r="G6" s="245">
        <v>37681</v>
      </c>
      <c r="H6" s="246">
        <v>38723</v>
      </c>
      <c r="I6" s="247">
        <v>0.14449000000000001</v>
      </c>
      <c r="P6" s="242">
        <v>36739</v>
      </c>
      <c r="Q6" s="243">
        <v>0.10091</v>
      </c>
      <c r="R6" s="243">
        <v>-9.4900000000000002E-3</v>
      </c>
      <c r="T6" s="242">
        <v>36739</v>
      </c>
      <c r="U6" s="243">
        <v>6.3689999999999997E-2</v>
      </c>
      <c r="V6" s="243">
        <v>2.7730000000000001E-2</v>
      </c>
    </row>
    <row r="7" spans="1:22" x14ac:dyDescent="0.25">
      <c r="A7" s="244">
        <v>6.9989999999999997E-2</v>
      </c>
      <c r="B7" s="245">
        <v>37561</v>
      </c>
      <c r="C7" s="246">
        <v>39729</v>
      </c>
      <c r="D7" s="247">
        <v>0.16204000000000002</v>
      </c>
      <c r="F7" s="244">
        <v>4.7120000000000002E-2</v>
      </c>
      <c r="G7" s="245">
        <v>37591</v>
      </c>
      <c r="H7" s="246">
        <v>39699</v>
      </c>
      <c r="I7" s="247">
        <v>0.13898000000000002</v>
      </c>
      <c r="P7" s="242">
        <v>36770</v>
      </c>
      <c r="Q7" s="243">
        <v>8.2239999999999994E-2</v>
      </c>
      <c r="R7" s="243">
        <v>3.1800000000000001E-3</v>
      </c>
      <c r="T7" s="242">
        <v>36770</v>
      </c>
      <c r="U7" s="243">
        <v>4.9689999999999998E-2</v>
      </c>
      <c r="V7" s="243">
        <v>3.5729999999999998E-2</v>
      </c>
    </row>
    <row r="8" spans="1:22" x14ac:dyDescent="0.25">
      <c r="A8" s="244">
        <v>7.0860000000000006E-2</v>
      </c>
      <c r="B8" s="245">
        <v>36982</v>
      </c>
      <c r="C8" s="246">
        <v>39269</v>
      </c>
      <c r="D8" s="247">
        <v>0.16141</v>
      </c>
      <c r="F8" s="244">
        <v>4.8570000000000002E-2</v>
      </c>
      <c r="G8" s="245">
        <v>37653</v>
      </c>
      <c r="H8" s="246">
        <v>39637</v>
      </c>
      <c r="I8" s="247">
        <v>0.13603000000000001</v>
      </c>
      <c r="P8" s="242">
        <v>36800</v>
      </c>
      <c r="Q8" s="243">
        <v>5.7680000000000002E-2</v>
      </c>
      <c r="R8" s="243">
        <v>9.8700000000000003E-3</v>
      </c>
      <c r="T8" s="242">
        <v>36800</v>
      </c>
      <c r="U8" s="243">
        <v>3.4470000000000001E-2</v>
      </c>
      <c r="V8" s="243">
        <v>3.3079999999999998E-2</v>
      </c>
    </row>
    <row r="9" spans="1:22" x14ac:dyDescent="0.25">
      <c r="A9" s="244">
        <v>7.1290000000000006E-2</v>
      </c>
      <c r="B9" s="245">
        <v>37591</v>
      </c>
      <c r="C9" s="246">
        <v>39637</v>
      </c>
      <c r="D9" s="247">
        <v>0.15690000000000001</v>
      </c>
      <c r="F9" s="244">
        <v>4.9689999999999998E-2</v>
      </c>
      <c r="G9" s="245">
        <v>36770</v>
      </c>
      <c r="H9" s="246">
        <v>39486</v>
      </c>
      <c r="I9" s="247">
        <v>0.12434000000000001</v>
      </c>
      <c r="P9" s="242">
        <v>36831</v>
      </c>
      <c r="Q9" s="243">
        <v>7.5770000000000004E-2</v>
      </c>
      <c r="R9" s="243">
        <v>2.0160000000000001E-2</v>
      </c>
      <c r="T9" s="242">
        <v>36831</v>
      </c>
      <c r="U9" s="243">
        <v>5.5160000000000001E-2</v>
      </c>
      <c r="V9" s="243">
        <v>4.0770000000000001E-2</v>
      </c>
    </row>
    <row r="10" spans="1:22" x14ac:dyDescent="0.25">
      <c r="A10" s="244">
        <v>7.1559999999999999E-2</v>
      </c>
      <c r="B10" s="245">
        <v>37681</v>
      </c>
      <c r="C10" s="246">
        <v>38691</v>
      </c>
      <c r="D10" s="247">
        <v>0.15281</v>
      </c>
      <c r="F10" s="244">
        <v>5.0090000000000003E-2</v>
      </c>
      <c r="G10" s="245">
        <v>37622</v>
      </c>
      <c r="H10" s="246">
        <v>38691</v>
      </c>
      <c r="I10" s="247">
        <v>0.12276000000000001</v>
      </c>
      <c r="P10" s="242">
        <v>36861</v>
      </c>
      <c r="Q10" s="243">
        <v>8.1659999999999996E-2</v>
      </c>
      <c r="R10" s="243">
        <v>8.8699999999999994E-3</v>
      </c>
      <c r="T10" s="242">
        <v>36861</v>
      </c>
      <c r="U10" s="243">
        <v>6.1060000000000003E-2</v>
      </c>
      <c r="V10" s="243">
        <v>2.947E-2</v>
      </c>
    </row>
    <row r="11" spans="1:22" x14ac:dyDescent="0.25">
      <c r="A11" s="244">
        <v>7.1639999999999995E-2</v>
      </c>
      <c r="B11" s="245">
        <v>37347</v>
      </c>
      <c r="C11" s="246">
        <v>38904</v>
      </c>
      <c r="D11" s="247">
        <v>0.15081</v>
      </c>
      <c r="F11" s="244">
        <v>5.024E-2</v>
      </c>
      <c r="G11" s="245">
        <v>37712</v>
      </c>
      <c r="H11" s="246">
        <v>39607</v>
      </c>
      <c r="I11" s="247">
        <v>0.12192</v>
      </c>
      <c r="P11" s="242">
        <v>36892</v>
      </c>
      <c r="Q11" s="243">
        <v>8.9520000000000002E-2</v>
      </c>
      <c r="R11" s="243">
        <v>4.1599999999999996E-3</v>
      </c>
      <c r="T11" s="242">
        <v>36892</v>
      </c>
      <c r="U11" s="243">
        <v>6.8919999999999995E-2</v>
      </c>
      <c r="V11" s="243">
        <v>2.4760000000000001E-2</v>
      </c>
    </row>
    <row r="12" spans="1:22" x14ac:dyDescent="0.25">
      <c r="A12" s="244">
        <v>7.2349999999999998E-2</v>
      </c>
      <c r="B12" s="245">
        <v>40125</v>
      </c>
      <c r="C12" s="246">
        <v>38661</v>
      </c>
      <c r="D12" s="247">
        <v>0.14693999999999999</v>
      </c>
      <c r="F12" s="244">
        <v>5.0250000000000003E-2</v>
      </c>
      <c r="G12" s="245">
        <v>36982</v>
      </c>
      <c r="H12" s="246">
        <v>38661</v>
      </c>
      <c r="I12" s="247">
        <v>0.11741</v>
      </c>
      <c r="P12" s="242">
        <v>36923</v>
      </c>
      <c r="Q12" s="243">
        <v>7.9699999999999993E-2</v>
      </c>
      <c r="R12" s="243">
        <v>9.5200000000000007E-3</v>
      </c>
      <c r="T12" s="242">
        <v>36923</v>
      </c>
      <c r="U12" s="243">
        <v>5.9089999999999997E-2</v>
      </c>
      <c r="V12" s="243">
        <v>3.0130000000000001E-2</v>
      </c>
    </row>
    <row r="13" spans="1:22" x14ac:dyDescent="0.25">
      <c r="A13" s="244">
        <v>7.3120000000000004E-2</v>
      </c>
      <c r="B13" s="245">
        <v>37316</v>
      </c>
      <c r="C13" s="246">
        <v>39486</v>
      </c>
      <c r="D13" s="247">
        <v>0.14631</v>
      </c>
      <c r="F13" s="244">
        <v>5.0430000000000003E-2</v>
      </c>
      <c r="G13" s="245">
        <v>37196</v>
      </c>
      <c r="H13" s="246">
        <v>39576</v>
      </c>
      <c r="I13" s="247">
        <v>0.11645</v>
      </c>
      <c r="P13" s="242">
        <v>36951</v>
      </c>
      <c r="Q13" s="243">
        <v>7.3800000000000004E-2</v>
      </c>
      <c r="R13" s="243">
        <v>1.9900000000000001E-2</v>
      </c>
      <c r="T13" s="242">
        <v>36951</v>
      </c>
      <c r="U13" s="243">
        <v>5.3199999999999997E-2</v>
      </c>
      <c r="V13" s="243">
        <v>4.0500000000000001E-2</v>
      </c>
    </row>
    <row r="14" spans="1:22" x14ac:dyDescent="0.25">
      <c r="A14" s="244">
        <v>7.3800000000000004E-2</v>
      </c>
      <c r="B14" s="245">
        <v>36951</v>
      </c>
      <c r="C14" s="246">
        <v>39300</v>
      </c>
      <c r="D14" s="247">
        <v>0.14377999999999999</v>
      </c>
      <c r="F14" s="244">
        <v>5.0430000000000003E-2</v>
      </c>
      <c r="G14" s="245">
        <v>37226</v>
      </c>
      <c r="H14" s="246">
        <v>39269</v>
      </c>
      <c r="I14" s="247">
        <v>0.11401</v>
      </c>
      <c r="P14" s="242">
        <v>36982</v>
      </c>
      <c r="Q14" s="243">
        <v>7.0860000000000006E-2</v>
      </c>
      <c r="R14" s="243">
        <v>1.5709999999999998E-2</v>
      </c>
      <c r="T14" s="242">
        <v>36982</v>
      </c>
      <c r="U14" s="243">
        <v>5.0250000000000003E-2</v>
      </c>
      <c r="V14" s="243">
        <v>3.6319999999999998E-2</v>
      </c>
    </row>
    <row r="15" spans="1:22" x14ac:dyDescent="0.25">
      <c r="A15" s="244">
        <v>7.4099999999999999E-2</v>
      </c>
      <c r="B15" s="245">
        <v>37257</v>
      </c>
      <c r="C15" s="246">
        <v>38754</v>
      </c>
      <c r="D15" s="247">
        <v>0.13891999999999999</v>
      </c>
      <c r="F15" s="244">
        <v>5.3199999999999997E-2</v>
      </c>
      <c r="G15" s="245">
        <v>36951</v>
      </c>
      <c r="H15" s="246">
        <v>38754</v>
      </c>
      <c r="I15" s="247">
        <v>0.11217000000000001</v>
      </c>
      <c r="P15" s="242">
        <v>37012</v>
      </c>
      <c r="Q15" s="243">
        <v>9.0179999999999996E-2</v>
      </c>
      <c r="R15" s="243">
        <v>-1.97E-3</v>
      </c>
      <c r="T15" s="242">
        <v>37012</v>
      </c>
      <c r="U15" s="243">
        <v>7.2859999999999994E-2</v>
      </c>
      <c r="V15" s="243">
        <v>1.5350000000000001E-2</v>
      </c>
    </row>
    <row r="16" spans="1:22" x14ac:dyDescent="0.25">
      <c r="A16" s="244">
        <v>7.4099999999999999E-2</v>
      </c>
      <c r="B16" s="245">
        <v>37288</v>
      </c>
      <c r="C16" s="246">
        <v>39239</v>
      </c>
      <c r="D16" s="247">
        <v>0.13769000000000001</v>
      </c>
      <c r="F16" s="244">
        <v>5.357E-2</v>
      </c>
      <c r="G16" s="245">
        <v>37316</v>
      </c>
      <c r="H16" s="246">
        <v>39821</v>
      </c>
      <c r="I16" s="247">
        <v>0.10845</v>
      </c>
      <c r="P16" s="242">
        <v>37043</v>
      </c>
      <c r="Q16" s="243">
        <v>9.962E-2</v>
      </c>
      <c r="R16" s="243">
        <v>1.6100000000000001E-3</v>
      </c>
      <c r="T16" s="242">
        <v>37043</v>
      </c>
      <c r="U16" s="243">
        <v>8.0939999999999998E-2</v>
      </c>
      <c r="V16" s="243">
        <v>2.0289999999999999E-2</v>
      </c>
    </row>
    <row r="17" spans="1:22" x14ac:dyDescent="0.25">
      <c r="A17" s="244">
        <v>7.4950000000000003E-2</v>
      </c>
      <c r="B17" s="245">
        <v>37653</v>
      </c>
      <c r="C17" s="246">
        <v>38534</v>
      </c>
      <c r="D17" s="247">
        <v>0.13693</v>
      </c>
      <c r="F17" s="244">
        <v>5.357E-2</v>
      </c>
      <c r="G17" s="245">
        <v>37347</v>
      </c>
      <c r="H17" s="246">
        <v>38782</v>
      </c>
      <c r="I17" s="247">
        <v>0.1071</v>
      </c>
      <c r="P17" s="242">
        <v>37073</v>
      </c>
      <c r="Q17" s="243">
        <v>0.12017</v>
      </c>
      <c r="R17" s="243">
        <v>-7.5300000000000002E-3</v>
      </c>
      <c r="T17" s="242">
        <v>37073</v>
      </c>
      <c r="U17" s="243">
        <v>9.962E-2</v>
      </c>
      <c r="V17" s="243">
        <v>1.302E-2</v>
      </c>
    </row>
    <row r="18" spans="1:22" x14ac:dyDescent="0.25">
      <c r="A18" s="244">
        <v>7.5609999999999997E-2</v>
      </c>
      <c r="B18" s="245">
        <v>37500</v>
      </c>
      <c r="C18" s="246">
        <v>38782</v>
      </c>
      <c r="D18" s="247">
        <v>0.13614999999999999</v>
      </c>
      <c r="F18" s="244">
        <v>5.4359999999999999E-2</v>
      </c>
      <c r="G18" s="245">
        <v>36678</v>
      </c>
      <c r="H18" s="246">
        <v>39546</v>
      </c>
      <c r="I18" s="247">
        <v>0.10512000000000001</v>
      </c>
      <c r="P18" s="242">
        <v>37104</v>
      </c>
      <c r="Q18" s="243">
        <v>0.12017</v>
      </c>
      <c r="R18" s="243">
        <v>-7.3099999999999997E-3</v>
      </c>
      <c r="T18" s="242">
        <v>37104</v>
      </c>
      <c r="U18" s="243">
        <v>9.962E-2</v>
      </c>
      <c r="V18" s="243">
        <v>1.324E-2</v>
      </c>
    </row>
    <row r="19" spans="1:22" x14ac:dyDescent="0.25">
      <c r="A19" s="244">
        <v>7.5759999999999994E-2</v>
      </c>
      <c r="B19" s="245">
        <v>37712</v>
      </c>
      <c r="C19" s="246">
        <v>39607</v>
      </c>
      <c r="D19" s="247">
        <v>0.13613</v>
      </c>
      <c r="F19" s="244">
        <v>5.5160000000000001E-2</v>
      </c>
      <c r="G19" s="245">
        <v>36831</v>
      </c>
      <c r="H19" s="246">
        <v>39453</v>
      </c>
      <c r="I19" s="247">
        <v>0.10457</v>
      </c>
      <c r="P19" s="242">
        <v>37135</v>
      </c>
      <c r="Q19" s="243">
        <v>8.9349999999999999E-2</v>
      </c>
      <c r="R19" s="243">
        <v>4.0499999999999998E-3</v>
      </c>
      <c r="T19" s="242">
        <v>37135</v>
      </c>
      <c r="U19" s="243">
        <v>7.1609999999999993E-2</v>
      </c>
      <c r="V19" s="243">
        <v>2.179E-2</v>
      </c>
    </row>
    <row r="20" spans="1:22" x14ac:dyDescent="0.25">
      <c r="A20" s="244">
        <v>7.5770000000000004E-2</v>
      </c>
      <c r="B20" s="245">
        <v>36831</v>
      </c>
      <c r="C20" s="246">
        <v>38935</v>
      </c>
      <c r="D20" s="247">
        <v>0.13421</v>
      </c>
      <c r="F20" s="244">
        <v>5.5169999999999997E-2</v>
      </c>
      <c r="G20" s="245">
        <v>37257</v>
      </c>
      <c r="H20" s="246">
        <v>39300</v>
      </c>
      <c r="I20" s="247">
        <v>0.10451000000000001</v>
      </c>
      <c r="P20" s="242">
        <v>37165</v>
      </c>
      <c r="Q20" s="243">
        <v>8.6249999999999993E-2</v>
      </c>
      <c r="R20" s="243">
        <v>-5.0000000000000001E-4</v>
      </c>
      <c r="T20" s="242">
        <v>37165</v>
      </c>
      <c r="U20" s="243">
        <v>6.991E-2</v>
      </c>
      <c r="V20" s="243">
        <v>1.584E-2</v>
      </c>
    </row>
    <row r="21" spans="1:22" x14ac:dyDescent="0.25">
      <c r="A21" s="244">
        <v>7.6240000000000002E-2</v>
      </c>
      <c r="B21" s="245">
        <v>37530</v>
      </c>
      <c r="C21" s="246">
        <v>38874</v>
      </c>
      <c r="D21" s="247">
        <v>0.13250999999999999</v>
      </c>
      <c r="F21" s="244">
        <v>5.5169999999999997E-2</v>
      </c>
      <c r="G21" s="245">
        <v>37288</v>
      </c>
      <c r="H21" s="246">
        <v>38813</v>
      </c>
      <c r="I21" s="247">
        <v>0.10417999999999999</v>
      </c>
      <c r="P21" s="242">
        <v>37196</v>
      </c>
      <c r="Q21" s="243">
        <v>6.5710000000000005E-2</v>
      </c>
      <c r="R21" s="243">
        <v>4.5399999999999998E-3</v>
      </c>
      <c r="T21" s="242">
        <v>37196</v>
      </c>
      <c r="U21" s="243">
        <v>5.0430000000000003E-2</v>
      </c>
      <c r="V21" s="243">
        <v>1.9820000000000001E-2</v>
      </c>
    </row>
    <row r="22" spans="1:22" x14ac:dyDescent="0.25">
      <c r="A22" s="244">
        <v>7.6469999999999996E-2</v>
      </c>
      <c r="B22" s="245">
        <v>37622</v>
      </c>
      <c r="C22" s="246">
        <v>38813</v>
      </c>
      <c r="D22" s="247">
        <v>0.13170999999999999</v>
      </c>
      <c r="F22" s="244">
        <v>5.525E-2</v>
      </c>
      <c r="G22" s="245">
        <v>38261</v>
      </c>
      <c r="H22" s="246">
        <v>39515</v>
      </c>
      <c r="I22" s="247">
        <v>0.10395</v>
      </c>
      <c r="P22" s="242">
        <v>37226</v>
      </c>
      <c r="Q22" s="243">
        <v>6.5710000000000005E-2</v>
      </c>
      <c r="R22" s="243">
        <v>4.9599999999999998E-2</v>
      </c>
      <c r="T22" s="242">
        <v>37226</v>
      </c>
      <c r="U22" s="243">
        <v>5.0430000000000003E-2</v>
      </c>
      <c r="V22" s="243">
        <v>2.0240000000000001E-2</v>
      </c>
    </row>
    <row r="23" spans="1:22" x14ac:dyDescent="0.25">
      <c r="A23" s="244">
        <v>7.6719999999999997E-2</v>
      </c>
      <c r="B23" s="245">
        <v>40064</v>
      </c>
      <c r="C23" s="246">
        <v>39208</v>
      </c>
      <c r="D23" s="247">
        <v>0.13075999999999999</v>
      </c>
      <c r="F23" s="244">
        <v>5.7189999999999998E-2</v>
      </c>
      <c r="G23" s="245">
        <v>38231</v>
      </c>
      <c r="H23" s="246">
        <v>38904</v>
      </c>
      <c r="I23" s="247">
        <v>9.9940000000000001E-2</v>
      </c>
      <c r="P23" s="242">
        <v>37257</v>
      </c>
      <c r="Q23" s="243">
        <v>7.4099999999999999E-2</v>
      </c>
      <c r="R23" s="243">
        <v>4.4999999999999997E-3</v>
      </c>
      <c r="T23" s="242">
        <v>37257</v>
      </c>
      <c r="U23" s="243">
        <v>5.5169999999999997E-2</v>
      </c>
      <c r="V23" s="243">
        <v>2.3429999999999999E-2</v>
      </c>
    </row>
    <row r="24" spans="1:22" x14ac:dyDescent="0.25">
      <c r="A24" s="244">
        <v>7.8090000000000007E-2</v>
      </c>
      <c r="B24" s="245">
        <v>40276</v>
      </c>
      <c r="C24" s="246">
        <v>39576</v>
      </c>
      <c r="D24" s="247">
        <v>0.13013999999999998</v>
      </c>
      <c r="F24" s="244">
        <v>5.8560000000000001E-2</v>
      </c>
      <c r="G24" s="245">
        <v>37926</v>
      </c>
      <c r="H24" s="246">
        <v>37073</v>
      </c>
      <c r="I24" s="247">
        <v>9.962E-2</v>
      </c>
      <c r="P24" s="242">
        <v>37288</v>
      </c>
      <c r="Q24" s="243">
        <v>7.4099999999999999E-2</v>
      </c>
      <c r="R24" s="243">
        <v>5.2399999999999999E-3</v>
      </c>
      <c r="T24" s="242">
        <v>37288</v>
      </c>
      <c r="U24" s="243">
        <v>5.5169999999999997E-2</v>
      </c>
      <c r="V24" s="243">
        <v>2.4170000000000001E-2</v>
      </c>
    </row>
    <row r="25" spans="1:22" x14ac:dyDescent="0.25">
      <c r="A25" s="244">
        <v>7.8340000000000007E-2</v>
      </c>
      <c r="B25" s="245">
        <v>40245</v>
      </c>
      <c r="C25" s="246">
        <v>39453</v>
      </c>
      <c r="D25" s="247">
        <v>0.12891</v>
      </c>
      <c r="F25" s="244">
        <v>5.9089999999999997E-2</v>
      </c>
      <c r="G25" s="245">
        <v>36923</v>
      </c>
      <c r="H25" s="246">
        <v>37104</v>
      </c>
      <c r="I25" s="247">
        <v>9.962E-2</v>
      </c>
      <c r="P25" s="242">
        <v>37316</v>
      </c>
      <c r="Q25" s="243">
        <v>7.3120000000000004E-2</v>
      </c>
      <c r="R25" s="243">
        <v>1.375E-2</v>
      </c>
      <c r="T25" s="242">
        <v>37316</v>
      </c>
      <c r="U25" s="243">
        <v>5.357E-2</v>
      </c>
      <c r="V25" s="243">
        <v>3.3300000000000003E-2</v>
      </c>
    </row>
    <row r="26" spans="1:22" x14ac:dyDescent="0.25">
      <c r="A26" s="244">
        <v>7.9240000000000005E-2</v>
      </c>
      <c r="B26" s="245">
        <v>40094</v>
      </c>
      <c r="C26" s="246">
        <v>39361</v>
      </c>
      <c r="D26" s="247">
        <v>0.128</v>
      </c>
      <c r="F26" s="244">
        <v>5.9429999999999997E-2</v>
      </c>
      <c r="G26" s="245">
        <v>37500</v>
      </c>
      <c r="H26" s="246">
        <v>39088</v>
      </c>
      <c r="I26" s="247">
        <v>9.7540000000000002E-2</v>
      </c>
      <c r="P26" s="242">
        <v>37347</v>
      </c>
      <c r="Q26" s="243">
        <v>7.1639999999999995E-2</v>
      </c>
      <c r="R26" s="243">
        <v>1.4579999999999999E-2</v>
      </c>
      <c r="T26" s="242">
        <v>37347</v>
      </c>
      <c r="U26" s="243">
        <v>5.357E-2</v>
      </c>
      <c r="V26" s="243">
        <v>3.2649999999999998E-2</v>
      </c>
    </row>
    <row r="27" spans="1:22" x14ac:dyDescent="0.25">
      <c r="A27" s="244">
        <v>7.9699999999999993E-2</v>
      </c>
      <c r="B27" s="245">
        <v>36923</v>
      </c>
      <c r="C27" s="246">
        <v>38996</v>
      </c>
      <c r="D27" s="247">
        <v>0.12772</v>
      </c>
      <c r="F27" s="244">
        <v>5.953E-2</v>
      </c>
      <c r="G27" s="245">
        <v>37956</v>
      </c>
      <c r="H27" s="246">
        <v>39239</v>
      </c>
      <c r="I27" s="247">
        <v>9.7460000000000005E-2</v>
      </c>
      <c r="P27" s="242">
        <v>37408</v>
      </c>
      <c r="Q27" s="243">
        <v>8.6370000000000002E-2</v>
      </c>
      <c r="R27" s="243">
        <v>5.8399999999999997E-3</v>
      </c>
      <c r="T27" s="242">
        <v>37408</v>
      </c>
      <c r="U27" s="243">
        <v>6.9489999999999996E-2</v>
      </c>
      <c r="V27" s="243">
        <v>2.2720000000000001E-2</v>
      </c>
    </row>
    <row r="28" spans="1:22" x14ac:dyDescent="0.25">
      <c r="A28" s="244">
        <v>8.163999999999999E-2</v>
      </c>
      <c r="B28" s="245">
        <v>40033</v>
      </c>
      <c r="C28" s="246">
        <v>38569</v>
      </c>
      <c r="D28" s="247">
        <v>0.12753</v>
      </c>
      <c r="F28" s="244">
        <v>6.0089999999999998E-2</v>
      </c>
      <c r="G28" s="245">
        <v>38108</v>
      </c>
      <c r="H28" s="246">
        <v>39790</v>
      </c>
      <c r="I28" s="247">
        <v>9.7320000000000004E-2</v>
      </c>
      <c r="P28" s="242">
        <v>37438</v>
      </c>
      <c r="Q28" s="243">
        <v>9.7720000000000001E-2</v>
      </c>
      <c r="R28" s="243">
        <v>-3.0699999999999998E-3</v>
      </c>
      <c r="T28" s="242">
        <v>37438</v>
      </c>
      <c r="U28" s="243">
        <v>8.1769999999999995E-2</v>
      </c>
      <c r="V28" s="243">
        <v>1.2880000000000001E-2</v>
      </c>
    </row>
    <row r="29" spans="1:22" x14ac:dyDescent="0.25">
      <c r="A29" s="244">
        <v>8.1659999999999996E-2</v>
      </c>
      <c r="B29" s="245">
        <v>36861</v>
      </c>
      <c r="C29" s="246">
        <v>39821</v>
      </c>
      <c r="D29" s="247">
        <v>0.12695000000000001</v>
      </c>
      <c r="F29" s="244">
        <v>6.0740000000000002E-2</v>
      </c>
      <c r="G29" s="245">
        <v>37530</v>
      </c>
      <c r="H29" s="246">
        <v>38996</v>
      </c>
      <c r="I29" s="247">
        <v>9.6390000000000003E-2</v>
      </c>
      <c r="P29" s="242">
        <v>37469</v>
      </c>
      <c r="Q29" s="243">
        <v>9.8799999999999999E-2</v>
      </c>
      <c r="R29" s="243">
        <v>-3.1099999999999999E-3</v>
      </c>
      <c r="T29" s="242">
        <v>37469</v>
      </c>
      <c r="U29" s="243">
        <v>8.2849999999999993E-2</v>
      </c>
      <c r="V29" s="243">
        <v>1.2840000000000001E-2</v>
      </c>
    </row>
    <row r="30" spans="1:22" x14ac:dyDescent="0.25">
      <c r="A30" s="244">
        <v>8.2239999999999994E-2</v>
      </c>
      <c r="B30" s="245">
        <v>36770</v>
      </c>
      <c r="C30" s="246">
        <v>39331</v>
      </c>
      <c r="D30" s="247">
        <v>0.12592</v>
      </c>
      <c r="F30" s="244">
        <v>6.1019999999999998E-2</v>
      </c>
      <c r="G30" s="245">
        <v>38139</v>
      </c>
      <c r="H30" s="246">
        <v>38935</v>
      </c>
      <c r="I30" s="247">
        <v>9.5460000000000003E-2</v>
      </c>
      <c r="P30" s="242">
        <v>37500</v>
      </c>
      <c r="Q30" s="243">
        <v>7.5609999999999997E-2</v>
      </c>
      <c r="R30" s="243">
        <v>5.2900000000000004E-3</v>
      </c>
      <c r="T30" s="242">
        <v>37500</v>
      </c>
      <c r="U30" s="243">
        <v>5.9429999999999997E-2</v>
      </c>
      <c r="V30" s="243">
        <v>2.147E-2</v>
      </c>
    </row>
    <row r="31" spans="1:22" x14ac:dyDescent="0.25">
      <c r="A31" s="244">
        <v>8.5359999999999991E-2</v>
      </c>
      <c r="B31" s="245">
        <v>40155</v>
      </c>
      <c r="C31" s="246">
        <v>38843</v>
      </c>
      <c r="D31" s="247">
        <v>0.12439</v>
      </c>
      <c r="F31" s="244">
        <v>6.1060000000000003E-2</v>
      </c>
      <c r="G31" s="245">
        <v>36861</v>
      </c>
      <c r="H31" s="246">
        <v>39852</v>
      </c>
      <c r="I31" s="247">
        <v>9.5149999999999998E-2</v>
      </c>
      <c r="P31" s="242">
        <v>37530</v>
      </c>
      <c r="Q31" s="243">
        <v>7.6240000000000002E-2</v>
      </c>
      <c r="R31" s="243">
        <v>4.0800000000000003E-3</v>
      </c>
      <c r="T31" s="242">
        <v>37530</v>
      </c>
      <c r="U31" s="243">
        <v>6.0740000000000002E-2</v>
      </c>
      <c r="V31" s="243">
        <v>1.958E-2</v>
      </c>
    </row>
    <row r="32" spans="1:22" x14ac:dyDescent="0.25">
      <c r="A32" s="244">
        <v>8.6249999999999993E-2</v>
      </c>
      <c r="B32" s="245">
        <v>37165</v>
      </c>
      <c r="C32" s="246">
        <v>39515</v>
      </c>
      <c r="D32" s="247">
        <v>0.12385</v>
      </c>
      <c r="F32" s="244">
        <v>6.1069999999999999E-2</v>
      </c>
      <c r="G32" s="245">
        <v>40125</v>
      </c>
      <c r="H32" s="246">
        <v>39361</v>
      </c>
      <c r="I32" s="247">
        <v>9.4109999999999999E-2</v>
      </c>
      <c r="P32" s="242">
        <v>37561</v>
      </c>
      <c r="Q32" s="243">
        <v>6.9989999999999997E-2</v>
      </c>
      <c r="R32" s="243">
        <v>3.5999999999999999E-3</v>
      </c>
      <c r="T32" s="242">
        <v>37561</v>
      </c>
      <c r="U32" s="243">
        <v>4.582E-2</v>
      </c>
      <c r="V32" s="243">
        <v>2.777E-2</v>
      </c>
    </row>
    <row r="33" spans="1:22" x14ac:dyDescent="0.25">
      <c r="A33" s="244">
        <v>8.6370000000000002E-2</v>
      </c>
      <c r="B33" s="245">
        <v>37408</v>
      </c>
      <c r="C33" s="246">
        <v>39546</v>
      </c>
      <c r="D33" s="247">
        <v>0.12253</v>
      </c>
      <c r="F33" s="244">
        <v>6.1100000000000002E-2</v>
      </c>
      <c r="G33" s="245">
        <v>38047</v>
      </c>
      <c r="H33" s="246">
        <v>39208</v>
      </c>
      <c r="I33" s="247">
        <v>9.2060000000000003E-2</v>
      </c>
      <c r="P33" s="242">
        <v>37591</v>
      </c>
      <c r="Q33" s="243">
        <v>7.1290000000000006E-2</v>
      </c>
      <c r="R33" s="243">
        <v>2.5400000000000002E-3</v>
      </c>
      <c r="T33" s="242">
        <v>37591</v>
      </c>
      <c r="U33" s="243">
        <v>4.7120000000000002E-2</v>
      </c>
      <c r="V33" s="243">
        <v>2.6710000000000001E-2</v>
      </c>
    </row>
    <row r="34" spans="1:22" x14ac:dyDescent="0.25">
      <c r="A34" s="244">
        <v>8.6900000000000005E-2</v>
      </c>
      <c r="B34" s="245">
        <v>36678</v>
      </c>
      <c r="C34" s="246">
        <v>38169</v>
      </c>
      <c r="D34" s="247">
        <v>0.12018</v>
      </c>
      <c r="F34" s="244">
        <v>6.1240000000000003E-2</v>
      </c>
      <c r="G34" s="245">
        <v>40064</v>
      </c>
      <c r="H34" s="246">
        <v>39331</v>
      </c>
      <c r="I34" s="247">
        <v>9.153E-2</v>
      </c>
      <c r="P34" s="242">
        <v>37622</v>
      </c>
      <c r="Q34" s="243">
        <v>7.6469999999999996E-2</v>
      </c>
      <c r="R34" s="243">
        <v>8.1999999999999998E-4</v>
      </c>
      <c r="T34" s="242">
        <v>37622</v>
      </c>
      <c r="U34" s="243">
        <v>5.0090000000000003E-2</v>
      </c>
      <c r="V34" s="243">
        <v>2.7199999999999998E-2</v>
      </c>
    </row>
    <row r="35" spans="1:22" x14ac:dyDescent="0.25">
      <c r="A35" s="244">
        <v>8.7230000000000002E-2</v>
      </c>
      <c r="B35" s="245">
        <v>37926</v>
      </c>
      <c r="C35" s="246">
        <v>37073</v>
      </c>
      <c r="D35" s="247">
        <v>0.12017</v>
      </c>
      <c r="F35" s="244">
        <v>6.2429999999999999E-2</v>
      </c>
      <c r="G35" s="245">
        <v>40094</v>
      </c>
      <c r="H35" s="246">
        <v>39178</v>
      </c>
      <c r="I35" s="247">
        <v>8.9840000000000003E-2</v>
      </c>
      <c r="P35" s="242">
        <v>37653</v>
      </c>
      <c r="Q35" s="243">
        <v>7.4950000000000003E-2</v>
      </c>
      <c r="R35" s="243">
        <v>1.4400000000000001E-3</v>
      </c>
      <c r="T35" s="242">
        <v>37653</v>
      </c>
      <c r="U35" s="243">
        <v>4.8570000000000002E-2</v>
      </c>
      <c r="V35" s="243">
        <v>2.7820000000000001E-2</v>
      </c>
    </row>
    <row r="36" spans="1:22" x14ac:dyDescent="0.25">
      <c r="A36" s="244">
        <v>8.8459999999999997E-2</v>
      </c>
      <c r="B36" s="245">
        <v>39941</v>
      </c>
      <c r="C36" s="246">
        <v>37104</v>
      </c>
      <c r="D36" s="247">
        <v>0.12017</v>
      </c>
      <c r="F36" s="244">
        <v>6.2460000000000002E-2</v>
      </c>
      <c r="G36" s="245">
        <v>38322</v>
      </c>
      <c r="H36" s="246">
        <v>39119</v>
      </c>
      <c r="I36" s="247">
        <v>8.9359999999999995E-2</v>
      </c>
      <c r="P36" s="242">
        <v>37681</v>
      </c>
      <c r="Q36" s="243">
        <v>7.1559999999999999E-2</v>
      </c>
      <c r="R36" s="243">
        <v>3.98E-3</v>
      </c>
      <c r="T36" s="242">
        <v>37681</v>
      </c>
      <c r="U36" s="243">
        <v>4.6039999999999998E-2</v>
      </c>
      <c r="V36" s="243">
        <v>2.9499999999999998E-2</v>
      </c>
    </row>
    <row r="37" spans="1:22" x14ac:dyDescent="0.25">
      <c r="A37" s="244">
        <v>8.8609999999999994E-2</v>
      </c>
      <c r="B37" s="245">
        <v>38047</v>
      </c>
      <c r="C37" s="246">
        <v>38630</v>
      </c>
      <c r="D37" s="247">
        <v>0.11928</v>
      </c>
      <c r="F37" s="244">
        <v>6.2579999999999997E-2</v>
      </c>
      <c r="G37" s="245">
        <v>37895</v>
      </c>
      <c r="H37" s="246">
        <v>39147</v>
      </c>
      <c r="I37" s="247">
        <v>8.9289999999999994E-2</v>
      </c>
      <c r="P37" s="242">
        <v>37712</v>
      </c>
      <c r="Q37" s="243">
        <v>7.5759999999999994E-2</v>
      </c>
      <c r="R37" s="243">
        <v>3.82E-3</v>
      </c>
      <c r="T37" s="242">
        <v>37712</v>
      </c>
      <c r="U37" s="243">
        <v>5.024E-2</v>
      </c>
      <c r="V37" s="243">
        <v>2.9340000000000001E-2</v>
      </c>
    </row>
    <row r="38" spans="1:22" x14ac:dyDescent="0.25">
      <c r="A38" s="244">
        <v>8.8679999999999995E-2</v>
      </c>
      <c r="B38" s="245">
        <v>37956</v>
      </c>
      <c r="C38" s="246">
        <v>39088</v>
      </c>
      <c r="D38" s="247">
        <v>0.11902</v>
      </c>
      <c r="F38" s="244">
        <v>6.361E-2</v>
      </c>
      <c r="G38" s="245">
        <v>38078</v>
      </c>
      <c r="H38" s="246">
        <v>38534</v>
      </c>
      <c r="I38" s="247">
        <v>8.881E-2</v>
      </c>
      <c r="P38" s="242">
        <v>37742</v>
      </c>
      <c r="Q38" s="243">
        <v>9.7350000000000006E-2</v>
      </c>
      <c r="R38" s="243">
        <v>-1.9000000000000001E-4</v>
      </c>
      <c r="T38" s="242">
        <v>37742</v>
      </c>
      <c r="U38" s="243">
        <v>6.6369999999999998E-2</v>
      </c>
      <c r="V38" s="243">
        <v>3.0790000000000001E-2</v>
      </c>
    </row>
    <row r="39" spans="1:22" x14ac:dyDescent="0.25">
      <c r="A39" s="244">
        <v>8.9349999999999999E-2</v>
      </c>
      <c r="B39" s="245">
        <v>37135</v>
      </c>
      <c r="C39" s="246">
        <v>38600</v>
      </c>
      <c r="D39" s="247">
        <v>0.11806</v>
      </c>
      <c r="F39" s="244">
        <v>6.3689999999999997E-2</v>
      </c>
      <c r="G39" s="245">
        <v>36708</v>
      </c>
      <c r="H39" s="246">
        <v>39422</v>
      </c>
      <c r="I39" s="247">
        <v>8.7249999999999994E-2</v>
      </c>
      <c r="P39" s="242">
        <v>37773</v>
      </c>
      <c r="Q39" s="243">
        <v>0.10255</v>
      </c>
      <c r="R39" s="243">
        <v>2.1199999999999999E-3</v>
      </c>
      <c r="T39" s="242">
        <v>37773</v>
      </c>
      <c r="U39" s="243">
        <v>6.7430000000000004E-2</v>
      </c>
      <c r="V39" s="243">
        <v>3.7240000000000002E-2</v>
      </c>
    </row>
    <row r="40" spans="1:22" x14ac:dyDescent="0.25">
      <c r="A40" s="244">
        <v>8.9520000000000002E-2</v>
      </c>
      <c r="B40" s="245">
        <v>36892</v>
      </c>
      <c r="C40" s="246">
        <v>38966</v>
      </c>
      <c r="D40" s="247">
        <v>0.11785</v>
      </c>
      <c r="F40" s="244">
        <v>6.3689999999999997E-2</v>
      </c>
      <c r="G40" s="245">
        <v>36739</v>
      </c>
      <c r="H40" s="246">
        <v>38966</v>
      </c>
      <c r="I40" s="247">
        <v>8.5699999999999998E-2</v>
      </c>
      <c r="P40" s="242">
        <v>37803</v>
      </c>
      <c r="Q40" s="243">
        <v>0.11753</v>
      </c>
      <c r="R40" s="243">
        <v>-5.7400000000000003E-3</v>
      </c>
      <c r="T40" s="242">
        <v>37803</v>
      </c>
      <c r="U40" s="243">
        <v>7.6170000000000002E-2</v>
      </c>
      <c r="V40" s="243">
        <v>3.5619999999999999E-2</v>
      </c>
    </row>
    <row r="41" spans="1:22" x14ac:dyDescent="0.25">
      <c r="A41" s="244">
        <v>9.0179999999999996E-2</v>
      </c>
      <c r="B41" s="245">
        <v>37012</v>
      </c>
      <c r="C41" s="246">
        <v>37803</v>
      </c>
      <c r="D41" s="247">
        <v>0.11753</v>
      </c>
      <c r="F41" s="244">
        <v>6.4129999999999993E-2</v>
      </c>
      <c r="G41" s="245">
        <v>40033</v>
      </c>
      <c r="H41" s="246">
        <v>40002</v>
      </c>
      <c r="I41" s="247">
        <v>8.5370000000000001E-2</v>
      </c>
      <c r="P41" s="242">
        <v>37834</v>
      </c>
      <c r="Q41" s="243">
        <v>0.11555</v>
      </c>
      <c r="R41" s="243">
        <v>-5.5300000000000002E-3</v>
      </c>
      <c r="T41" s="242">
        <v>37834</v>
      </c>
      <c r="U41" s="243">
        <v>7.4219999999999994E-2</v>
      </c>
      <c r="V41" s="243">
        <v>3.5799999999999998E-2</v>
      </c>
    </row>
    <row r="42" spans="1:22" x14ac:dyDescent="0.25">
      <c r="A42" s="244">
        <v>9.0249999999999997E-2</v>
      </c>
      <c r="B42" s="245">
        <v>40217</v>
      </c>
      <c r="C42" s="246">
        <v>37834</v>
      </c>
      <c r="D42" s="247">
        <v>0.11555</v>
      </c>
      <c r="F42" s="244">
        <v>6.4579999999999999E-2</v>
      </c>
      <c r="G42" s="245">
        <v>38292</v>
      </c>
      <c r="H42" s="246">
        <v>39392</v>
      </c>
      <c r="I42" s="247">
        <v>8.516E-2</v>
      </c>
      <c r="P42" s="242">
        <v>37865</v>
      </c>
      <c r="Q42" s="243">
        <v>9.6009999999999998E-2</v>
      </c>
      <c r="R42" s="243">
        <v>3.8000000000000002E-4</v>
      </c>
      <c r="T42" s="242">
        <v>37865</v>
      </c>
      <c r="U42" s="243">
        <v>6.4799999999999996E-2</v>
      </c>
      <c r="V42" s="243">
        <v>3.159E-2</v>
      </c>
    </row>
    <row r="43" spans="1:22" x14ac:dyDescent="0.25">
      <c r="A43" s="244">
        <v>9.1120000000000007E-2</v>
      </c>
      <c r="B43" s="245">
        <v>38078</v>
      </c>
      <c r="C43" s="246">
        <v>38200</v>
      </c>
      <c r="D43" s="247">
        <v>0.11509999999999999</v>
      </c>
      <c r="F43" s="244">
        <v>6.4799999999999996E-2</v>
      </c>
      <c r="G43" s="245">
        <v>37865</v>
      </c>
      <c r="H43" s="246">
        <v>39057</v>
      </c>
      <c r="I43" s="247">
        <v>8.4870000000000001E-2</v>
      </c>
      <c r="P43" s="242">
        <v>37895</v>
      </c>
      <c r="Q43" s="243">
        <v>9.3700000000000006E-2</v>
      </c>
      <c r="R43" s="243">
        <v>-7.5000000000000002E-4</v>
      </c>
      <c r="T43" s="242">
        <v>37895</v>
      </c>
      <c r="U43" s="243">
        <v>6.2579999999999997E-2</v>
      </c>
      <c r="V43" s="243">
        <v>3.0370000000000001E-2</v>
      </c>
    </row>
    <row r="44" spans="1:22" x14ac:dyDescent="0.25">
      <c r="A44" s="244">
        <v>9.2340000000000005E-2</v>
      </c>
      <c r="B44" s="245">
        <v>39027</v>
      </c>
      <c r="C44" s="246">
        <v>38504</v>
      </c>
      <c r="D44" s="247">
        <v>0.11312</v>
      </c>
      <c r="F44" s="244">
        <v>6.6369999999999998E-2</v>
      </c>
      <c r="G44" s="245">
        <v>37742</v>
      </c>
      <c r="H44" s="246">
        <v>40186</v>
      </c>
      <c r="I44" s="247">
        <v>8.4430000000000005E-2</v>
      </c>
      <c r="P44" s="242">
        <v>37926</v>
      </c>
      <c r="Q44" s="243">
        <v>8.7230000000000002E-2</v>
      </c>
      <c r="R44" s="243">
        <v>3.4299999999999999E-3</v>
      </c>
      <c r="T44" s="242">
        <v>37926</v>
      </c>
      <c r="U44" s="243">
        <v>5.8560000000000001E-2</v>
      </c>
      <c r="V44" s="243">
        <v>3.2099999999999997E-2</v>
      </c>
    </row>
    <row r="45" spans="1:22" x14ac:dyDescent="0.25">
      <c r="A45" s="244">
        <v>9.3579999999999997E-2</v>
      </c>
      <c r="B45" s="245">
        <v>39880</v>
      </c>
      <c r="C45" s="246">
        <v>38473</v>
      </c>
      <c r="D45" s="247">
        <v>0.11212999999999999</v>
      </c>
      <c r="F45" s="244">
        <v>6.7430000000000004E-2</v>
      </c>
      <c r="G45" s="245">
        <v>37773</v>
      </c>
      <c r="H45" s="246">
        <v>38569</v>
      </c>
      <c r="I45" s="247">
        <v>8.4040000000000004E-2</v>
      </c>
      <c r="P45" s="242">
        <v>37956</v>
      </c>
      <c r="Q45" s="243">
        <v>8.8679999999999995E-2</v>
      </c>
      <c r="R45" s="243">
        <v>3.8800000000000002E-3</v>
      </c>
      <c r="T45" s="242">
        <v>37956</v>
      </c>
      <c r="U45" s="243">
        <v>5.953E-2</v>
      </c>
      <c r="V45" s="243">
        <v>3.3029999999999997E-2</v>
      </c>
    </row>
    <row r="46" spans="1:22" x14ac:dyDescent="0.25">
      <c r="A46" s="244">
        <v>9.3700000000000006E-2</v>
      </c>
      <c r="B46" s="245">
        <v>37895</v>
      </c>
      <c r="C46" s="246">
        <v>38384</v>
      </c>
      <c r="D46" s="247">
        <v>0.11105</v>
      </c>
      <c r="F46" s="244">
        <v>6.7640000000000006E-2</v>
      </c>
      <c r="G46" s="245">
        <v>37987</v>
      </c>
      <c r="H46" s="246">
        <v>39760</v>
      </c>
      <c r="I46" s="247">
        <v>8.3699999999999997E-2</v>
      </c>
      <c r="P46" s="242">
        <v>37987</v>
      </c>
      <c r="Q46" s="243">
        <v>9.6780000000000005E-2</v>
      </c>
      <c r="R46" s="243">
        <v>2.6099999999999999E-3</v>
      </c>
      <c r="T46" s="242">
        <v>37987</v>
      </c>
      <c r="U46" s="243">
        <v>6.7640000000000006E-2</v>
      </c>
      <c r="V46" s="243">
        <v>3.175E-2</v>
      </c>
    </row>
    <row r="47" spans="1:22" x14ac:dyDescent="0.25">
      <c r="A47" s="244">
        <v>9.4380000000000006E-2</v>
      </c>
      <c r="B47" s="245">
        <v>39911</v>
      </c>
      <c r="C47" s="246">
        <v>39852</v>
      </c>
      <c r="D47" s="247">
        <v>0.10952000000000001</v>
      </c>
      <c r="F47" s="244">
        <v>6.8589999999999998E-2</v>
      </c>
      <c r="G47" s="245">
        <v>38018</v>
      </c>
      <c r="H47" s="246">
        <v>37469</v>
      </c>
      <c r="I47" s="247">
        <v>8.2849999999999993E-2</v>
      </c>
      <c r="P47" s="242">
        <v>38018</v>
      </c>
      <c r="Q47" s="243">
        <v>9.7729999999999997E-2</v>
      </c>
      <c r="R47" s="243">
        <v>2.2899999999999999E-3</v>
      </c>
      <c r="T47" s="242">
        <v>38018</v>
      </c>
      <c r="U47" s="243">
        <v>6.8589999999999998E-2</v>
      </c>
      <c r="V47" s="243">
        <v>3.143E-2</v>
      </c>
    </row>
    <row r="48" spans="1:22" x14ac:dyDescent="0.25">
      <c r="A48" s="244">
        <v>9.4899999999999998E-2</v>
      </c>
      <c r="B48" s="245">
        <v>39760</v>
      </c>
      <c r="C48" s="246">
        <v>38353</v>
      </c>
      <c r="D48" s="247">
        <v>0.10922999999999999</v>
      </c>
      <c r="F48" s="244">
        <v>6.8919999999999995E-2</v>
      </c>
      <c r="G48" s="245">
        <v>36892</v>
      </c>
      <c r="H48" s="246">
        <v>39911</v>
      </c>
      <c r="I48" s="247">
        <v>8.2740000000000008E-2</v>
      </c>
      <c r="P48" s="242">
        <v>38047</v>
      </c>
      <c r="Q48" s="243">
        <v>8.8609999999999994E-2</v>
      </c>
      <c r="R48" s="243">
        <v>4.4799999999999996E-3</v>
      </c>
      <c r="T48" s="242">
        <v>38047</v>
      </c>
      <c r="U48" s="243">
        <v>6.1100000000000002E-2</v>
      </c>
      <c r="V48" s="243">
        <v>3.1989999999999998E-2</v>
      </c>
    </row>
    <row r="49" spans="1:22" x14ac:dyDescent="0.25">
      <c r="A49" s="244">
        <v>9.5329999999999998E-2</v>
      </c>
      <c r="B49" s="245">
        <v>39972</v>
      </c>
      <c r="C49" s="246">
        <v>39790</v>
      </c>
      <c r="D49" s="247">
        <v>0.10802</v>
      </c>
      <c r="F49" s="244">
        <v>6.8959999999999994E-2</v>
      </c>
      <c r="G49" s="245">
        <v>38169</v>
      </c>
      <c r="H49" s="246">
        <v>38874</v>
      </c>
      <c r="I49" s="247">
        <v>8.2409999999999997E-2</v>
      </c>
      <c r="P49" s="242">
        <v>38078</v>
      </c>
      <c r="Q49" s="243">
        <v>9.1120000000000007E-2</v>
      </c>
      <c r="R49" s="243">
        <v>5.0600000000000003E-3</v>
      </c>
      <c r="T49" s="242">
        <v>38078</v>
      </c>
      <c r="U49" s="243">
        <v>6.361E-2</v>
      </c>
      <c r="V49" s="243">
        <v>3.2570000000000002E-2</v>
      </c>
    </row>
    <row r="50" spans="1:22" x14ac:dyDescent="0.25">
      <c r="A50" s="244">
        <v>9.5680000000000001E-2</v>
      </c>
      <c r="B50" s="245">
        <v>38139</v>
      </c>
      <c r="C50" s="246">
        <v>39422</v>
      </c>
      <c r="D50" s="247">
        <v>0.1079</v>
      </c>
      <c r="F50" s="244">
        <v>6.9379999999999997E-2</v>
      </c>
      <c r="G50" s="245">
        <v>38200</v>
      </c>
      <c r="H50" s="246">
        <v>39880</v>
      </c>
      <c r="I50" s="247">
        <v>8.1960000000000005E-2</v>
      </c>
      <c r="P50" s="242">
        <v>38108</v>
      </c>
      <c r="Q50" s="243">
        <v>9.6060000000000006E-2</v>
      </c>
      <c r="R50" s="243">
        <v>7.1900000000000002E-3</v>
      </c>
      <c r="T50" s="242">
        <v>38108</v>
      </c>
      <c r="U50" s="243">
        <v>6.0089999999999998E-2</v>
      </c>
      <c r="V50" s="243">
        <v>3.7159999999999999E-2</v>
      </c>
    </row>
    <row r="51" spans="1:22" x14ac:dyDescent="0.25">
      <c r="A51" s="244">
        <v>9.6009999999999998E-2</v>
      </c>
      <c r="B51" s="245">
        <v>37865</v>
      </c>
      <c r="C51" s="246">
        <v>40002</v>
      </c>
      <c r="D51" s="247">
        <v>0.10747</v>
      </c>
      <c r="F51" s="244">
        <v>6.9489999999999996E-2</v>
      </c>
      <c r="G51" s="245">
        <v>37408</v>
      </c>
      <c r="H51" s="246">
        <v>37438</v>
      </c>
      <c r="I51" s="247">
        <v>8.1769999999999995E-2</v>
      </c>
      <c r="P51" s="242">
        <v>38139</v>
      </c>
      <c r="Q51" s="243">
        <v>9.5680000000000001E-2</v>
      </c>
      <c r="R51" s="243">
        <v>1.291E-2</v>
      </c>
      <c r="T51" s="242">
        <v>38139</v>
      </c>
      <c r="U51" s="243">
        <v>6.1019999999999998E-2</v>
      </c>
      <c r="V51" s="243">
        <v>4.1790000000000001E-2</v>
      </c>
    </row>
    <row r="52" spans="1:22" x14ac:dyDescent="0.25">
      <c r="A52" s="244">
        <v>9.6060000000000006E-2</v>
      </c>
      <c r="B52" s="245">
        <v>38108</v>
      </c>
      <c r="C52" s="246">
        <v>39057</v>
      </c>
      <c r="D52" s="247">
        <v>0.10673000000000001</v>
      </c>
      <c r="F52" s="244">
        <v>6.991E-2</v>
      </c>
      <c r="G52" s="245">
        <v>37165</v>
      </c>
      <c r="H52" s="246">
        <v>40217</v>
      </c>
      <c r="I52" s="247">
        <v>8.133E-2</v>
      </c>
      <c r="P52" s="242">
        <v>38169</v>
      </c>
      <c r="Q52" s="243">
        <v>0.12018</v>
      </c>
      <c r="R52" s="243">
        <v>-1.0000000000000001E-5</v>
      </c>
      <c r="T52" s="242">
        <v>38169</v>
      </c>
      <c r="U52" s="243">
        <v>6.8959999999999994E-2</v>
      </c>
      <c r="V52" s="243">
        <v>4.267E-2</v>
      </c>
    </row>
    <row r="53" spans="1:22" x14ac:dyDescent="0.25">
      <c r="A53" s="244">
        <v>9.6759999999999999E-2</v>
      </c>
      <c r="B53" s="245">
        <v>38322</v>
      </c>
      <c r="C53" s="246">
        <v>38412</v>
      </c>
      <c r="D53" s="247">
        <v>0.10581</v>
      </c>
      <c r="F53" s="244">
        <v>7.0569999999999994E-2</v>
      </c>
      <c r="G53" s="245">
        <v>40276</v>
      </c>
      <c r="H53" s="246">
        <v>38630</v>
      </c>
      <c r="I53" s="247">
        <v>8.1140000000000004E-2</v>
      </c>
      <c r="P53" s="242">
        <v>38200</v>
      </c>
      <c r="Q53" s="243">
        <v>0.11509999999999999</v>
      </c>
      <c r="R53" s="243">
        <v>3.1800000000000001E-3</v>
      </c>
      <c r="T53" s="242">
        <v>38200</v>
      </c>
      <c r="U53" s="243">
        <v>6.9379999999999997E-2</v>
      </c>
      <c r="V53" s="243">
        <v>4.1279999999999997E-2</v>
      </c>
    </row>
    <row r="54" spans="1:22" x14ac:dyDescent="0.25">
      <c r="A54" s="244">
        <v>9.6780000000000005E-2</v>
      </c>
      <c r="B54" s="245">
        <v>37987</v>
      </c>
      <c r="C54" s="246">
        <v>39392</v>
      </c>
      <c r="D54" s="247">
        <v>0.10581</v>
      </c>
      <c r="F54" s="244">
        <v>7.1459999999999996E-2</v>
      </c>
      <c r="G54" s="245">
        <v>38443</v>
      </c>
      <c r="H54" s="246">
        <v>37043</v>
      </c>
      <c r="I54" s="247">
        <v>8.0939999999999998E-2</v>
      </c>
      <c r="P54" s="242">
        <v>38231</v>
      </c>
      <c r="Q54" s="243">
        <v>0.10201</v>
      </c>
      <c r="R54" s="243">
        <v>4.4900000000000001E-3</v>
      </c>
      <c r="T54" s="242">
        <v>38231</v>
      </c>
      <c r="U54" s="243">
        <v>5.7189999999999998E-2</v>
      </c>
      <c r="V54" s="243">
        <v>4.1840000000000002E-2</v>
      </c>
    </row>
    <row r="55" spans="1:22" x14ac:dyDescent="0.25">
      <c r="A55" s="244">
        <v>9.7350000000000006E-2</v>
      </c>
      <c r="B55" s="245">
        <v>37742</v>
      </c>
      <c r="C55" s="246">
        <v>39178</v>
      </c>
      <c r="D55" s="247">
        <v>0.10495</v>
      </c>
      <c r="F55" s="244">
        <v>7.1609999999999993E-2</v>
      </c>
      <c r="G55" s="245">
        <v>37135</v>
      </c>
      <c r="H55" s="246">
        <v>38600</v>
      </c>
      <c r="I55" s="247">
        <v>7.9530000000000003E-2</v>
      </c>
      <c r="P55" s="242">
        <v>38261</v>
      </c>
      <c r="Q55" s="243">
        <v>9.7659999999999997E-2</v>
      </c>
      <c r="R55" s="243">
        <v>4.7499999999999999E-3</v>
      </c>
      <c r="T55" s="242">
        <v>38261</v>
      </c>
      <c r="U55" s="243">
        <v>5.525E-2</v>
      </c>
      <c r="V55" s="243">
        <v>4.0090000000000001E-2</v>
      </c>
    </row>
    <row r="56" spans="1:22" x14ac:dyDescent="0.25">
      <c r="A56" s="244">
        <v>9.7659999999999997E-2</v>
      </c>
      <c r="B56" s="245">
        <v>38261</v>
      </c>
      <c r="C56" s="246">
        <v>39147</v>
      </c>
      <c r="D56" s="247">
        <v>0.10439</v>
      </c>
      <c r="F56" s="244">
        <v>7.1739999999999998E-2</v>
      </c>
      <c r="G56" s="245">
        <v>39941</v>
      </c>
      <c r="H56" s="246">
        <v>38843</v>
      </c>
      <c r="I56" s="247">
        <v>7.7719999999999997E-2</v>
      </c>
      <c r="P56" s="242">
        <v>38292</v>
      </c>
      <c r="Q56" s="243">
        <v>9.8360000000000003E-2</v>
      </c>
      <c r="R56" s="243">
        <v>5.7000000000000002E-3</v>
      </c>
      <c r="T56" s="242">
        <v>38292</v>
      </c>
      <c r="U56" s="243">
        <v>6.4579999999999999E-2</v>
      </c>
      <c r="V56" s="243">
        <v>2.8219999999999999E-2</v>
      </c>
    </row>
    <row r="57" spans="1:22" x14ac:dyDescent="0.25">
      <c r="A57" s="244">
        <v>9.7720000000000001E-2</v>
      </c>
      <c r="B57" s="245">
        <v>37438</v>
      </c>
      <c r="C57" s="246">
        <v>38443</v>
      </c>
      <c r="D57" s="247">
        <v>0.10424</v>
      </c>
      <c r="F57" s="244">
        <v>7.2020000000000001E-2</v>
      </c>
      <c r="G57" s="245">
        <v>40245</v>
      </c>
      <c r="H57" s="246">
        <v>39972</v>
      </c>
      <c r="I57" s="247">
        <v>7.6350000000000001E-2</v>
      </c>
      <c r="P57" s="242">
        <v>38322</v>
      </c>
      <c r="Q57" s="243">
        <v>9.6759999999999999E-2</v>
      </c>
      <c r="R57" s="243">
        <v>4.3899999999999998E-3</v>
      </c>
      <c r="T57" s="242">
        <v>38322</v>
      </c>
      <c r="U57" s="243">
        <v>6.2460000000000002E-2</v>
      </c>
      <c r="V57" s="243">
        <v>2.726E-2</v>
      </c>
    </row>
    <row r="58" spans="1:22" x14ac:dyDescent="0.25">
      <c r="A58" s="244">
        <v>9.7729999999999997E-2</v>
      </c>
      <c r="B58" s="245">
        <v>38018</v>
      </c>
      <c r="C58" s="246">
        <v>37773</v>
      </c>
      <c r="D58" s="247">
        <v>0.10255</v>
      </c>
      <c r="F58" s="244">
        <v>7.2090000000000001E-2</v>
      </c>
      <c r="G58" s="245">
        <v>39027</v>
      </c>
      <c r="H58" s="246">
        <v>37803</v>
      </c>
      <c r="I58" s="247">
        <v>7.6170000000000002E-2</v>
      </c>
      <c r="P58" s="242">
        <v>38353</v>
      </c>
      <c r="Q58" s="243">
        <v>0.10922999999999999</v>
      </c>
      <c r="R58" s="243">
        <v>1.91E-3</v>
      </c>
      <c r="T58" s="242">
        <v>38353</v>
      </c>
      <c r="U58" s="243">
        <v>7.2709999999999997E-2</v>
      </c>
      <c r="V58" s="243">
        <v>2.6259999999999999E-2</v>
      </c>
    </row>
    <row r="59" spans="1:22" x14ac:dyDescent="0.25">
      <c r="A59" s="244">
        <v>9.8360000000000003E-2</v>
      </c>
      <c r="B59" s="245">
        <v>38292</v>
      </c>
      <c r="C59" s="246">
        <v>38231</v>
      </c>
      <c r="D59" s="247">
        <v>0.10201</v>
      </c>
      <c r="F59" s="244">
        <v>7.2709999999999997E-2</v>
      </c>
      <c r="G59" s="245">
        <v>38353</v>
      </c>
      <c r="H59" s="246">
        <v>38384</v>
      </c>
      <c r="I59" s="247">
        <v>7.5009999999999993E-2</v>
      </c>
      <c r="P59" s="242">
        <v>38384</v>
      </c>
      <c r="Q59" s="243">
        <v>0.11105</v>
      </c>
      <c r="R59" s="243">
        <v>-5.5999999999999995E-4</v>
      </c>
      <c r="T59" s="242">
        <v>38384</v>
      </c>
      <c r="U59" s="243">
        <v>7.5009999999999993E-2</v>
      </c>
      <c r="V59" s="243">
        <v>2.3470000000000001E-2</v>
      </c>
    </row>
    <row r="60" spans="1:22" x14ac:dyDescent="0.25">
      <c r="A60" s="244">
        <v>9.8799999999999999E-2</v>
      </c>
      <c r="B60" s="245">
        <v>37469</v>
      </c>
      <c r="C60" s="246">
        <v>40186</v>
      </c>
      <c r="D60" s="247">
        <v>0.10098</v>
      </c>
      <c r="F60" s="244">
        <v>7.2859999999999994E-2</v>
      </c>
      <c r="G60" s="245">
        <v>37012</v>
      </c>
      <c r="H60" s="246">
        <v>37834</v>
      </c>
      <c r="I60" s="247">
        <v>7.4219999999999994E-2</v>
      </c>
      <c r="P60" s="242">
        <v>38412</v>
      </c>
      <c r="Q60" s="243">
        <v>0.10581</v>
      </c>
      <c r="R60" s="243">
        <v>5.1999999999999995E-4</v>
      </c>
      <c r="T60" s="242">
        <v>38412</v>
      </c>
      <c r="U60" s="243">
        <v>7.3520000000000002E-2</v>
      </c>
      <c r="V60" s="243">
        <v>2.205E-2</v>
      </c>
    </row>
    <row r="61" spans="1:22" x14ac:dyDescent="0.25">
      <c r="A61" s="244">
        <v>9.962E-2</v>
      </c>
      <c r="B61" s="245">
        <v>37043</v>
      </c>
      <c r="C61" s="246">
        <v>36708</v>
      </c>
      <c r="D61" s="247">
        <v>0.10091</v>
      </c>
      <c r="F61" s="244">
        <v>7.2989999999999999E-2</v>
      </c>
      <c r="G61" s="245">
        <v>40155</v>
      </c>
      <c r="H61" s="246">
        <v>38473</v>
      </c>
      <c r="I61" s="247">
        <v>7.4219999999999994E-2</v>
      </c>
      <c r="P61" s="242">
        <v>38443</v>
      </c>
      <c r="Q61" s="243">
        <v>0.10424</v>
      </c>
      <c r="R61" s="243">
        <v>6.4000000000000003E-3</v>
      </c>
      <c r="T61" s="242">
        <v>38443</v>
      </c>
      <c r="U61" s="243">
        <v>7.1459999999999996E-2</v>
      </c>
      <c r="V61" s="243">
        <v>2.8250000000000001E-2</v>
      </c>
    </row>
    <row r="62" spans="1:22" x14ac:dyDescent="0.25">
      <c r="A62" s="244">
        <v>0.10068000000000001</v>
      </c>
      <c r="B62" s="245">
        <v>39119</v>
      </c>
      <c r="C62" s="246">
        <v>36739</v>
      </c>
      <c r="D62" s="247">
        <v>0.10091</v>
      </c>
      <c r="F62" s="244">
        <v>7.3219999999999993E-2</v>
      </c>
      <c r="G62" s="245">
        <v>38504</v>
      </c>
      <c r="H62" s="246">
        <v>38412</v>
      </c>
      <c r="I62" s="247">
        <v>7.3520000000000002E-2</v>
      </c>
      <c r="P62" s="242">
        <v>38473</v>
      </c>
      <c r="Q62" s="243">
        <v>0.11212999999999999</v>
      </c>
      <c r="R62" s="243">
        <v>8.3000000000000001E-3</v>
      </c>
      <c r="T62" s="242">
        <v>38473</v>
      </c>
      <c r="U62" s="243">
        <v>7.4219999999999994E-2</v>
      </c>
      <c r="V62" s="243">
        <v>2.725E-2</v>
      </c>
    </row>
    <row r="63" spans="1:22" x14ac:dyDescent="0.25">
      <c r="A63" s="244">
        <v>0.10091</v>
      </c>
      <c r="B63" s="245">
        <v>36708</v>
      </c>
      <c r="C63" s="246">
        <v>39119</v>
      </c>
      <c r="D63" s="247">
        <v>0.10068000000000001</v>
      </c>
      <c r="F63" s="244">
        <v>7.3520000000000002E-2</v>
      </c>
      <c r="G63" s="245">
        <v>38412</v>
      </c>
      <c r="H63" s="246">
        <v>38504</v>
      </c>
      <c r="I63" s="247">
        <v>7.3219999999999993E-2</v>
      </c>
      <c r="P63" s="242">
        <v>38504</v>
      </c>
      <c r="Q63" s="243">
        <v>0.11312</v>
      </c>
      <c r="R63" s="243">
        <v>5.9100000000000003E-3</v>
      </c>
      <c r="T63" s="242">
        <v>38504</v>
      </c>
      <c r="U63" s="243">
        <v>7.3219999999999993E-2</v>
      </c>
      <c r="V63" s="243">
        <v>2.5860000000000001E-2</v>
      </c>
    </row>
    <row r="64" spans="1:22" x14ac:dyDescent="0.25">
      <c r="A64" s="244">
        <v>0.10091</v>
      </c>
      <c r="B64" s="245">
        <v>36739</v>
      </c>
      <c r="C64" s="246">
        <v>37043</v>
      </c>
      <c r="D64" s="247">
        <v>9.962E-2</v>
      </c>
      <c r="F64" s="244">
        <v>7.4219999999999994E-2</v>
      </c>
      <c r="G64" s="245">
        <v>37834</v>
      </c>
      <c r="H64" s="246">
        <v>40155</v>
      </c>
      <c r="I64" s="247">
        <v>7.2989999999999999E-2</v>
      </c>
      <c r="P64" s="242">
        <v>38534</v>
      </c>
      <c r="Q64" s="243">
        <v>0.13693</v>
      </c>
      <c r="R64" s="243">
        <v>-4.8500000000000001E-3</v>
      </c>
      <c r="T64" s="242">
        <v>38534</v>
      </c>
      <c r="U64" s="243">
        <v>8.881E-2</v>
      </c>
      <c r="V64" s="243">
        <v>1.9210000000000001E-2</v>
      </c>
    </row>
    <row r="65" spans="1:22" x14ac:dyDescent="0.25">
      <c r="A65" s="244">
        <v>0.10098</v>
      </c>
      <c r="B65" s="245">
        <v>40186</v>
      </c>
      <c r="C65" s="246">
        <v>37469</v>
      </c>
      <c r="D65" s="247">
        <v>9.8799999999999999E-2</v>
      </c>
      <c r="F65" s="244">
        <v>7.4219999999999994E-2</v>
      </c>
      <c r="G65" s="245">
        <v>38473</v>
      </c>
      <c r="H65" s="246">
        <v>37012</v>
      </c>
      <c r="I65" s="247">
        <v>7.2859999999999994E-2</v>
      </c>
      <c r="P65" s="242">
        <v>38569</v>
      </c>
      <c r="Q65" s="243">
        <v>0.12753</v>
      </c>
      <c r="R65" s="243">
        <v>-6.3000000000000003E-4</v>
      </c>
      <c r="T65" s="242">
        <v>38569</v>
      </c>
      <c r="U65" s="243">
        <v>8.4040000000000004E-2</v>
      </c>
      <c r="V65" s="243">
        <v>2.112E-2</v>
      </c>
    </row>
    <row r="66" spans="1:22" x14ac:dyDescent="0.25">
      <c r="A66" s="244">
        <v>0.10201</v>
      </c>
      <c r="B66" s="245">
        <v>38231</v>
      </c>
      <c r="C66" s="246">
        <v>38292</v>
      </c>
      <c r="D66" s="247">
        <v>9.8360000000000003E-2</v>
      </c>
      <c r="F66" s="244">
        <v>7.5009999999999993E-2</v>
      </c>
      <c r="G66" s="245">
        <v>38384</v>
      </c>
      <c r="H66" s="246">
        <v>38353</v>
      </c>
      <c r="I66" s="247">
        <v>7.2709999999999997E-2</v>
      </c>
      <c r="P66" s="242">
        <v>38600</v>
      </c>
      <c r="Q66" s="243">
        <v>0.11806</v>
      </c>
      <c r="R66" s="243">
        <v>2.0699999999999998E-3</v>
      </c>
      <c r="T66" s="242">
        <v>38600</v>
      </c>
      <c r="U66" s="243">
        <v>7.9530000000000003E-2</v>
      </c>
      <c r="V66" s="243">
        <v>2.1329999999999998E-2</v>
      </c>
    </row>
    <row r="67" spans="1:22" x14ac:dyDescent="0.25">
      <c r="A67" s="244">
        <v>0.10255</v>
      </c>
      <c r="B67" s="245">
        <v>37773</v>
      </c>
      <c r="C67" s="246">
        <v>38018</v>
      </c>
      <c r="D67" s="247">
        <v>9.7729999999999997E-2</v>
      </c>
      <c r="F67" s="244">
        <v>7.6170000000000002E-2</v>
      </c>
      <c r="G67" s="245">
        <v>37803</v>
      </c>
      <c r="H67" s="246">
        <v>39027</v>
      </c>
      <c r="I67" s="247">
        <v>7.2090000000000001E-2</v>
      </c>
      <c r="P67" s="242">
        <v>38630</v>
      </c>
      <c r="Q67" s="243">
        <v>0.11928</v>
      </c>
      <c r="R67" s="243">
        <v>2.2399999999999998E-3</v>
      </c>
      <c r="T67" s="242">
        <v>38630</v>
      </c>
      <c r="U67" s="243">
        <v>8.1140000000000004E-2</v>
      </c>
      <c r="V67" s="243">
        <v>2.1309999999999999E-2</v>
      </c>
    </row>
    <row r="68" spans="1:22" x14ac:dyDescent="0.25">
      <c r="A68" s="244">
        <v>0.10424</v>
      </c>
      <c r="B68" s="245">
        <v>38443</v>
      </c>
      <c r="C68" s="246">
        <v>37438</v>
      </c>
      <c r="D68" s="247">
        <v>9.7720000000000001E-2</v>
      </c>
      <c r="F68" s="244">
        <v>7.6350000000000001E-2</v>
      </c>
      <c r="G68" s="245">
        <v>39972</v>
      </c>
      <c r="H68" s="246">
        <v>40245</v>
      </c>
      <c r="I68" s="247">
        <v>7.2020000000000001E-2</v>
      </c>
      <c r="P68" s="242">
        <v>38661</v>
      </c>
      <c r="Q68" s="243">
        <v>0.14693999999999999</v>
      </c>
      <c r="R68" s="243">
        <v>-9.4999999999999998E-3</v>
      </c>
      <c r="T68" s="242">
        <v>38661</v>
      </c>
      <c r="U68" s="243">
        <v>0.11741</v>
      </c>
      <c r="V68" s="243">
        <v>3.4000000000000002E-4</v>
      </c>
    </row>
    <row r="69" spans="1:22" x14ac:dyDescent="0.25">
      <c r="A69" s="244">
        <v>0.10439</v>
      </c>
      <c r="B69" s="245">
        <v>39147</v>
      </c>
      <c r="C69" s="246">
        <v>38261</v>
      </c>
      <c r="D69" s="247">
        <v>9.7659999999999997E-2</v>
      </c>
      <c r="F69" s="244">
        <v>7.7719999999999997E-2</v>
      </c>
      <c r="G69" s="245">
        <v>38843</v>
      </c>
      <c r="H69" s="246">
        <v>39941</v>
      </c>
      <c r="I69" s="247">
        <v>7.1739999999999998E-2</v>
      </c>
      <c r="P69" s="242">
        <v>38691</v>
      </c>
      <c r="Q69" s="243">
        <v>0.15281</v>
      </c>
      <c r="R69" s="243">
        <v>-1.1769999999999999E-2</v>
      </c>
      <c r="T69" s="242">
        <v>38691</v>
      </c>
      <c r="U69" s="243">
        <v>0.12276000000000001</v>
      </c>
      <c r="V69" s="243">
        <v>-1.75E-3</v>
      </c>
    </row>
    <row r="70" spans="1:22" x14ac:dyDescent="0.25">
      <c r="A70" s="244">
        <v>0.10495</v>
      </c>
      <c r="B70" s="245">
        <v>39178</v>
      </c>
      <c r="C70" s="246">
        <v>37742</v>
      </c>
      <c r="D70" s="247">
        <v>9.7350000000000006E-2</v>
      </c>
      <c r="F70" s="244">
        <v>7.9530000000000003E-2</v>
      </c>
      <c r="G70" s="245">
        <v>38600</v>
      </c>
      <c r="H70" s="246">
        <v>37135</v>
      </c>
      <c r="I70" s="247">
        <v>7.1609999999999993E-2</v>
      </c>
      <c r="P70" s="242">
        <v>38723</v>
      </c>
      <c r="Q70" s="243">
        <v>0.19594999999999999</v>
      </c>
      <c r="R70" s="243">
        <v>-2.461E-2</v>
      </c>
      <c r="T70" s="242">
        <v>38723</v>
      </c>
      <c r="U70" s="243">
        <v>0.14449000000000001</v>
      </c>
      <c r="V70" s="243">
        <v>-7.4599999999999996E-3</v>
      </c>
    </row>
    <row r="71" spans="1:22" x14ac:dyDescent="0.25">
      <c r="A71" s="244">
        <v>0.10581</v>
      </c>
      <c r="B71" s="245">
        <v>38412</v>
      </c>
      <c r="C71" s="246">
        <v>37987</v>
      </c>
      <c r="D71" s="247">
        <v>9.6780000000000005E-2</v>
      </c>
      <c r="F71" s="244">
        <v>8.0939999999999998E-2</v>
      </c>
      <c r="G71" s="245">
        <v>37043</v>
      </c>
      <c r="H71" s="246">
        <v>38443</v>
      </c>
      <c r="I71" s="247">
        <v>7.1459999999999996E-2</v>
      </c>
      <c r="P71" s="242">
        <v>38754</v>
      </c>
      <c r="Q71" s="243">
        <v>0.13891999999999999</v>
      </c>
      <c r="R71" s="243">
        <v>4.4999999999999997E-3</v>
      </c>
      <c r="T71" s="242">
        <v>38754</v>
      </c>
      <c r="U71" s="243">
        <v>0.11217000000000001</v>
      </c>
      <c r="V71" s="243">
        <v>1.342E-2</v>
      </c>
    </row>
    <row r="72" spans="1:22" x14ac:dyDescent="0.25">
      <c r="A72" s="244">
        <v>0.10581</v>
      </c>
      <c r="B72" s="245">
        <v>39392</v>
      </c>
      <c r="C72" s="246">
        <v>38322</v>
      </c>
      <c r="D72" s="247">
        <v>9.6759999999999999E-2</v>
      </c>
      <c r="F72" s="244">
        <v>8.1140000000000004E-2</v>
      </c>
      <c r="G72" s="245">
        <v>38630</v>
      </c>
      <c r="H72" s="246">
        <v>40276</v>
      </c>
      <c r="I72" s="247">
        <v>7.0569999999999994E-2</v>
      </c>
      <c r="P72" s="242">
        <v>38782</v>
      </c>
      <c r="Q72" s="243">
        <v>0.13614999999999999</v>
      </c>
      <c r="R72" s="243">
        <v>4.2700000000000004E-3</v>
      </c>
      <c r="T72" s="242">
        <v>38782</v>
      </c>
      <c r="U72" s="243">
        <v>0.1071</v>
      </c>
      <c r="V72" s="243">
        <v>1.3950000000000001E-2</v>
      </c>
    </row>
    <row r="73" spans="1:22" x14ac:dyDescent="0.25">
      <c r="A73" s="244">
        <v>0.10673000000000001</v>
      </c>
      <c r="B73" s="245">
        <v>39057</v>
      </c>
      <c r="C73" s="246">
        <v>38108</v>
      </c>
      <c r="D73" s="247">
        <v>9.6060000000000006E-2</v>
      </c>
      <c r="F73" s="244">
        <v>8.133E-2</v>
      </c>
      <c r="G73" s="245">
        <v>40217</v>
      </c>
      <c r="H73" s="246">
        <v>37165</v>
      </c>
      <c r="I73" s="247">
        <v>6.991E-2</v>
      </c>
      <c r="P73" s="242">
        <v>38813</v>
      </c>
      <c r="Q73" s="243">
        <v>0.13170999999999999</v>
      </c>
      <c r="R73" s="243">
        <v>2.7899999999999999E-3</v>
      </c>
      <c r="T73" s="242">
        <v>38813</v>
      </c>
      <c r="U73" s="243">
        <v>0.10417999999999999</v>
      </c>
      <c r="V73" s="243">
        <v>1.197E-2</v>
      </c>
    </row>
    <row r="74" spans="1:22" x14ac:dyDescent="0.25">
      <c r="A74" s="244">
        <v>0.10747</v>
      </c>
      <c r="B74" s="245">
        <v>40002</v>
      </c>
      <c r="C74" s="246">
        <v>37865</v>
      </c>
      <c r="D74" s="247">
        <v>9.6009999999999998E-2</v>
      </c>
      <c r="F74" s="244">
        <v>8.1769999999999995E-2</v>
      </c>
      <c r="G74" s="245">
        <v>37438</v>
      </c>
      <c r="H74" s="246">
        <v>37408</v>
      </c>
      <c r="I74" s="247">
        <v>6.9489999999999996E-2</v>
      </c>
      <c r="P74" s="242">
        <v>38843</v>
      </c>
      <c r="Q74" s="243">
        <v>0.12439</v>
      </c>
      <c r="R74" s="243">
        <v>8.9899999999999997E-3</v>
      </c>
      <c r="T74" s="242">
        <v>38843</v>
      </c>
      <c r="U74" s="243">
        <v>7.7719999999999997E-2</v>
      </c>
      <c r="V74" s="243">
        <v>1.677E-2</v>
      </c>
    </row>
    <row r="75" spans="1:22" x14ac:dyDescent="0.25">
      <c r="A75" s="244">
        <v>0.1079</v>
      </c>
      <c r="B75" s="245">
        <v>39422</v>
      </c>
      <c r="C75" s="246">
        <v>38139</v>
      </c>
      <c r="D75" s="247">
        <v>9.5680000000000001E-2</v>
      </c>
      <c r="F75" s="244">
        <v>8.1960000000000005E-2</v>
      </c>
      <c r="G75" s="245">
        <v>39880</v>
      </c>
      <c r="H75" s="246">
        <v>38200</v>
      </c>
      <c r="I75" s="247">
        <v>6.9379999999999997E-2</v>
      </c>
      <c r="P75" s="242">
        <v>38874</v>
      </c>
      <c r="Q75" s="243">
        <v>0.13250999999999999</v>
      </c>
      <c r="R75" s="243">
        <v>9.7400000000000004E-3</v>
      </c>
      <c r="T75" s="242">
        <v>38874</v>
      </c>
      <c r="U75" s="243">
        <v>8.2409999999999997E-2</v>
      </c>
      <c r="V75" s="243">
        <v>1.8089999999999998E-2</v>
      </c>
    </row>
    <row r="76" spans="1:22" x14ac:dyDescent="0.25">
      <c r="A76" s="244">
        <v>0.10802</v>
      </c>
      <c r="B76" s="245">
        <v>39790</v>
      </c>
      <c r="C76" s="246">
        <v>39972</v>
      </c>
      <c r="D76" s="247">
        <v>9.5329999999999998E-2</v>
      </c>
      <c r="F76" s="244">
        <v>8.2409999999999997E-2</v>
      </c>
      <c r="G76" s="245">
        <v>38874</v>
      </c>
      <c r="H76" s="246">
        <v>38169</v>
      </c>
      <c r="I76" s="247">
        <v>6.8959999999999994E-2</v>
      </c>
      <c r="P76" s="242">
        <v>38904</v>
      </c>
      <c r="Q76" s="243">
        <v>0.15081</v>
      </c>
      <c r="R76" s="243">
        <v>-2.0100000000000001E-3</v>
      </c>
      <c r="T76" s="242">
        <v>38904</v>
      </c>
      <c r="U76" s="243">
        <v>9.9940000000000001E-2</v>
      </c>
      <c r="V76" s="243">
        <v>6.4700000000000001E-3</v>
      </c>
    </row>
    <row r="77" spans="1:22" x14ac:dyDescent="0.25">
      <c r="A77" s="244">
        <v>0.10922999999999999</v>
      </c>
      <c r="B77" s="245">
        <v>38353</v>
      </c>
      <c r="C77" s="246">
        <v>39760</v>
      </c>
      <c r="D77" s="247">
        <v>9.4899999999999998E-2</v>
      </c>
      <c r="F77" s="244">
        <v>8.2740000000000008E-2</v>
      </c>
      <c r="G77" s="245">
        <v>39911</v>
      </c>
      <c r="H77" s="246">
        <v>36892</v>
      </c>
      <c r="I77" s="247">
        <v>6.8919999999999995E-2</v>
      </c>
      <c r="P77" s="242">
        <v>38935</v>
      </c>
      <c r="Q77" s="243">
        <v>0.13421</v>
      </c>
      <c r="R77" s="243">
        <v>4.5700000000000003E-3</v>
      </c>
      <c r="T77" s="242">
        <v>38935</v>
      </c>
      <c r="U77" s="243">
        <v>9.5460000000000003E-2</v>
      </c>
      <c r="V77" s="243">
        <v>1.103E-2</v>
      </c>
    </row>
    <row r="78" spans="1:22" x14ac:dyDescent="0.25">
      <c r="A78" s="244">
        <v>0.10952000000000001</v>
      </c>
      <c r="B78" s="245">
        <v>39852</v>
      </c>
      <c r="C78" s="246">
        <v>39911</v>
      </c>
      <c r="D78" s="247">
        <v>9.4380000000000006E-2</v>
      </c>
      <c r="F78" s="244">
        <v>8.2849999999999993E-2</v>
      </c>
      <c r="G78" s="245">
        <v>37469</v>
      </c>
      <c r="H78" s="246">
        <v>38018</v>
      </c>
      <c r="I78" s="247">
        <v>6.8589999999999998E-2</v>
      </c>
      <c r="P78" s="242">
        <v>38966</v>
      </c>
      <c r="Q78" s="243">
        <v>0.11785</v>
      </c>
      <c r="R78" s="243">
        <v>8.5800000000000008E-3</v>
      </c>
      <c r="T78" s="242">
        <v>38966</v>
      </c>
      <c r="U78" s="243">
        <v>8.5699999999999998E-2</v>
      </c>
      <c r="V78" s="243">
        <v>1.3939999999999999E-2</v>
      </c>
    </row>
    <row r="79" spans="1:22" x14ac:dyDescent="0.25">
      <c r="A79" s="244">
        <v>0.11105</v>
      </c>
      <c r="B79" s="245">
        <v>38384</v>
      </c>
      <c r="C79" s="246">
        <v>37895</v>
      </c>
      <c r="D79" s="247">
        <v>9.3700000000000006E-2</v>
      </c>
      <c r="F79" s="244">
        <v>8.3699999999999997E-2</v>
      </c>
      <c r="G79" s="245">
        <v>39760</v>
      </c>
      <c r="H79" s="246">
        <v>37987</v>
      </c>
      <c r="I79" s="247">
        <v>6.7640000000000006E-2</v>
      </c>
      <c r="P79" s="242">
        <v>38996</v>
      </c>
      <c r="Q79" s="243">
        <v>0.12772</v>
      </c>
      <c r="R79" s="243">
        <v>5.9800000000000001E-3</v>
      </c>
      <c r="T79" s="242">
        <v>38996</v>
      </c>
      <c r="U79" s="243">
        <v>9.6390000000000003E-2</v>
      </c>
      <c r="V79" s="243">
        <v>1.12E-2</v>
      </c>
    </row>
    <row r="80" spans="1:22" x14ac:dyDescent="0.25">
      <c r="A80" s="244">
        <v>0.11212999999999999</v>
      </c>
      <c r="B80" s="245">
        <v>38473</v>
      </c>
      <c r="C80" s="246">
        <v>39880</v>
      </c>
      <c r="D80" s="247">
        <v>9.3579999999999997E-2</v>
      </c>
      <c r="F80" s="244">
        <v>8.4040000000000004E-2</v>
      </c>
      <c r="G80" s="245">
        <v>38569</v>
      </c>
      <c r="H80" s="246">
        <v>37773</v>
      </c>
      <c r="I80" s="247">
        <v>6.7430000000000004E-2</v>
      </c>
      <c r="P80" s="242">
        <v>39027</v>
      </c>
      <c r="Q80" s="243">
        <v>9.2340000000000005E-2</v>
      </c>
      <c r="R80" s="243">
        <v>2.4840000000000001E-2</v>
      </c>
      <c r="T80" s="242">
        <v>39027</v>
      </c>
      <c r="U80" s="243">
        <v>7.2090000000000001E-2</v>
      </c>
      <c r="V80" s="243">
        <v>2.4840000000000001E-2</v>
      </c>
    </row>
    <row r="81" spans="1:22" x14ac:dyDescent="0.25">
      <c r="A81" s="244">
        <v>0.11312</v>
      </c>
      <c r="B81" s="245">
        <v>38504</v>
      </c>
      <c r="C81" s="246">
        <v>39027</v>
      </c>
      <c r="D81" s="247">
        <v>9.2340000000000005E-2</v>
      </c>
      <c r="F81" s="244">
        <v>8.4430000000000005E-2</v>
      </c>
      <c r="G81" s="245">
        <v>40186</v>
      </c>
      <c r="H81" s="246">
        <v>37742</v>
      </c>
      <c r="I81" s="247">
        <v>6.6369999999999998E-2</v>
      </c>
      <c r="P81" s="242">
        <v>39057</v>
      </c>
      <c r="Q81" s="243">
        <v>0.10673000000000001</v>
      </c>
      <c r="R81" s="243">
        <v>1.8859999999999998E-2</v>
      </c>
      <c r="T81" s="242">
        <v>39057</v>
      </c>
      <c r="U81" s="243">
        <v>8.4870000000000001E-2</v>
      </c>
      <c r="V81" s="243">
        <v>1.8859999999999998E-2</v>
      </c>
    </row>
    <row r="82" spans="1:22" x14ac:dyDescent="0.25">
      <c r="A82" s="244">
        <v>0.11509999999999999</v>
      </c>
      <c r="B82" s="245">
        <v>38200</v>
      </c>
      <c r="C82" s="246">
        <v>38078</v>
      </c>
      <c r="D82" s="247">
        <v>9.1120000000000007E-2</v>
      </c>
      <c r="F82" s="244">
        <v>8.4870000000000001E-2</v>
      </c>
      <c r="G82" s="245">
        <v>39057</v>
      </c>
      <c r="H82" s="246">
        <v>37865</v>
      </c>
      <c r="I82" s="247">
        <v>6.4799999999999996E-2</v>
      </c>
      <c r="P82" s="242">
        <v>39088</v>
      </c>
      <c r="Q82" s="243">
        <v>0.11902</v>
      </c>
      <c r="R82" s="243">
        <v>1.6410000000000001E-2</v>
      </c>
      <c r="T82" s="242">
        <v>39088</v>
      </c>
      <c r="U82" s="243">
        <v>9.7540000000000002E-2</v>
      </c>
      <c r="V82" s="243">
        <v>1.6410000000000001E-2</v>
      </c>
    </row>
    <row r="83" spans="1:22" x14ac:dyDescent="0.25">
      <c r="A83" s="244">
        <v>0.11555</v>
      </c>
      <c r="B83" s="245">
        <v>37834</v>
      </c>
      <c r="C83" s="246">
        <v>40217</v>
      </c>
      <c r="D83" s="247">
        <v>9.0249999999999997E-2</v>
      </c>
      <c r="F83" s="244">
        <v>8.516E-2</v>
      </c>
      <c r="G83" s="245">
        <v>39392</v>
      </c>
      <c r="H83" s="246">
        <v>38292</v>
      </c>
      <c r="I83" s="247">
        <v>6.4579999999999999E-2</v>
      </c>
      <c r="P83" s="242">
        <v>39119</v>
      </c>
      <c r="Q83" s="243">
        <v>0.10068000000000001</v>
      </c>
      <c r="R83" s="243">
        <v>1.554E-2</v>
      </c>
      <c r="T83" s="242">
        <v>39119</v>
      </c>
      <c r="U83" s="243">
        <v>8.9359999999999995E-2</v>
      </c>
      <c r="V83" s="243">
        <v>1.554E-2</v>
      </c>
    </row>
    <row r="84" spans="1:22" x14ac:dyDescent="0.25">
      <c r="A84" s="244">
        <v>0.11753</v>
      </c>
      <c r="B84" s="245">
        <v>37803</v>
      </c>
      <c r="C84" s="246">
        <v>37012</v>
      </c>
      <c r="D84" s="247">
        <v>9.0179999999999996E-2</v>
      </c>
      <c r="F84" s="244">
        <v>8.5370000000000001E-2</v>
      </c>
      <c r="G84" s="245">
        <v>40002</v>
      </c>
      <c r="H84" s="246">
        <v>40033</v>
      </c>
      <c r="I84" s="247">
        <v>6.4129999999999993E-2</v>
      </c>
      <c r="P84" s="242">
        <v>39147</v>
      </c>
      <c r="Q84" s="243">
        <v>0.10439</v>
      </c>
      <c r="R84" s="243">
        <v>1.5730000000000001E-2</v>
      </c>
      <c r="T84" s="242">
        <v>39147</v>
      </c>
      <c r="U84" s="243">
        <v>8.9289999999999994E-2</v>
      </c>
      <c r="V84" s="243">
        <v>1.5730000000000001E-2</v>
      </c>
    </row>
    <row r="85" spans="1:22" x14ac:dyDescent="0.25">
      <c r="A85" s="244">
        <v>0.11785</v>
      </c>
      <c r="B85" s="245">
        <v>38966</v>
      </c>
      <c r="C85" s="246">
        <v>36892</v>
      </c>
      <c r="D85" s="247">
        <v>8.9520000000000002E-2</v>
      </c>
      <c r="F85" s="244">
        <v>8.5699999999999998E-2</v>
      </c>
      <c r="G85" s="245">
        <v>38966</v>
      </c>
      <c r="H85" s="246">
        <v>36708</v>
      </c>
      <c r="I85" s="247">
        <v>6.3689999999999997E-2</v>
      </c>
      <c r="P85" s="242">
        <v>39178</v>
      </c>
      <c r="Q85" s="243">
        <v>0.10495</v>
      </c>
      <c r="R85" s="243">
        <v>1.5469999999999999E-2</v>
      </c>
      <c r="T85" s="242">
        <v>39178</v>
      </c>
      <c r="U85" s="243">
        <v>8.9840000000000003E-2</v>
      </c>
      <c r="V85" s="243">
        <v>1.5469999999999999E-2</v>
      </c>
    </row>
    <row r="86" spans="1:22" x14ac:dyDescent="0.25">
      <c r="A86" s="244">
        <v>0.11806</v>
      </c>
      <c r="B86" s="245">
        <v>38600</v>
      </c>
      <c r="C86" s="246">
        <v>37135</v>
      </c>
      <c r="D86" s="247">
        <v>8.9349999999999999E-2</v>
      </c>
      <c r="F86" s="244">
        <v>8.7249999999999994E-2</v>
      </c>
      <c r="G86" s="245">
        <v>39422</v>
      </c>
      <c r="H86" s="246">
        <v>36739</v>
      </c>
      <c r="I86" s="247">
        <v>6.3689999999999997E-2</v>
      </c>
      <c r="P86" s="242">
        <v>39208</v>
      </c>
      <c r="Q86" s="243">
        <v>0.13075999999999999</v>
      </c>
      <c r="R86" s="243">
        <v>1.333E-2</v>
      </c>
      <c r="T86" s="242">
        <v>39208</v>
      </c>
      <c r="U86" s="243">
        <v>9.2060000000000003E-2</v>
      </c>
      <c r="V86" s="243">
        <v>1.333E-2</v>
      </c>
    </row>
    <row r="87" spans="1:22" x14ac:dyDescent="0.25">
      <c r="A87" s="244">
        <v>0.11902</v>
      </c>
      <c r="B87" s="245">
        <v>39088</v>
      </c>
      <c r="C87" s="246">
        <v>37956</v>
      </c>
      <c r="D87" s="247">
        <v>8.8679999999999995E-2</v>
      </c>
      <c r="F87" s="244">
        <v>8.881E-2</v>
      </c>
      <c r="G87" s="245">
        <v>38534</v>
      </c>
      <c r="H87" s="246">
        <v>38078</v>
      </c>
      <c r="I87" s="247">
        <v>6.361E-2</v>
      </c>
      <c r="P87" s="242">
        <v>39239</v>
      </c>
      <c r="Q87" s="243">
        <v>0.13769000000000001</v>
      </c>
      <c r="R87" s="243">
        <v>9.2899999999999996E-3</v>
      </c>
      <c r="T87" s="242">
        <v>39239</v>
      </c>
      <c r="U87" s="243">
        <v>9.7460000000000005E-2</v>
      </c>
      <c r="V87" s="243">
        <v>9.2899999999999996E-3</v>
      </c>
    </row>
    <row r="88" spans="1:22" x14ac:dyDescent="0.25">
      <c r="A88" s="244">
        <v>0.11928</v>
      </c>
      <c r="B88" s="245">
        <v>38630</v>
      </c>
      <c r="C88" s="246">
        <v>38047</v>
      </c>
      <c r="D88" s="247">
        <v>8.8609999999999994E-2</v>
      </c>
      <c r="F88" s="244">
        <v>8.9289999999999994E-2</v>
      </c>
      <c r="G88" s="245">
        <v>39147</v>
      </c>
      <c r="H88" s="246">
        <v>37895</v>
      </c>
      <c r="I88" s="247">
        <v>6.2579999999999997E-2</v>
      </c>
      <c r="P88" s="242">
        <v>39269</v>
      </c>
      <c r="Q88" s="243">
        <v>0.16141</v>
      </c>
      <c r="R88" s="243">
        <v>2.7E-4</v>
      </c>
      <c r="T88" s="242">
        <v>39269</v>
      </c>
      <c r="U88" s="243">
        <v>0.11401</v>
      </c>
      <c r="V88" s="243">
        <v>2.7E-4</v>
      </c>
    </row>
    <row r="89" spans="1:22" x14ac:dyDescent="0.25">
      <c r="A89" s="244">
        <v>0.12017</v>
      </c>
      <c r="B89" s="245">
        <v>37073</v>
      </c>
      <c r="C89" s="246">
        <v>39941</v>
      </c>
      <c r="D89" s="247">
        <v>8.8459999999999997E-2</v>
      </c>
      <c r="F89" s="244">
        <v>8.9359999999999995E-2</v>
      </c>
      <c r="G89" s="245">
        <v>39119</v>
      </c>
      <c r="H89" s="246">
        <v>38322</v>
      </c>
      <c r="I89" s="247">
        <v>6.2460000000000002E-2</v>
      </c>
      <c r="P89" s="242">
        <v>39300</v>
      </c>
      <c r="Q89" s="243">
        <v>0.14377999999999999</v>
      </c>
      <c r="R89" s="243">
        <v>6.6600000000000001E-3</v>
      </c>
      <c r="T89" s="242">
        <v>39300</v>
      </c>
      <c r="U89" s="243">
        <v>0.10451000000000001</v>
      </c>
      <c r="V89" s="243">
        <v>6.6600000000000001E-3</v>
      </c>
    </row>
    <row r="90" spans="1:22" x14ac:dyDescent="0.25">
      <c r="A90" s="244">
        <v>0.12017</v>
      </c>
      <c r="B90" s="245">
        <v>37104</v>
      </c>
      <c r="C90" s="246">
        <v>37926</v>
      </c>
      <c r="D90" s="247">
        <v>8.7230000000000002E-2</v>
      </c>
      <c r="F90" s="244">
        <v>8.9840000000000003E-2</v>
      </c>
      <c r="G90" s="245">
        <v>39178</v>
      </c>
      <c r="H90" s="246">
        <v>40094</v>
      </c>
      <c r="I90" s="247">
        <v>6.2429999999999999E-2</v>
      </c>
      <c r="P90" s="242">
        <v>39331</v>
      </c>
      <c r="Q90" s="243">
        <v>0.12592</v>
      </c>
      <c r="R90" s="243">
        <v>1.146E-2</v>
      </c>
      <c r="T90" s="242">
        <v>39331</v>
      </c>
      <c r="U90" s="243">
        <v>9.153E-2</v>
      </c>
      <c r="V90" s="243">
        <v>1.146E-2</v>
      </c>
    </row>
    <row r="91" spans="1:22" x14ac:dyDescent="0.25">
      <c r="A91" s="244">
        <v>0.12018</v>
      </c>
      <c r="B91" s="245">
        <v>38169</v>
      </c>
      <c r="C91" s="246">
        <v>36678</v>
      </c>
      <c r="D91" s="247">
        <v>8.6900000000000005E-2</v>
      </c>
      <c r="F91" s="244">
        <v>9.153E-2</v>
      </c>
      <c r="G91" s="245">
        <v>39331</v>
      </c>
      <c r="H91" s="246">
        <v>40064</v>
      </c>
      <c r="I91" s="247">
        <v>6.1240000000000003E-2</v>
      </c>
      <c r="P91" s="242">
        <v>39361</v>
      </c>
      <c r="Q91" s="243">
        <v>0.128</v>
      </c>
      <c r="R91" s="243">
        <v>1.1610000000000001E-2</v>
      </c>
      <c r="T91" s="242">
        <v>39361</v>
      </c>
      <c r="U91" s="243">
        <v>9.4109999999999999E-2</v>
      </c>
      <c r="V91" s="243">
        <v>1.1610000000000001E-2</v>
      </c>
    </row>
    <row r="92" spans="1:22" x14ac:dyDescent="0.25">
      <c r="A92" s="244">
        <v>0.12253</v>
      </c>
      <c r="B92" s="245">
        <v>39546</v>
      </c>
      <c r="C92" s="246">
        <v>37408</v>
      </c>
      <c r="D92" s="247">
        <v>8.6370000000000002E-2</v>
      </c>
      <c r="F92" s="244">
        <v>9.2060000000000003E-2</v>
      </c>
      <c r="G92" s="245">
        <v>39208</v>
      </c>
      <c r="H92" s="246">
        <v>38047</v>
      </c>
      <c r="I92" s="247">
        <v>6.1100000000000002E-2</v>
      </c>
      <c r="P92" s="242">
        <v>39392</v>
      </c>
      <c r="Q92" s="243">
        <v>0.10581</v>
      </c>
      <c r="R92" s="243">
        <v>1.7909999999999999E-2</v>
      </c>
      <c r="T92" s="242">
        <v>39392</v>
      </c>
      <c r="U92" s="243">
        <v>8.516E-2</v>
      </c>
      <c r="V92" s="243">
        <v>1.7909999999999999E-2</v>
      </c>
    </row>
    <row r="93" spans="1:22" x14ac:dyDescent="0.25">
      <c r="A93" s="244">
        <v>0.12385</v>
      </c>
      <c r="B93" s="245">
        <v>39515</v>
      </c>
      <c r="C93" s="246">
        <v>37165</v>
      </c>
      <c r="D93" s="247">
        <v>8.6249999999999993E-2</v>
      </c>
      <c r="F93" s="244">
        <v>9.4109999999999999E-2</v>
      </c>
      <c r="G93" s="245">
        <v>39361</v>
      </c>
      <c r="H93" s="246">
        <v>40125</v>
      </c>
      <c r="I93" s="247">
        <v>6.1069999999999999E-2</v>
      </c>
      <c r="P93" s="242">
        <v>39422</v>
      </c>
      <c r="Q93" s="243">
        <v>0.1079</v>
      </c>
      <c r="R93" s="243">
        <v>1.7100000000000001E-2</v>
      </c>
      <c r="T93" s="242">
        <v>39422</v>
      </c>
      <c r="U93" s="243">
        <v>8.7249999999999994E-2</v>
      </c>
      <c r="V93" s="243">
        <v>1.7100000000000001E-2</v>
      </c>
    </row>
    <row r="94" spans="1:22" x14ac:dyDescent="0.25">
      <c r="A94" s="244">
        <v>0.12439</v>
      </c>
      <c r="B94" s="245">
        <v>38843</v>
      </c>
      <c r="C94" s="246">
        <v>40155</v>
      </c>
      <c r="D94" s="247">
        <v>8.5359999999999991E-2</v>
      </c>
      <c r="F94" s="244">
        <v>9.5149999999999998E-2</v>
      </c>
      <c r="G94" s="245">
        <v>39852</v>
      </c>
      <c r="H94" s="246">
        <v>36861</v>
      </c>
      <c r="I94" s="247">
        <v>6.1060000000000003E-2</v>
      </c>
      <c r="P94" s="242">
        <v>39453</v>
      </c>
      <c r="Q94" s="243">
        <v>0.12891</v>
      </c>
      <c r="R94" s="243">
        <v>9.8899999999999995E-3</v>
      </c>
      <c r="T94" s="242">
        <v>39453</v>
      </c>
      <c r="U94" s="243">
        <v>0.10457</v>
      </c>
      <c r="V94" s="243">
        <v>9.8899999999999995E-3</v>
      </c>
    </row>
    <row r="95" spans="1:22" x14ac:dyDescent="0.25">
      <c r="A95" s="244">
        <v>0.12592</v>
      </c>
      <c r="B95" s="245">
        <v>39331</v>
      </c>
      <c r="C95" s="246">
        <v>36770</v>
      </c>
      <c r="D95" s="247">
        <v>8.2239999999999994E-2</v>
      </c>
      <c r="F95" s="244">
        <v>9.5460000000000003E-2</v>
      </c>
      <c r="G95" s="245">
        <v>38935</v>
      </c>
      <c r="H95" s="246">
        <v>38139</v>
      </c>
      <c r="I95" s="247">
        <v>6.1019999999999998E-2</v>
      </c>
      <c r="P95" s="242">
        <v>39486</v>
      </c>
      <c r="Q95" s="243">
        <v>0.14631</v>
      </c>
      <c r="R95" s="243">
        <v>-1.1000000000000001E-3</v>
      </c>
      <c r="T95" s="242">
        <v>39486</v>
      </c>
      <c r="U95" s="243">
        <v>0.12434000000000001</v>
      </c>
      <c r="V95" s="243">
        <v>-1.1000000000000001E-3</v>
      </c>
    </row>
    <row r="96" spans="1:22" x14ac:dyDescent="0.25">
      <c r="A96" s="244">
        <v>0.12695000000000001</v>
      </c>
      <c r="B96" s="245">
        <v>39821</v>
      </c>
      <c r="C96" s="246">
        <v>36861</v>
      </c>
      <c r="D96" s="247">
        <v>8.1659999999999996E-2</v>
      </c>
      <c r="F96" s="244">
        <v>9.6390000000000003E-2</v>
      </c>
      <c r="G96" s="245">
        <v>38996</v>
      </c>
      <c r="H96" s="246">
        <v>37530</v>
      </c>
      <c r="I96" s="247">
        <v>6.0740000000000002E-2</v>
      </c>
      <c r="P96" s="242">
        <v>39515</v>
      </c>
      <c r="Q96" s="243">
        <v>0.12385</v>
      </c>
      <c r="R96" s="243">
        <v>9.2099999999999994E-3</v>
      </c>
      <c r="T96" s="242">
        <v>39515</v>
      </c>
      <c r="U96" s="243">
        <v>0.10395</v>
      </c>
      <c r="V96" s="243">
        <v>9.2099999999999994E-3</v>
      </c>
    </row>
    <row r="97" spans="1:22" x14ac:dyDescent="0.25">
      <c r="A97" s="244">
        <v>0.12753</v>
      </c>
      <c r="B97" s="245">
        <v>38569</v>
      </c>
      <c r="C97" s="246">
        <v>40033</v>
      </c>
      <c r="D97" s="247">
        <v>8.163999999999999E-2</v>
      </c>
      <c r="F97" s="244">
        <v>9.7320000000000004E-2</v>
      </c>
      <c r="G97" s="245">
        <v>39790</v>
      </c>
      <c r="H97" s="246">
        <v>38108</v>
      </c>
      <c r="I97" s="247">
        <v>6.0089999999999998E-2</v>
      </c>
      <c r="P97" s="242">
        <v>39546</v>
      </c>
      <c r="Q97" s="243">
        <v>0.12253</v>
      </c>
      <c r="R97" s="243">
        <v>1.3650000000000001E-2</v>
      </c>
      <c r="T97" s="242">
        <v>39546</v>
      </c>
      <c r="U97" s="243">
        <v>0.10512000000000001</v>
      </c>
      <c r="V97" s="243">
        <v>1.3650000000000001E-2</v>
      </c>
    </row>
    <row r="98" spans="1:22" x14ac:dyDescent="0.25">
      <c r="A98" s="244">
        <v>0.12772</v>
      </c>
      <c r="B98" s="245">
        <v>38996</v>
      </c>
      <c r="C98" s="246">
        <v>36923</v>
      </c>
      <c r="D98" s="247">
        <v>7.9699999999999993E-2</v>
      </c>
      <c r="F98" s="244">
        <v>9.7460000000000005E-2</v>
      </c>
      <c r="G98" s="245">
        <v>39239</v>
      </c>
      <c r="H98" s="246">
        <v>37956</v>
      </c>
      <c r="I98" s="247">
        <v>5.953E-2</v>
      </c>
      <c r="P98" s="242">
        <v>39576</v>
      </c>
      <c r="Q98" s="243">
        <v>0.13013999999999998</v>
      </c>
      <c r="R98" s="243">
        <v>1.4840000000000001E-2</v>
      </c>
      <c r="T98" s="242">
        <v>39576</v>
      </c>
      <c r="U98" s="243">
        <v>0.11645</v>
      </c>
      <c r="V98" s="243">
        <v>1.4840000000000001E-2</v>
      </c>
    </row>
    <row r="99" spans="1:22" x14ac:dyDescent="0.25">
      <c r="A99" s="244">
        <v>0.128</v>
      </c>
      <c r="B99" s="245">
        <v>39361</v>
      </c>
      <c r="C99" s="246">
        <v>40094</v>
      </c>
      <c r="D99" s="247">
        <v>7.9240000000000005E-2</v>
      </c>
      <c r="F99" s="244">
        <v>9.7540000000000002E-2</v>
      </c>
      <c r="G99" s="245">
        <v>39088</v>
      </c>
      <c r="H99" s="246">
        <v>37500</v>
      </c>
      <c r="I99" s="247">
        <v>5.9429999999999997E-2</v>
      </c>
      <c r="P99" s="242">
        <v>39607</v>
      </c>
      <c r="Q99" s="243">
        <v>0.13613</v>
      </c>
      <c r="R99" s="243">
        <v>1.213E-2</v>
      </c>
      <c r="T99" s="242">
        <v>39607</v>
      </c>
      <c r="U99" s="243">
        <v>0.12192</v>
      </c>
      <c r="V99" s="243">
        <v>1.213E-2</v>
      </c>
    </row>
    <row r="100" spans="1:22" x14ac:dyDescent="0.25">
      <c r="A100" s="244">
        <v>0.12891</v>
      </c>
      <c r="B100" s="245">
        <v>39453</v>
      </c>
      <c r="C100" s="246">
        <v>40245</v>
      </c>
      <c r="D100" s="247">
        <v>7.8340000000000007E-2</v>
      </c>
      <c r="F100" s="244">
        <v>9.962E-2</v>
      </c>
      <c r="G100" s="245">
        <v>37073</v>
      </c>
      <c r="H100" s="246">
        <v>36923</v>
      </c>
      <c r="I100" s="247">
        <v>5.9089999999999997E-2</v>
      </c>
      <c r="P100" s="242">
        <v>39637</v>
      </c>
      <c r="Q100" s="243">
        <v>0.15690000000000001</v>
      </c>
      <c r="R100" s="243">
        <v>6.1000000000000004E-3</v>
      </c>
      <c r="T100" s="242">
        <v>39637</v>
      </c>
      <c r="U100" s="243">
        <v>0.13603000000000001</v>
      </c>
      <c r="V100" s="243">
        <v>6.1000000000000004E-3</v>
      </c>
    </row>
    <row r="101" spans="1:22" x14ac:dyDescent="0.25">
      <c r="A101" s="244">
        <v>0.13013999999999998</v>
      </c>
      <c r="B101" s="245">
        <v>39576</v>
      </c>
      <c r="C101" s="246">
        <v>40276</v>
      </c>
      <c r="D101" s="247">
        <v>7.8090000000000007E-2</v>
      </c>
      <c r="F101" s="244">
        <v>9.962E-2</v>
      </c>
      <c r="G101" s="245">
        <v>37104</v>
      </c>
      <c r="H101" s="246">
        <v>37926</v>
      </c>
      <c r="I101" s="247">
        <v>5.8560000000000001E-2</v>
      </c>
      <c r="P101" s="242">
        <v>39668</v>
      </c>
      <c r="Q101" s="243">
        <v>0.187</v>
      </c>
      <c r="R101" s="243">
        <v>6.0499999999999998E-3</v>
      </c>
      <c r="T101" s="242">
        <v>39668</v>
      </c>
      <c r="U101" s="243">
        <v>0.15846000000000002</v>
      </c>
      <c r="V101" s="243">
        <v>6.0499999999999998E-3</v>
      </c>
    </row>
    <row r="102" spans="1:22" x14ac:dyDescent="0.25">
      <c r="A102" s="244">
        <v>0.13075999999999999</v>
      </c>
      <c r="B102" s="245">
        <v>39208</v>
      </c>
      <c r="C102" s="246">
        <v>40064</v>
      </c>
      <c r="D102" s="247">
        <v>7.6719999999999997E-2</v>
      </c>
      <c r="F102" s="244">
        <v>9.9940000000000001E-2</v>
      </c>
      <c r="G102" s="245">
        <v>38904</v>
      </c>
      <c r="H102" s="246">
        <v>38231</v>
      </c>
      <c r="I102" s="247">
        <v>5.7189999999999998E-2</v>
      </c>
      <c r="P102" s="242">
        <v>39699</v>
      </c>
      <c r="Q102" s="243">
        <v>0.16277000000000003</v>
      </c>
      <c r="R102" s="243">
        <v>1.197E-2</v>
      </c>
      <c r="T102" s="242">
        <v>39699</v>
      </c>
      <c r="U102" s="243">
        <v>0.13898000000000002</v>
      </c>
      <c r="V102" s="243">
        <v>1.197E-2</v>
      </c>
    </row>
    <row r="103" spans="1:22" x14ac:dyDescent="0.25">
      <c r="A103" s="244">
        <v>0.13170999999999999</v>
      </c>
      <c r="B103" s="245">
        <v>38813</v>
      </c>
      <c r="C103" s="246">
        <v>37622</v>
      </c>
      <c r="D103" s="247">
        <v>7.6469999999999996E-2</v>
      </c>
      <c r="F103" s="244">
        <v>0.10395</v>
      </c>
      <c r="G103" s="245">
        <v>39515</v>
      </c>
      <c r="H103" s="246">
        <v>38261</v>
      </c>
      <c r="I103" s="247">
        <v>5.525E-2</v>
      </c>
      <c r="P103" s="242">
        <v>39729</v>
      </c>
      <c r="Q103" s="243">
        <v>0.16204000000000002</v>
      </c>
      <c r="R103" s="243">
        <v>1.2999999999999999E-2</v>
      </c>
      <c r="T103" s="242">
        <v>39729</v>
      </c>
      <c r="U103" s="243">
        <v>0.14473</v>
      </c>
      <c r="V103" s="243">
        <v>1.2999999999999999E-2</v>
      </c>
    </row>
    <row r="104" spans="1:22" x14ac:dyDescent="0.25">
      <c r="A104" s="244">
        <v>0.13250999999999999</v>
      </c>
      <c r="B104" s="245">
        <v>38874</v>
      </c>
      <c r="C104" s="246">
        <v>37530</v>
      </c>
      <c r="D104" s="247">
        <v>7.6240000000000002E-2</v>
      </c>
      <c r="F104" s="244">
        <v>0.10417999999999999</v>
      </c>
      <c r="G104" s="245">
        <v>38813</v>
      </c>
      <c r="H104" s="246">
        <v>37257</v>
      </c>
      <c r="I104" s="247">
        <v>5.5169999999999997E-2</v>
      </c>
      <c r="P104" s="242">
        <v>39760</v>
      </c>
      <c r="Q104" s="243">
        <v>9.4899999999999998E-2</v>
      </c>
      <c r="R104" s="243">
        <v>1.9380000000000001E-2</v>
      </c>
      <c r="T104" s="242">
        <v>39760</v>
      </c>
      <c r="U104" s="243">
        <v>8.3699999999999997E-2</v>
      </c>
      <c r="V104" s="243">
        <v>1.9380000000000001E-2</v>
      </c>
    </row>
    <row r="105" spans="1:22" x14ac:dyDescent="0.25">
      <c r="A105" s="244">
        <v>0.13421</v>
      </c>
      <c r="B105" s="245">
        <v>38935</v>
      </c>
      <c r="C105" s="246">
        <v>36831</v>
      </c>
      <c r="D105" s="247">
        <v>7.5770000000000004E-2</v>
      </c>
      <c r="F105" s="244">
        <v>0.10451000000000001</v>
      </c>
      <c r="G105" s="245">
        <v>39300</v>
      </c>
      <c r="H105" s="246">
        <v>37288</v>
      </c>
      <c r="I105" s="247">
        <v>5.5169999999999997E-2</v>
      </c>
      <c r="P105" s="242">
        <v>39790</v>
      </c>
      <c r="Q105" s="243">
        <v>0.10802</v>
      </c>
      <c r="R105" s="243">
        <v>1.685E-2</v>
      </c>
      <c r="T105" s="242">
        <v>39790</v>
      </c>
      <c r="U105" s="243">
        <v>9.7320000000000004E-2</v>
      </c>
      <c r="V105" s="243">
        <v>1.685E-2</v>
      </c>
    </row>
    <row r="106" spans="1:22" x14ac:dyDescent="0.25">
      <c r="A106" s="244">
        <v>0.13613</v>
      </c>
      <c r="B106" s="245">
        <v>39607</v>
      </c>
      <c r="C106" s="246">
        <v>37712</v>
      </c>
      <c r="D106" s="247">
        <v>7.5759999999999994E-2</v>
      </c>
      <c r="F106" s="244">
        <v>0.10457</v>
      </c>
      <c r="G106" s="245">
        <v>39453</v>
      </c>
      <c r="H106" s="246">
        <v>36831</v>
      </c>
      <c r="I106" s="247">
        <v>5.5160000000000001E-2</v>
      </c>
      <c r="P106" s="242">
        <v>39821</v>
      </c>
      <c r="Q106" s="243">
        <v>0.12695000000000001</v>
      </c>
      <c r="R106" s="243">
        <v>1.4999999999999999E-2</v>
      </c>
      <c r="T106" s="242">
        <v>39821</v>
      </c>
      <c r="U106" s="243">
        <v>0.10845</v>
      </c>
      <c r="V106" s="243">
        <v>1.4999999999999999E-2</v>
      </c>
    </row>
    <row r="107" spans="1:22" x14ac:dyDescent="0.25">
      <c r="A107" s="244">
        <v>0.13614999999999999</v>
      </c>
      <c r="B107" s="245">
        <v>38782</v>
      </c>
      <c r="C107" s="246">
        <v>37500</v>
      </c>
      <c r="D107" s="247">
        <v>7.5609999999999997E-2</v>
      </c>
      <c r="F107" s="244">
        <v>0.10512000000000001</v>
      </c>
      <c r="G107" s="245">
        <v>39546</v>
      </c>
      <c r="H107" s="246">
        <v>36678</v>
      </c>
      <c r="I107" s="247">
        <v>5.4359999999999999E-2</v>
      </c>
      <c r="P107" s="242">
        <v>39852</v>
      </c>
      <c r="Q107" s="243">
        <v>0.10952000000000001</v>
      </c>
      <c r="R107" s="243">
        <v>1.5559999999999999E-2</v>
      </c>
      <c r="T107" s="242">
        <v>39852</v>
      </c>
      <c r="U107" s="243">
        <v>9.5149999999999998E-2</v>
      </c>
      <c r="V107" s="243">
        <v>1.5559999999999999E-2</v>
      </c>
    </row>
    <row r="108" spans="1:22" x14ac:dyDescent="0.25">
      <c r="A108" s="244">
        <v>0.13693</v>
      </c>
      <c r="B108" s="245">
        <v>38534</v>
      </c>
      <c r="C108" s="246">
        <v>37653</v>
      </c>
      <c r="D108" s="247">
        <v>7.4950000000000003E-2</v>
      </c>
      <c r="F108" s="244">
        <v>0.1071</v>
      </c>
      <c r="G108" s="245">
        <v>38782</v>
      </c>
      <c r="H108" s="246">
        <v>37316</v>
      </c>
      <c r="I108" s="247">
        <v>5.357E-2</v>
      </c>
      <c r="P108" s="242">
        <v>39880</v>
      </c>
      <c r="Q108" s="243">
        <v>9.3579999999999997E-2</v>
      </c>
      <c r="R108" s="243">
        <v>1.711E-2</v>
      </c>
      <c r="T108" s="242">
        <v>39880</v>
      </c>
      <c r="U108" s="243">
        <v>8.1960000000000005E-2</v>
      </c>
      <c r="V108" s="243">
        <v>1.711E-2</v>
      </c>
    </row>
    <row r="109" spans="1:22" x14ac:dyDescent="0.25">
      <c r="A109" s="244">
        <v>0.13769000000000001</v>
      </c>
      <c r="B109" s="245">
        <v>39239</v>
      </c>
      <c r="C109" s="246">
        <v>37257</v>
      </c>
      <c r="D109" s="247">
        <v>7.4099999999999999E-2</v>
      </c>
      <c r="F109" s="244">
        <v>0.10845</v>
      </c>
      <c r="G109" s="245">
        <v>39821</v>
      </c>
      <c r="H109" s="246">
        <v>37347</v>
      </c>
      <c r="I109" s="247">
        <v>5.357E-2</v>
      </c>
      <c r="P109" s="242">
        <v>39911</v>
      </c>
      <c r="Q109" s="243">
        <v>9.4380000000000006E-2</v>
      </c>
      <c r="R109" s="243">
        <v>1.8530000000000001E-2</v>
      </c>
      <c r="T109" s="242">
        <v>39911</v>
      </c>
      <c r="U109" s="243">
        <v>8.2740000000000008E-2</v>
      </c>
      <c r="V109" s="243">
        <v>1.8530000000000001E-2</v>
      </c>
    </row>
    <row r="110" spans="1:22" x14ac:dyDescent="0.25">
      <c r="A110" s="244">
        <v>0.13891999999999999</v>
      </c>
      <c r="B110" s="245">
        <v>38754</v>
      </c>
      <c r="C110" s="246">
        <v>37288</v>
      </c>
      <c r="D110" s="247">
        <v>7.4099999999999999E-2</v>
      </c>
      <c r="F110" s="244">
        <v>0.11217000000000001</v>
      </c>
      <c r="G110" s="245">
        <v>38754</v>
      </c>
      <c r="H110" s="246">
        <v>36951</v>
      </c>
      <c r="I110" s="247">
        <v>5.3199999999999997E-2</v>
      </c>
      <c r="P110" s="242">
        <v>39941</v>
      </c>
      <c r="Q110" s="243">
        <v>8.8459999999999997E-2</v>
      </c>
      <c r="R110" s="243">
        <v>1.8110000000000001E-2</v>
      </c>
      <c r="T110" s="242">
        <v>39941</v>
      </c>
      <c r="U110" s="243">
        <v>7.1739999999999998E-2</v>
      </c>
      <c r="V110" s="243">
        <v>1.8110000000000001E-2</v>
      </c>
    </row>
    <row r="111" spans="1:22" x14ac:dyDescent="0.25">
      <c r="A111" s="244">
        <v>0.14377999999999999</v>
      </c>
      <c r="B111" s="245">
        <v>39300</v>
      </c>
      <c r="C111" s="246">
        <v>36951</v>
      </c>
      <c r="D111" s="247">
        <v>7.3800000000000004E-2</v>
      </c>
      <c r="F111" s="244">
        <v>0.11401</v>
      </c>
      <c r="G111" s="245">
        <v>39269</v>
      </c>
      <c r="H111" s="246">
        <v>37196</v>
      </c>
      <c r="I111" s="247">
        <v>5.0430000000000003E-2</v>
      </c>
      <c r="P111" s="242">
        <v>39972</v>
      </c>
      <c r="Q111" s="243">
        <v>9.5329999999999998E-2</v>
      </c>
      <c r="R111" s="243">
        <v>1.6369999999999999E-2</v>
      </c>
      <c r="T111" s="242">
        <v>39972</v>
      </c>
      <c r="U111" s="243">
        <v>7.6350000000000001E-2</v>
      </c>
      <c r="V111" s="243">
        <v>1.6369999999999999E-2</v>
      </c>
    </row>
    <row r="112" spans="1:22" x14ac:dyDescent="0.25">
      <c r="A112" s="244">
        <v>0.14631</v>
      </c>
      <c r="B112" s="245">
        <v>39486</v>
      </c>
      <c r="C112" s="246">
        <v>37316</v>
      </c>
      <c r="D112" s="247">
        <v>7.3120000000000004E-2</v>
      </c>
      <c r="F112" s="244">
        <v>0.11645</v>
      </c>
      <c r="G112" s="245">
        <v>39576</v>
      </c>
      <c r="H112" s="246">
        <v>37226</v>
      </c>
      <c r="I112" s="247">
        <v>5.0430000000000003E-2</v>
      </c>
      <c r="P112" s="242">
        <v>40002</v>
      </c>
      <c r="Q112" s="243">
        <v>0.10747</v>
      </c>
      <c r="R112" s="243">
        <v>1.1129999999999999E-2</v>
      </c>
      <c r="T112" s="242">
        <v>40002</v>
      </c>
      <c r="U112" s="243">
        <v>8.5370000000000001E-2</v>
      </c>
      <c r="V112" s="243">
        <v>1.1129999999999999E-2</v>
      </c>
    </row>
    <row r="113" spans="1:22" x14ac:dyDescent="0.25">
      <c r="A113" s="244">
        <v>0.14693999999999999</v>
      </c>
      <c r="B113" s="245">
        <v>38661</v>
      </c>
      <c r="C113" s="246">
        <v>40125</v>
      </c>
      <c r="D113" s="247">
        <v>7.2349999999999998E-2</v>
      </c>
      <c r="F113" s="244">
        <v>0.11741</v>
      </c>
      <c r="G113" s="245">
        <v>38661</v>
      </c>
      <c r="H113" s="246">
        <v>36982</v>
      </c>
      <c r="I113" s="247">
        <v>5.0250000000000003E-2</v>
      </c>
      <c r="P113" s="242">
        <v>40033</v>
      </c>
      <c r="Q113" s="243">
        <v>8.163999999999999E-2</v>
      </c>
      <c r="R113" s="243">
        <v>1.3820000000000001E-2</v>
      </c>
      <c r="T113" s="242">
        <v>40033</v>
      </c>
      <c r="U113" s="243">
        <v>6.4129999999999993E-2</v>
      </c>
      <c r="V113" s="243">
        <v>1.3820000000000001E-2</v>
      </c>
    </row>
    <row r="114" spans="1:22" x14ac:dyDescent="0.25">
      <c r="A114" s="244">
        <v>0.15081</v>
      </c>
      <c r="B114" s="245">
        <v>38904</v>
      </c>
      <c r="C114" s="246">
        <v>37347</v>
      </c>
      <c r="D114" s="247">
        <v>7.1639999999999995E-2</v>
      </c>
      <c r="F114" s="244">
        <v>0.12192</v>
      </c>
      <c r="G114" s="245">
        <v>39607</v>
      </c>
      <c r="H114" s="246">
        <v>37712</v>
      </c>
      <c r="I114" s="247">
        <v>5.024E-2</v>
      </c>
      <c r="P114" s="242">
        <v>40064</v>
      </c>
      <c r="Q114" s="243">
        <v>7.6719999999999997E-2</v>
      </c>
      <c r="R114" s="243">
        <v>1.507E-2</v>
      </c>
      <c r="T114" s="242">
        <v>40064</v>
      </c>
      <c r="U114" s="243">
        <v>6.1240000000000003E-2</v>
      </c>
      <c r="V114" s="243">
        <v>1.507E-2</v>
      </c>
    </row>
    <row r="115" spans="1:22" x14ac:dyDescent="0.25">
      <c r="A115" s="244">
        <v>0.15281</v>
      </c>
      <c r="B115" s="245">
        <v>38691</v>
      </c>
      <c r="C115" s="246">
        <v>37681</v>
      </c>
      <c r="D115" s="247">
        <v>7.1559999999999999E-2</v>
      </c>
      <c r="F115" s="244">
        <v>0.12276000000000001</v>
      </c>
      <c r="G115" s="245">
        <v>38691</v>
      </c>
      <c r="H115" s="246">
        <v>37622</v>
      </c>
      <c r="I115" s="247">
        <v>5.0090000000000003E-2</v>
      </c>
      <c r="P115" s="242">
        <v>40094</v>
      </c>
      <c r="Q115" s="243">
        <v>7.9240000000000005E-2</v>
      </c>
      <c r="R115" s="243">
        <v>1.5810000000000001E-2</v>
      </c>
      <c r="T115" s="242">
        <v>40094</v>
      </c>
      <c r="U115" s="243">
        <v>6.2429999999999999E-2</v>
      </c>
      <c r="V115" s="243">
        <v>1.5810000000000001E-2</v>
      </c>
    </row>
    <row r="116" spans="1:22" x14ac:dyDescent="0.25">
      <c r="A116" s="244">
        <v>0.15690000000000001</v>
      </c>
      <c r="B116" s="245">
        <v>39637</v>
      </c>
      <c r="C116" s="246">
        <v>37591</v>
      </c>
      <c r="D116" s="247">
        <v>7.1290000000000006E-2</v>
      </c>
      <c r="F116" s="244">
        <v>0.12434000000000001</v>
      </c>
      <c r="G116" s="245">
        <v>39486</v>
      </c>
      <c r="H116" s="246">
        <v>36770</v>
      </c>
      <c r="I116" s="247">
        <v>4.9689999999999998E-2</v>
      </c>
      <c r="P116" s="242">
        <v>40125</v>
      </c>
      <c r="Q116" s="243">
        <v>7.2349999999999998E-2</v>
      </c>
      <c r="R116" s="243">
        <v>2.1180000000000001E-2</v>
      </c>
      <c r="T116" s="242">
        <v>40125</v>
      </c>
      <c r="U116" s="243">
        <v>6.1069999999999999E-2</v>
      </c>
      <c r="V116" s="243">
        <v>2.1180000000000001E-2</v>
      </c>
    </row>
    <row r="117" spans="1:22" x14ac:dyDescent="0.25">
      <c r="A117" s="244">
        <v>0.16141</v>
      </c>
      <c r="B117" s="245">
        <v>39269</v>
      </c>
      <c r="C117" s="246">
        <v>36982</v>
      </c>
      <c r="D117" s="247">
        <v>7.0860000000000006E-2</v>
      </c>
      <c r="F117" s="244">
        <v>0.13603000000000001</v>
      </c>
      <c r="G117" s="245">
        <v>39637</v>
      </c>
      <c r="H117" s="246">
        <v>37653</v>
      </c>
      <c r="I117" s="247">
        <v>4.8570000000000002E-2</v>
      </c>
      <c r="P117" s="242">
        <v>40155</v>
      </c>
      <c r="Q117" s="243">
        <v>8.5359999999999991E-2</v>
      </c>
      <c r="R117" s="243">
        <v>1.915E-2</v>
      </c>
      <c r="T117" s="242">
        <v>40155</v>
      </c>
      <c r="U117" s="243">
        <v>7.2989999999999999E-2</v>
      </c>
      <c r="V117" s="243">
        <v>1.915E-2</v>
      </c>
    </row>
    <row r="118" spans="1:22" x14ac:dyDescent="0.25">
      <c r="A118" s="244">
        <v>0.16204000000000002</v>
      </c>
      <c r="B118" s="245">
        <v>39729</v>
      </c>
      <c r="C118" s="246">
        <v>37561</v>
      </c>
      <c r="D118" s="247">
        <v>6.9989999999999997E-2</v>
      </c>
      <c r="F118" s="244">
        <v>0.13898000000000002</v>
      </c>
      <c r="G118" s="245">
        <v>39699</v>
      </c>
      <c r="H118" s="246">
        <v>37591</v>
      </c>
      <c r="I118" s="247">
        <v>4.7120000000000002E-2</v>
      </c>
      <c r="P118" s="242">
        <v>40186</v>
      </c>
      <c r="Q118" s="243">
        <v>0.10098</v>
      </c>
      <c r="R118" s="243">
        <v>1.5679999999999999E-2</v>
      </c>
      <c r="T118" s="242">
        <v>40186</v>
      </c>
      <c r="U118" s="243">
        <v>8.4430000000000005E-2</v>
      </c>
      <c r="V118" s="243">
        <v>1.5679999999999999E-2</v>
      </c>
    </row>
    <row r="119" spans="1:22" x14ac:dyDescent="0.25">
      <c r="A119" s="244">
        <v>0.16277000000000003</v>
      </c>
      <c r="B119" s="245">
        <v>39699</v>
      </c>
      <c r="C119" s="246">
        <v>37196</v>
      </c>
      <c r="D119" s="247">
        <v>6.5710000000000005E-2</v>
      </c>
      <c r="F119" s="244">
        <v>0.14449000000000001</v>
      </c>
      <c r="G119" s="245">
        <v>38723</v>
      </c>
      <c r="H119" s="246">
        <v>37681</v>
      </c>
      <c r="I119" s="247">
        <v>4.6039999999999998E-2</v>
      </c>
      <c r="P119" s="242">
        <v>40217</v>
      </c>
      <c r="Q119" s="243">
        <v>9.0249999999999997E-2</v>
      </c>
      <c r="R119" s="243">
        <v>1.8780000000000002E-2</v>
      </c>
      <c r="T119" s="242">
        <v>40217</v>
      </c>
      <c r="U119" s="243">
        <v>8.133E-2</v>
      </c>
      <c r="V119" s="243">
        <v>1.8780000000000002E-2</v>
      </c>
    </row>
    <row r="120" spans="1:22" x14ac:dyDescent="0.25">
      <c r="A120" s="244">
        <v>0.187</v>
      </c>
      <c r="B120" s="245">
        <v>39668</v>
      </c>
      <c r="C120" s="246">
        <v>37226</v>
      </c>
      <c r="D120" s="247">
        <v>6.5710000000000005E-2</v>
      </c>
      <c r="F120" s="244">
        <v>0.14473</v>
      </c>
      <c r="G120" s="245">
        <v>39729</v>
      </c>
      <c r="H120" s="246">
        <v>37561</v>
      </c>
      <c r="I120" s="247">
        <v>4.582E-2</v>
      </c>
      <c r="P120" s="242">
        <v>40245</v>
      </c>
      <c r="Q120" s="243">
        <v>7.8340000000000007E-2</v>
      </c>
      <c r="R120" s="243">
        <v>2.1749999999999999E-2</v>
      </c>
      <c r="T120" s="242">
        <v>40245</v>
      </c>
      <c r="U120" s="243">
        <v>7.2020000000000001E-2</v>
      </c>
      <c r="V120" s="243">
        <v>2.1749999999999999E-2</v>
      </c>
    </row>
    <row r="121" spans="1:22" x14ac:dyDescent="0.25">
      <c r="A121" s="248">
        <v>0.19594999999999999</v>
      </c>
      <c r="B121" s="249">
        <v>38723</v>
      </c>
      <c r="C121" s="250">
        <v>36800</v>
      </c>
      <c r="D121" s="251">
        <v>5.7680000000000002E-2</v>
      </c>
      <c r="F121" s="248">
        <v>0.15846000000000002</v>
      </c>
      <c r="G121" s="249">
        <v>39668</v>
      </c>
      <c r="H121" s="250">
        <v>36800</v>
      </c>
      <c r="I121" s="251">
        <v>3.4470000000000001E-2</v>
      </c>
      <c r="P121" s="242">
        <v>40276</v>
      </c>
      <c r="Q121" s="243">
        <v>7.8090000000000007E-2</v>
      </c>
      <c r="R121" s="243">
        <v>2.1420000000000002E-2</v>
      </c>
      <c r="T121" s="242">
        <v>40276</v>
      </c>
      <c r="U121" s="243">
        <v>7.0569999999999994E-2</v>
      </c>
      <c r="V121" s="243">
        <v>2.1420000000000002E-2</v>
      </c>
    </row>
  </sheetData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20">
    <tabColor indexed="29"/>
  </sheetPr>
  <dimension ref="A1:U224"/>
  <sheetViews>
    <sheetView zoomScale="130" zoomScaleNormal="130" workbookViewId="0">
      <pane xSplit="1" ySplit="9" topLeftCell="B22" activePane="bottomRight" state="frozen"/>
      <selection activeCell="A109" sqref="A109"/>
      <selection pane="topRight" activeCell="A109" sqref="A109"/>
      <selection pane="bottomLeft" activeCell="A109" sqref="A109"/>
      <selection pane="bottomRight" activeCell="C34" sqref="C34"/>
    </sheetView>
  </sheetViews>
  <sheetFormatPr defaultColWidth="9.1796875" defaultRowHeight="10" x14ac:dyDescent="0.2"/>
  <cols>
    <col min="1" max="1" width="13.54296875" style="235" customWidth="1"/>
    <col min="2" max="2" width="16.54296875" style="235" customWidth="1"/>
    <col min="3" max="3" width="17.26953125" style="235" customWidth="1"/>
    <col min="4" max="4" width="15.26953125" style="235" customWidth="1"/>
    <col min="5" max="5" width="14.1796875" style="235" customWidth="1"/>
    <col min="6" max="6" width="13.81640625" style="235" customWidth="1"/>
    <col min="7" max="7" width="18.1796875" style="235" customWidth="1"/>
    <col min="8" max="8" width="17" style="235" customWidth="1"/>
    <col min="9" max="9" width="9" style="235" customWidth="1"/>
    <col min="10" max="18" width="9.1796875" style="235"/>
    <col min="19" max="19" width="10" style="235" customWidth="1"/>
    <col min="20" max="16384" width="9.1796875" style="235"/>
  </cols>
  <sheetData>
    <row r="1" spans="1:21" ht="10.5" x14ac:dyDescent="0.25">
      <c r="A1" s="252">
        <f>+[69]Data!$A$1</f>
        <v>0</v>
      </c>
      <c r="B1" s="253"/>
      <c r="C1" s="253"/>
      <c r="D1" s="253"/>
      <c r="E1" s="253"/>
      <c r="F1" s="253"/>
      <c r="G1" s="253"/>
      <c r="H1" s="253"/>
    </row>
    <row r="2" spans="1:21" ht="10.5" x14ac:dyDescent="0.25">
      <c r="A2" s="797" t="s">
        <v>369</v>
      </c>
      <c r="B2" s="797"/>
      <c r="C2" s="797"/>
      <c r="D2" s="797"/>
      <c r="E2" s="797"/>
      <c r="F2" s="797"/>
      <c r="G2" s="797"/>
      <c r="H2" s="797"/>
    </row>
    <row r="3" spans="1:21" ht="10.5" x14ac:dyDescent="0.25">
      <c r="A3" s="797" t="s">
        <v>370</v>
      </c>
      <c r="B3" s="797"/>
      <c r="C3" s="797"/>
      <c r="D3" s="797"/>
      <c r="E3" s="797"/>
      <c r="F3" s="797"/>
      <c r="G3" s="797"/>
      <c r="H3" s="797"/>
      <c r="I3" s="490"/>
    </row>
    <row r="4" spans="1:21" ht="10.5" x14ac:dyDescent="0.25">
      <c r="A4" s="797"/>
      <c r="B4" s="797"/>
      <c r="C4" s="797"/>
      <c r="D4" s="797"/>
      <c r="E4" s="797"/>
      <c r="U4" s="254"/>
    </row>
    <row r="5" spans="1:21" ht="10.5" x14ac:dyDescent="0.25">
      <c r="B5" s="255"/>
      <c r="C5" s="255"/>
      <c r="D5" s="255"/>
      <c r="E5" s="255"/>
      <c r="G5" s="798"/>
      <c r="H5" s="798"/>
    </row>
    <row r="6" spans="1:21" ht="10.5" x14ac:dyDescent="0.25">
      <c r="A6" s="255"/>
      <c r="B6" s="799" t="s">
        <v>371</v>
      </c>
      <c r="C6" s="800"/>
      <c r="D6" s="256"/>
      <c r="E6" s="801"/>
      <c r="F6" s="801"/>
      <c r="G6" s="802" t="s">
        <v>372</v>
      </c>
      <c r="H6" s="803"/>
      <c r="P6" s="255" t="s">
        <v>373</v>
      </c>
    </row>
    <row r="7" spans="1:21" ht="31.5" x14ac:dyDescent="0.25">
      <c r="A7" s="257" t="s">
        <v>367</v>
      </c>
      <c r="B7" s="258" t="s">
        <v>163</v>
      </c>
      <c r="C7" s="257" t="s">
        <v>374</v>
      </c>
      <c r="D7" s="259" t="s">
        <v>375</v>
      </c>
      <c r="E7" s="260" t="s">
        <v>376</v>
      </c>
      <c r="F7" s="257" t="s">
        <v>377</v>
      </c>
      <c r="G7" s="261" t="s">
        <v>378</v>
      </c>
      <c r="H7" s="262" t="s">
        <v>379</v>
      </c>
      <c r="I7" s="261" t="s">
        <v>380</v>
      </c>
      <c r="J7" s="261" t="s">
        <v>381</v>
      </c>
      <c r="K7" s="261" t="s">
        <v>382</v>
      </c>
      <c r="L7" s="261" t="s">
        <v>284</v>
      </c>
      <c r="M7" s="261" t="s">
        <v>383</v>
      </c>
      <c r="O7" s="263" t="s">
        <v>367</v>
      </c>
      <c r="P7" s="263" t="s">
        <v>366</v>
      </c>
      <c r="Q7" s="263" t="s">
        <v>384</v>
      </c>
    </row>
    <row r="8" spans="1:21" ht="12.5" x14ac:dyDescent="0.25">
      <c r="A8" s="264"/>
      <c r="B8" s="265"/>
      <c r="C8" s="266"/>
      <c r="D8" s="266"/>
      <c r="E8" s="265"/>
      <c r="F8" s="267"/>
      <c r="G8" s="268"/>
      <c r="H8" s="264"/>
      <c r="I8" s="795" t="s">
        <v>385</v>
      </c>
      <c r="J8" s="796"/>
      <c r="K8" s="264"/>
      <c r="L8" s="269"/>
      <c r="M8" s="264"/>
      <c r="O8" s="268"/>
      <c r="P8" s="270"/>
      <c r="Q8" s="271"/>
    </row>
    <row r="9" spans="1:21" ht="10.5" x14ac:dyDescent="0.25">
      <c r="A9" s="255" t="s">
        <v>283</v>
      </c>
      <c r="B9" s="272"/>
      <c r="C9" s="273"/>
      <c r="D9" s="273"/>
      <c r="E9" s="272"/>
      <c r="F9" s="274"/>
      <c r="G9" s="275"/>
      <c r="H9" s="276"/>
      <c r="I9" s="277"/>
      <c r="J9" s="277"/>
      <c r="K9" s="277"/>
      <c r="L9" s="277"/>
      <c r="M9" s="277"/>
      <c r="O9" s="278"/>
      <c r="P9" s="231"/>
      <c r="Q9" s="279"/>
    </row>
    <row r="10" spans="1:21" ht="10.5" x14ac:dyDescent="0.25">
      <c r="A10" s="280"/>
      <c r="B10" s="289"/>
      <c r="C10" s="289"/>
      <c r="D10" s="289"/>
      <c r="E10" s="281"/>
      <c r="F10" s="282"/>
      <c r="G10" s="283"/>
      <c r="H10" s="281"/>
      <c r="I10" s="290"/>
      <c r="J10" s="290"/>
      <c r="K10" s="285"/>
      <c r="L10" s="277"/>
      <c r="M10" s="285"/>
      <c r="O10" s="246"/>
      <c r="P10" s="286"/>
      <c r="Q10" s="247"/>
    </row>
    <row r="11" spans="1:21" ht="12.75" customHeight="1" x14ac:dyDescent="0.25">
      <c r="A11" s="287">
        <v>43952</v>
      </c>
      <c r="B11" s="288">
        <f>ROUND(VLOOKUP($A11,'[70]NYC Forecast ENERGY 04 06 20'!$A$8:$H$40,2,FALSE)/1000,5)</f>
        <v>1.8599999999999998E-2</v>
      </c>
      <c r="C11" s="288">
        <f>ROUND(VLOOKUP($A11,'[70]NYC Forecast ENERGY 04 06 20'!$A$8:$H$40,3,FALSE)/1000,5)</f>
        <v>1.4449999999999999E-2</v>
      </c>
      <c r="D11" s="288">
        <f>ROUND(VLOOKUP($A11,[69]Data!$A$40:$E$87,2,FALSE)/1000,5)</f>
        <v>3.6999999999999999E-4</v>
      </c>
      <c r="E11" s="288">
        <f>ROUND(VLOOKUP($A11,[69]Data!$A$40:$E$87,3,FALSE)/1000,5)</f>
        <v>3.0699999999999998E-3</v>
      </c>
      <c r="F11" s="288">
        <f>ROUND(VLOOKUP($A11,[69]Data!$A$40:$E$87,4,FALSE)/1000,5)</f>
        <v>1.1900000000000001E-3</v>
      </c>
      <c r="G11" s="289">
        <f>ROUND((B11+D11+E11+F11)*1.063,5)</f>
        <v>2.469E-2</v>
      </c>
      <c r="H11" s="281">
        <f>ROUND((C11+D11+E11+F11)*1.063,5)</f>
        <v>2.0279999999999999E-2</v>
      </c>
      <c r="I11" s="290">
        <f>IF(AND(MONTH($A11)&gt;=6, MONTH($A11)&lt;=9),'[62]2017 DATA'!$B$7,'[62]2017 DATA'!$F$7)</f>
        <v>0.43091420638451883</v>
      </c>
      <c r="J11" s="290">
        <f>IF(AND(MONTH($A11)&gt;=6, MONTH($A11)&lt;=9),'[62]2017 DATA'!$C$7,'[62]2017 DATA'!$G$7)</f>
        <v>0.56908579361548117</v>
      </c>
      <c r="K11" s="285">
        <f t="shared" ref="K11:K28" si="0">ROUND((I11*G11)+(J11*H11),5)</f>
        <v>2.2179999999999998E-2</v>
      </c>
      <c r="L11" s="291">
        <f>+$H$64</f>
        <v>7.2300000000000003E-2</v>
      </c>
      <c r="M11" s="285">
        <f t="shared" ref="M11:M28" si="1">K11+L11</f>
        <v>9.4480000000000008E-2</v>
      </c>
      <c r="O11" s="292">
        <f>VLOOKUP(P11,'Lookup Tables for Level Billing'!$A$4:$B$121,2)</f>
        <v>39760</v>
      </c>
      <c r="P11" s="293">
        <f>INDEX('Lookup Tables for Level Billing'!$D$4:$D$121,MATCH('MSC - Energy SC1'!M11,'Lookup Tables for Level Billing'!$D$4:$D$121,-1))</f>
        <v>9.4899999999999998E-2</v>
      </c>
      <c r="Q11" s="247">
        <f t="shared" ref="Q11:Q28" si="2">P11-M11</f>
        <v>4.1999999999998983E-4</v>
      </c>
      <c r="R11" s="294"/>
    </row>
    <row r="12" spans="1:21" ht="12.75" customHeight="1" x14ac:dyDescent="0.25">
      <c r="A12" s="489">
        <f>+DATE(YEAR(A11),MONTH(A11)+1,1)</f>
        <v>43983</v>
      </c>
      <c r="B12" s="288">
        <f>ROUND(VLOOKUP($A12,'[70]NYC Forecast ENERGY 04 06 20'!$A$8:$H$40,2,FALSE)/1000,5)</f>
        <v>2.1520000000000001E-2</v>
      </c>
      <c r="C12" s="288">
        <f>ROUND(VLOOKUP($A12,'[70]NYC Forecast ENERGY 04 06 20'!$A$8:$H$40,3,FALSE)/1000,5)</f>
        <v>1.6049999999999998E-2</v>
      </c>
      <c r="D12" s="288">
        <f>ROUND(VLOOKUP($A12,[69]Data!$A$40:$E$87,2,FALSE)/1000,5)</f>
        <v>3.6999999999999999E-4</v>
      </c>
      <c r="E12" s="288">
        <f>ROUND(VLOOKUP($A12,[69]Data!$A$40:$E$87,3,FALSE)/1000,5)</f>
        <v>3.3600000000000001E-3</v>
      </c>
      <c r="F12" s="288">
        <f>ROUND(VLOOKUP($A12,[69]Data!$A$40:$E$87,4,FALSE)/1000,5)</f>
        <v>1.2800000000000001E-3</v>
      </c>
      <c r="G12" s="289">
        <f t="shared" ref="G12:G28" si="3">ROUND((B12+D12+E12+F12)*1.063,5)</f>
        <v>2.8199999999999999E-2</v>
      </c>
      <c r="H12" s="281">
        <f t="shared" ref="H12:H28" si="4">ROUND((C12+D12+E12+F12)*1.063,5)</f>
        <v>2.239E-2</v>
      </c>
      <c r="I12" s="290">
        <f>IF(AND(MONTH($A12)&gt;=6, MONTH($A12)&lt;=9),'[62]2017 DATA'!$B$7,'[62]2017 DATA'!$F$7)</f>
        <v>0.42819487926885397</v>
      </c>
      <c r="J12" s="290">
        <f>IF(AND(MONTH($A12)&gt;=6, MONTH($A12)&lt;=9),'[62]2017 DATA'!$C$7,'[62]2017 DATA'!$G$7)</f>
        <v>0.57180512073114587</v>
      </c>
      <c r="K12" s="285">
        <f t="shared" si="0"/>
        <v>2.4879999999999999E-2</v>
      </c>
      <c r="L12" s="291">
        <f t="shared" ref="L12:L16" si="5">+$H$64</f>
        <v>7.2300000000000003E-2</v>
      </c>
      <c r="M12" s="285">
        <f t="shared" si="1"/>
        <v>9.7180000000000002E-2</v>
      </c>
      <c r="O12" s="292">
        <f>VLOOKUP(P12,'Lookup Tables for Level Billing'!$A$4:$B$121,2)</f>
        <v>37742</v>
      </c>
      <c r="P12" s="293">
        <f>INDEX('Lookup Tables for Level Billing'!$D$4:$D$121,MATCH('MSC - Energy SC1'!M12,'Lookup Tables for Level Billing'!$D$4:$D$121,-1))</f>
        <v>9.7350000000000006E-2</v>
      </c>
      <c r="Q12" s="247">
        <f t="shared" si="2"/>
        <v>1.7000000000000348E-4</v>
      </c>
      <c r="R12" s="294"/>
    </row>
    <row r="13" spans="1:21" ht="12.75" customHeight="1" x14ac:dyDescent="0.25">
      <c r="A13" s="489">
        <f t="shared" ref="A13:A28" si="6">+DATE(YEAR(A12),MONTH(A12)+1,1)</f>
        <v>44013</v>
      </c>
      <c r="B13" s="288">
        <f>ROUND(VLOOKUP($A13,'[70]NYC Forecast ENERGY 04 06 20'!$A$8:$H$40,2,FALSE)/1000,5)</f>
        <v>3.1019999999999999E-2</v>
      </c>
      <c r="C13" s="288">
        <f>ROUND(VLOOKUP($A13,'[70]NYC Forecast ENERGY 04 06 20'!$A$8:$H$40,3,FALSE)/1000,5)</f>
        <v>2.0799999999999999E-2</v>
      </c>
      <c r="D13" s="288">
        <f>ROUND(VLOOKUP($A13,[69]Data!$A$40:$E$87,2,FALSE)/1000,5)</f>
        <v>3.4000000000000002E-4</v>
      </c>
      <c r="E13" s="288">
        <f>ROUND(VLOOKUP($A13,[69]Data!$A$40:$E$87,3,FALSE)/1000,5)</f>
        <v>2.8600000000000001E-3</v>
      </c>
      <c r="F13" s="288">
        <f>ROUND(VLOOKUP($A13,[69]Data!$A$40:$E$87,4,FALSE)/1000,5)</f>
        <v>1.2600000000000001E-3</v>
      </c>
      <c r="G13" s="289">
        <f t="shared" si="3"/>
        <v>3.7719999999999997E-2</v>
      </c>
      <c r="H13" s="281">
        <f t="shared" si="4"/>
        <v>2.6849999999999999E-2</v>
      </c>
      <c r="I13" s="290">
        <f>IF(AND(MONTH($A13)&gt;=6, MONTH($A13)&lt;=9),'[62]2017 DATA'!$B$7,'[62]2017 DATA'!$F$7)</f>
        <v>0.42819487926885397</v>
      </c>
      <c r="J13" s="290">
        <f>IF(AND(MONTH($A13)&gt;=6, MONTH($A13)&lt;=9),'[62]2017 DATA'!$C$7,'[62]2017 DATA'!$G$7)</f>
        <v>0.57180512073114587</v>
      </c>
      <c r="K13" s="285">
        <f t="shared" si="0"/>
        <v>3.15E-2</v>
      </c>
      <c r="L13" s="291">
        <f t="shared" si="5"/>
        <v>7.2300000000000003E-2</v>
      </c>
      <c r="M13" s="285">
        <f t="shared" si="1"/>
        <v>0.1038</v>
      </c>
      <c r="O13" s="292">
        <f>VLOOKUP(P13,'Lookup Tables for Level Billing'!$A$4:$B$121,2)</f>
        <v>38443</v>
      </c>
      <c r="P13" s="293">
        <f>INDEX('Lookup Tables for Level Billing'!$D$4:$D$121,MATCH('MSC - Energy SC1'!M13,'Lookup Tables for Level Billing'!$D$4:$D$121,-1))</f>
        <v>0.10424</v>
      </c>
      <c r="Q13" s="247">
        <f t="shared" si="2"/>
        <v>4.3999999999999595E-4</v>
      </c>
      <c r="R13" s="294"/>
    </row>
    <row r="14" spans="1:21" ht="10.5" x14ac:dyDescent="0.25">
      <c r="A14" s="489">
        <f t="shared" si="6"/>
        <v>44044</v>
      </c>
      <c r="B14" s="288">
        <f>ROUND(VLOOKUP($A14,'[70]NYC Forecast ENERGY 04 06 20'!$A$8:$H$40,2,FALSE)/1000,5)</f>
        <v>2.895E-2</v>
      </c>
      <c r="C14" s="288">
        <f>ROUND(VLOOKUP($A14,'[70]NYC Forecast ENERGY 04 06 20'!$A$8:$H$40,3,FALSE)/1000,5)</f>
        <v>2.001E-2</v>
      </c>
      <c r="D14" s="288">
        <f>ROUND(VLOOKUP($A14,[69]Data!$A$40:$E$87,2,FALSE)/1000,5)</f>
        <v>3.3E-4</v>
      </c>
      <c r="E14" s="288">
        <f>ROUND(VLOOKUP($A14,[69]Data!$A$40:$E$87,3,FALSE)/1000,5)</f>
        <v>2.8E-3</v>
      </c>
      <c r="F14" s="288">
        <f>ROUND(VLOOKUP($A14,[69]Data!$A$40:$E$87,4,FALSE)/1000,5)</f>
        <v>1.16E-3</v>
      </c>
      <c r="G14" s="289">
        <f t="shared" si="3"/>
        <v>3.533E-2</v>
      </c>
      <c r="H14" s="281">
        <f t="shared" si="4"/>
        <v>2.5829999999999999E-2</v>
      </c>
      <c r="I14" s="290">
        <f>IF(AND(MONTH($A14)&gt;=6, MONTH($A14)&lt;=9),'[62]2017 DATA'!$B$7,'[62]2017 DATA'!$F$7)</f>
        <v>0.42819487926885397</v>
      </c>
      <c r="J14" s="290">
        <f>IF(AND(MONTH($A14)&gt;=6, MONTH($A14)&lt;=9),'[62]2017 DATA'!$C$7,'[62]2017 DATA'!$G$7)</f>
        <v>0.57180512073114587</v>
      </c>
      <c r="K14" s="285">
        <f t="shared" si="0"/>
        <v>2.9899999999999999E-2</v>
      </c>
      <c r="L14" s="291">
        <f t="shared" si="5"/>
        <v>7.2300000000000003E-2</v>
      </c>
      <c r="M14" s="285">
        <f>K14+L14</f>
        <v>0.1022</v>
      </c>
      <c r="O14" s="292">
        <f>VLOOKUP(P14,'Lookup Tables for Level Billing'!$A$4:$B$121,2)</f>
        <v>37773</v>
      </c>
      <c r="P14" s="293">
        <f>INDEX('Lookup Tables for Level Billing'!$D$4:$D$121,MATCH('MSC - Energy SC1'!M14,'Lookup Tables for Level Billing'!$D$4:$D$121,-1))</f>
        <v>0.10255</v>
      </c>
      <c r="Q14" s="247">
        <f t="shared" si="2"/>
        <v>3.5000000000000309E-4</v>
      </c>
      <c r="R14" s="294"/>
    </row>
    <row r="15" spans="1:21" ht="10.5" x14ac:dyDescent="0.25">
      <c r="A15" s="489">
        <f t="shared" si="6"/>
        <v>44075</v>
      </c>
      <c r="B15" s="288">
        <f>ROUND(VLOOKUP($A15,'[70]NYC Forecast ENERGY 04 06 20'!$A$8:$H$40,2,FALSE)/1000,5)</f>
        <v>2.47E-2</v>
      </c>
      <c r="C15" s="288">
        <f>ROUND(VLOOKUP($A15,'[70]NYC Forecast ENERGY 04 06 20'!$A$8:$H$40,3,FALSE)/1000,5)</f>
        <v>1.6799999999999999E-2</v>
      </c>
      <c r="D15" s="288">
        <f>ROUND(VLOOKUP($A15,[69]Data!$A$40:$E$87,2,FALSE)/1000,5)</f>
        <v>3.5E-4</v>
      </c>
      <c r="E15" s="288">
        <f>ROUND(VLOOKUP($A15,[69]Data!$A$40:$E$87,3,FALSE)/1000,5)</f>
        <v>2.8900000000000002E-3</v>
      </c>
      <c r="F15" s="288">
        <f>ROUND(VLOOKUP($A15,[69]Data!$A$40:$E$87,4,FALSE)/1000,5)</f>
        <v>8.4999999999999995E-4</v>
      </c>
      <c r="G15" s="289">
        <f t="shared" si="3"/>
        <v>3.0599999999999999E-2</v>
      </c>
      <c r="H15" s="281">
        <f t="shared" si="4"/>
        <v>2.2210000000000001E-2</v>
      </c>
      <c r="I15" s="290">
        <f>IF(AND(MONTH($A15)&gt;=6, MONTH($A15)&lt;=9),'[62]2017 DATA'!$B$7,'[62]2017 DATA'!$F$7)</f>
        <v>0.42819487926885397</v>
      </c>
      <c r="J15" s="290">
        <f>IF(AND(MONTH($A15)&gt;=6, MONTH($A15)&lt;=9),'[62]2017 DATA'!$C$7,'[62]2017 DATA'!$G$7)</f>
        <v>0.57180512073114587</v>
      </c>
      <c r="K15" s="285">
        <f t="shared" si="0"/>
        <v>2.58E-2</v>
      </c>
      <c r="L15" s="291">
        <f t="shared" si="5"/>
        <v>7.2300000000000003E-2</v>
      </c>
      <c r="M15" s="285">
        <f t="shared" si="1"/>
        <v>9.8100000000000007E-2</v>
      </c>
      <c r="O15" s="292">
        <f>VLOOKUP(P15,'Lookup Tables for Level Billing'!$A$4:$B$121,2)</f>
        <v>38292</v>
      </c>
      <c r="P15" s="293">
        <f>INDEX('Lookup Tables for Level Billing'!$D$4:$D$121,MATCH('MSC - Energy SC1'!M15,'Lookup Tables for Level Billing'!$D$4:$D$121,-1))</f>
        <v>9.8360000000000003E-2</v>
      </c>
      <c r="Q15" s="247">
        <f t="shared" si="2"/>
        <v>2.5999999999999635E-4</v>
      </c>
      <c r="R15" s="294"/>
    </row>
    <row r="16" spans="1:21" ht="10.5" x14ac:dyDescent="0.25">
      <c r="A16" s="489">
        <f t="shared" si="6"/>
        <v>44105</v>
      </c>
      <c r="B16" s="288">
        <f>ROUND(VLOOKUP($A16,'[70]NYC Forecast ENERGY 04 06 20'!$A$8:$H$40,2,FALSE)/1000,5)</f>
        <v>2.4500000000000001E-2</v>
      </c>
      <c r="C16" s="288">
        <f>ROUND(VLOOKUP($A16,'[70]NYC Forecast ENERGY 04 06 20'!$A$8:$H$40,3,FALSE)/1000,5)</f>
        <v>1.7749999999999998E-2</v>
      </c>
      <c r="D16" s="288">
        <f>ROUND(VLOOKUP($A16,[69]Data!$A$40:$E$87,2,FALSE)/1000,5)</f>
        <v>4.0000000000000002E-4</v>
      </c>
      <c r="E16" s="288">
        <f>ROUND(VLOOKUP($A16,[69]Data!$A$40:$E$87,3,FALSE)/1000,5)</f>
        <v>2.7499999999999998E-3</v>
      </c>
      <c r="F16" s="288">
        <f>ROUND(VLOOKUP($A16,[69]Data!$A$40:$E$87,4,FALSE)/1000,5)</f>
        <v>6.8999999999999997E-4</v>
      </c>
      <c r="G16" s="289">
        <f t="shared" si="3"/>
        <v>3.0130000000000001E-2</v>
      </c>
      <c r="H16" s="281">
        <f t="shared" si="4"/>
        <v>2.2950000000000002E-2</v>
      </c>
      <c r="I16" s="290">
        <f>IF(AND(MONTH($A16)&gt;=6, MONTH($A16)&lt;=9),'[62]2017 DATA'!$B$7,'[62]2017 DATA'!$F$7)</f>
        <v>0.43091420638451883</v>
      </c>
      <c r="J16" s="290">
        <f>IF(AND(MONTH($A16)&gt;=6, MONTH($A16)&lt;=9),'[62]2017 DATA'!$C$7,'[62]2017 DATA'!$G$7)</f>
        <v>0.56908579361548117</v>
      </c>
      <c r="K16" s="285">
        <f t="shared" si="0"/>
        <v>2.6040000000000001E-2</v>
      </c>
      <c r="L16" s="291">
        <f t="shared" si="5"/>
        <v>7.2300000000000003E-2</v>
      </c>
      <c r="M16" s="285">
        <f t="shared" si="1"/>
        <v>9.8340000000000011E-2</v>
      </c>
      <c r="O16" s="292">
        <f>VLOOKUP(P16,'Lookup Tables for Level Billing'!$A$4:$B$121,2)</f>
        <v>38292</v>
      </c>
      <c r="P16" s="293">
        <f>INDEX('Lookup Tables for Level Billing'!$D$4:$D$121,MATCH('MSC - Energy SC1'!M16,'Lookup Tables for Level Billing'!$D$4:$D$121,-1))</f>
        <v>9.8360000000000003E-2</v>
      </c>
      <c r="Q16" s="247">
        <f t="shared" si="2"/>
        <v>1.9999999999992246E-5</v>
      </c>
      <c r="R16" s="294"/>
    </row>
    <row r="17" spans="1:20" ht="10.5" x14ac:dyDescent="0.25">
      <c r="A17" s="489">
        <f t="shared" si="6"/>
        <v>44136</v>
      </c>
      <c r="B17" s="288">
        <f>ROUND(VLOOKUP($A17,'[70]NYC Forecast ENERGY 04 06 20'!$A$8:$H$40,2,FALSE)/1000,5)</f>
        <v>2.8750000000000001E-2</v>
      </c>
      <c r="C17" s="288">
        <f>ROUND(VLOOKUP($A17,'[70]NYC Forecast ENERGY 04 06 20'!$A$8:$H$40,3,FALSE)/1000,5)</f>
        <v>2.1600000000000001E-2</v>
      </c>
      <c r="D17" s="288">
        <f>ROUND(VLOOKUP($A17,[69]Data!$A$40:$E$87,2,FALSE)/1000,5)</f>
        <v>4.0000000000000002E-4</v>
      </c>
      <c r="E17" s="288">
        <f>ROUND(VLOOKUP($A17,[69]Data!$A$40:$E$87,3,FALSE)/1000,5)</f>
        <v>3.0100000000000001E-3</v>
      </c>
      <c r="F17" s="288">
        <f>ROUND(VLOOKUP($A17,[69]Data!$A$40:$E$87,4,FALSE)/1000,5)</f>
        <v>1.09E-3</v>
      </c>
      <c r="G17" s="289">
        <f t="shared" si="3"/>
        <v>3.5340000000000003E-2</v>
      </c>
      <c r="H17" s="281">
        <f t="shared" si="4"/>
        <v>2.7740000000000001E-2</v>
      </c>
      <c r="I17" s="290">
        <f>IF(AND(MONTH($A17)&gt;=6, MONTH($A17)&lt;=9),'[62]2017 DATA'!$B$7,'[62]2017 DATA'!$F$7)</f>
        <v>0.43091420638451883</v>
      </c>
      <c r="J17" s="290">
        <f>IF(AND(MONTH($A17)&gt;=6, MONTH($A17)&lt;=9),'[62]2017 DATA'!$C$7,'[62]2017 DATA'!$G$7)</f>
        <v>0.56908579361548117</v>
      </c>
      <c r="K17" s="285">
        <f t="shared" si="0"/>
        <v>3.1009999999999999E-2</v>
      </c>
      <c r="L17" s="291">
        <f>+$H$65</f>
        <v>4.231E-2</v>
      </c>
      <c r="M17" s="285">
        <f>K17+L17</f>
        <v>7.3319999999999996E-2</v>
      </c>
      <c r="O17" s="292">
        <f>VLOOKUP(P17,'Lookup Tables for Level Billing'!$A$4:$B$121,2)</f>
        <v>36951</v>
      </c>
      <c r="P17" s="293">
        <f>INDEX('Lookup Tables for Level Billing'!$D$4:$D$121,MATCH('MSC - Energy SC1'!M17,'Lookup Tables for Level Billing'!$D$4:$D$121,-1))</f>
        <v>7.3800000000000004E-2</v>
      </c>
      <c r="Q17" s="247">
        <f t="shared" si="2"/>
        <v>4.800000000000082E-4</v>
      </c>
      <c r="S17" s="296"/>
      <c r="T17" s="297"/>
    </row>
    <row r="18" spans="1:20" ht="10.5" x14ac:dyDescent="0.25">
      <c r="A18" s="489">
        <f t="shared" si="6"/>
        <v>44166</v>
      </c>
      <c r="B18" s="288">
        <f>ROUND(VLOOKUP($A18,'[70]NYC Forecast ENERGY 04 06 20'!$A$8:$H$40,2,FALSE)/1000,5)</f>
        <v>3.9E-2</v>
      </c>
      <c r="C18" s="288">
        <f>ROUND(VLOOKUP($A18,'[70]NYC Forecast ENERGY 04 06 20'!$A$8:$H$40,3,FALSE)/1000,5)</f>
        <v>2.9399999999999999E-2</v>
      </c>
      <c r="D18" s="288">
        <f>ROUND(VLOOKUP($A18,[69]Data!$A$40:$E$87,2,FALSE)/1000,5)</f>
        <v>3.8000000000000002E-4</v>
      </c>
      <c r="E18" s="288">
        <f>ROUND(VLOOKUP($A18,[69]Data!$A$40:$E$87,3,FALSE)/1000,5)</f>
        <v>2.8900000000000002E-3</v>
      </c>
      <c r="F18" s="288">
        <f>ROUND(VLOOKUP($A18,[69]Data!$A$40:$E$87,4,FALSE)/1000,5)</f>
        <v>1.1800000000000001E-3</v>
      </c>
      <c r="G18" s="289">
        <f t="shared" si="3"/>
        <v>4.6190000000000002E-2</v>
      </c>
      <c r="H18" s="281">
        <f t="shared" si="4"/>
        <v>3.5979999999999998E-2</v>
      </c>
      <c r="I18" s="290">
        <f>IF(AND(MONTH($A18)&gt;=6, MONTH($A18)&lt;=9),'[62]2017 DATA'!$B$7,'[62]2017 DATA'!$F$7)</f>
        <v>0.43091420638451883</v>
      </c>
      <c r="J18" s="290">
        <f>IF(AND(MONTH($A18)&gt;=6, MONTH($A18)&lt;=9),'[62]2017 DATA'!$C$7,'[62]2017 DATA'!$G$7)</f>
        <v>0.56908579361548117</v>
      </c>
      <c r="K18" s="285">
        <f t="shared" si="0"/>
        <v>4.0379999999999999E-2</v>
      </c>
      <c r="L18" s="291">
        <f t="shared" ref="L18:L22" si="7">+$H$65</f>
        <v>4.231E-2</v>
      </c>
      <c r="M18" s="285">
        <f t="shared" si="1"/>
        <v>8.269E-2</v>
      </c>
      <c r="O18" s="292">
        <f>VLOOKUP(P18,'Lookup Tables for Level Billing'!$A$4:$B$121,2)</f>
        <v>40155</v>
      </c>
      <c r="P18" s="293">
        <f>INDEX('Lookup Tables for Level Billing'!$D$4:$D$121,MATCH('MSC - Energy SC1'!M18,'Lookup Tables for Level Billing'!$D$4:$D$121,-1))</f>
        <v>8.5359999999999991E-2</v>
      </c>
      <c r="Q18" s="247">
        <f t="shared" si="2"/>
        <v>2.6699999999999918E-3</v>
      </c>
      <c r="R18" s="294"/>
    </row>
    <row r="19" spans="1:20" ht="10.5" x14ac:dyDescent="0.25">
      <c r="A19" s="489">
        <f t="shared" si="6"/>
        <v>44197</v>
      </c>
      <c r="B19" s="288">
        <f>ROUND(VLOOKUP($A19,'[70]NYC Forecast ENERGY 04 06 20'!$A$8:$H$40,2,FALSE)/1000,5)</f>
        <v>5.6079999999999998E-2</v>
      </c>
      <c r="C19" s="288">
        <f>ROUND(VLOOKUP($A19,'[70]NYC Forecast ENERGY 04 06 20'!$A$8:$H$40,3,FALSE)/1000,5)</f>
        <v>4.3650000000000001E-2</v>
      </c>
      <c r="D19" s="288">
        <f>ROUND(VLOOKUP($A19,[69]Data!$A$40:$E$87,2,FALSE)/1000,5)</f>
        <v>4.0999999999999999E-4</v>
      </c>
      <c r="E19" s="288">
        <f>ROUND(VLOOKUP($A19,[69]Data!$A$40:$E$87,3,FALSE)/1000,5)</f>
        <v>2.9299999999999999E-3</v>
      </c>
      <c r="F19" s="288">
        <f>ROUND(VLOOKUP($A19,[69]Data!$A$40:$E$87,4,FALSE)/1000,5)</f>
        <v>1.1199999999999999E-3</v>
      </c>
      <c r="G19" s="289">
        <f t="shared" si="3"/>
        <v>6.4350000000000004E-2</v>
      </c>
      <c r="H19" s="281">
        <f t="shared" si="4"/>
        <v>5.1139999999999998E-2</v>
      </c>
      <c r="I19" s="290">
        <f>IF(AND(MONTH($A19)&gt;=6, MONTH($A19)&lt;=9),'[62]2017 DATA'!$B$7,'[62]2017 DATA'!$F$7)</f>
        <v>0.43091420638451883</v>
      </c>
      <c r="J19" s="290">
        <f>IF(AND(MONTH($A19)&gt;=6, MONTH($A19)&lt;=9),'[62]2017 DATA'!$C$7,'[62]2017 DATA'!$G$7)</f>
        <v>0.56908579361548117</v>
      </c>
      <c r="K19" s="285">
        <f t="shared" si="0"/>
        <v>5.6829999999999999E-2</v>
      </c>
      <c r="L19" s="291">
        <f t="shared" si="7"/>
        <v>4.231E-2</v>
      </c>
      <c r="M19" s="285">
        <f t="shared" si="1"/>
        <v>9.9140000000000006E-2</v>
      </c>
      <c r="O19" s="292">
        <f>VLOOKUP(P19,'Lookup Tables for Level Billing'!$A$4:$B$121,2)</f>
        <v>37043</v>
      </c>
      <c r="P19" s="293">
        <f>INDEX('Lookup Tables for Level Billing'!$D$4:$D$121,MATCH('MSC - Energy SC1'!M19,'Lookup Tables for Level Billing'!$D$4:$D$121,-1))</f>
        <v>9.962E-2</v>
      </c>
      <c r="Q19" s="247">
        <f t="shared" si="2"/>
        <v>4.7999999999999432E-4</v>
      </c>
      <c r="R19" s="294"/>
    </row>
    <row r="20" spans="1:20" ht="10.5" x14ac:dyDescent="0.25">
      <c r="A20" s="489">
        <f t="shared" si="6"/>
        <v>44228</v>
      </c>
      <c r="B20" s="288">
        <f>ROUND(VLOOKUP($A20,'[70]NYC Forecast ENERGY 04 06 20'!$A$8:$H$40,2,FALSE)/1000,5)</f>
        <v>5.3749999999999999E-2</v>
      </c>
      <c r="C20" s="288">
        <f>ROUND(VLOOKUP($A20,'[70]NYC Forecast ENERGY 04 06 20'!$A$8:$H$40,3,FALSE)/1000,5)</f>
        <v>4.1300000000000003E-2</v>
      </c>
      <c r="D20" s="288">
        <f>ROUND(VLOOKUP($A20,[69]Data!$A$40:$E$87,2,FALSE)/1000,5)</f>
        <v>3.8000000000000002E-4</v>
      </c>
      <c r="E20" s="288">
        <f>ROUND(VLOOKUP($A20,[69]Data!$A$40:$E$87,3,FALSE)/1000,5)</f>
        <v>3.0000000000000001E-3</v>
      </c>
      <c r="F20" s="288">
        <f>ROUND(VLOOKUP($A20,[69]Data!$A$40:$E$87,4,FALSE)/1000,5)</f>
        <v>1.1000000000000001E-3</v>
      </c>
      <c r="G20" s="289">
        <f t="shared" si="3"/>
        <v>6.1899999999999997E-2</v>
      </c>
      <c r="H20" s="281">
        <f t="shared" si="4"/>
        <v>4.8660000000000002E-2</v>
      </c>
      <c r="I20" s="290">
        <f>IF(AND(MONTH($A20)&gt;=6, MONTH($A20)&lt;=9),'[62]2017 DATA'!$B$7,'[62]2017 DATA'!$F$7)</f>
        <v>0.43091420638451883</v>
      </c>
      <c r="J20" s="290">
        <f>IF(AND(MONTH($A20)&gt;=6, MONTH($A20)&lt;=9),'[62]2017 DATA'!$C$7,'[62]2017 DATA'!$G$7)</f>
        <v>0.56908579361548117</v>
      </c>
      <c r="K20" s="285">
        <f t="shared" si="0"/>
        <v>5.4370000000000002E-2</v>
      </c>
      <c r="L20" s="291">
        <f t="shared" si="7"/>
        <v>4.231E-2</v>
      </c>
      <c r="M20" s="285">
        <f t="shared" si="1"/>
        <v>9.6680000000000002E-2</v>
      </c>
      <c r="O20" s="292">
        <f>VLOOKUP(P20,'Lookup Tables for Level Billing'!$A$4:$B$121,2)</f>
        <v>38322</v>
      </c>
      <c r="P20" s="293">
        <f>INDEX('Lookup Tables for Level Billing'!$D$4:$D$121,MATCH('MSC - Energy SC1'!M20,'Lookup Tables for Level Billing'!$D$4:$D$121,-1))</f>
        <v>9.6759999999999999E-2</v>
      </c>
      <c r="Q20" s="247">
        <f t="shared" si="2"/>
        <v>7.999999999999674E-5</v>
      </c>
      <c r="R20" s="294"/>
    </row>
    <row r="21" spans="1:20" ht="10.5" x14ac:dyDescent="0.25">
      <c r="A21" s="489">
        <f t="shared" si="6"/>
        <v>44256</v>
      </c>
      <c r="B21" s="288">
        <f>ROUND(VLOOKUP($A21,'[70]NYC Forecast ENERGY 04 06 20'!$A$8:$H$40,2,FALSE)/1000,5)</f>
        <v>3.7519999999999998E-2</v>
      </c>
      <c r="C21" s="288">
        <f>ROUND(VLOOKUP($A21,'[70]NYC Forecast ENERGY 04 06 20'!$A$8:$H$40,3,FALSE)/1000,5)</f>
        <v>2.9020000000000001E-2</v>
      </c>
      <c r="D21" s="288">
        <f>ROUND(VLOOKUP($A21,[69]Data!$A$40:$E$87,2,FALSE)/1000,5)</f>
        <v>3.5E-4</v>
      </c>
      <c r="E21" s="288">
        <f>ROUND(VLOOKUP($A21,[69]Data!$A$40:$E$87,3,FALSE)/1000,5)</f>
        <v>2.7799999999999999E-3</v>
      </c>
      <c r="F21" s="288">
        <f>ROUND(VLOOKUP($A21,[69]Data!$A$40:$E$87,4,FALSE)/1000,5)</f>
        <v>1.1800000000000001E-3</v>
      </c>
      <c r="G21" s="289">
        <f t="shared" si="3"/>
        <v>4.4470000000000003E-2</v>
      </c>
      <c r="H21" s="281">
        <f t="shared" si="4"/>
        <v>3.5430000000000003E-2</v>
      </c>
      <c r="I21" s="290">
        <f>IF(AND(MONTH($A21)&gt;=6, MONTH($A21)&lt;=9),'[62]2017 DATA'!$B$7,'[62]2017 DATA'!$F$7)</f>
        <v>0.43091420638451883</v>
      </c>
      <c r="J21" s="290">
        <f>IF(AND(MONTH($A21)&gt;=6, MONTH($A21)&lt;=9),'[62]2017 DATA'!$C$7,'[62]2017 DATA'!$G$7)</f>
        <v>0.56908579361548117</v>
      </c>
      <c r="K21" s="285">
        <f t="shared" si="0"/>
        <v>3.9329999999999997E-2</v>
      </c>
      <c r="L21" s="291">
        <f t="shared" si="7"/>
        <v>4.231E-2</v>
      </c>
      <c r="M21" s="285">
        <f t="shared" si="1"/>
        <v>8.163999999999999E-2</v>
      </c>
      <c r="O21" s="292">
        <f>VLOOKUP(P21,'Lookup Tables for Level Billing'!$A$4:$B$121,2)</f>
        <v>40033</v>
      </c>
      <c r="P21" s="293">
        <f>INDEX('Lookup Tables for Level Billing'!$D$4:$D$121,MATCH('MSC - Energy SC1'!M21,'Lookup Tables for Level Billing'!$D$4:$D$121,-1))</f>
        <v>8.163999999999999E-2</v>
      </c>
      <c r="Q21" s="247">
        <f t="shared" si="2"/>
        <v>0</v>
      </c>
      <c r="R21" s="294"/>
      <c r="S21" s="286"/>
      <c r="T21" s="286"/>
    </row>
    <row r="22" spans="1:20" ht="10.5" x14ac:dyDescent="0.25">
      <c r="A22" s="489">
        <f t="shared" si="6"/>
        <v>44287</v>
      </c>
      <c r="B22" s="288">
        <f>ROUND(VLOOKUP($A22,'[70]NYC Forecast ENERGY 04 06 20'!$A$8:$H$40,2,FALSE)/1000,5)</f>
        <v>2.92E-2</v>
      </c>
      <c r="C22" s="288">
        <f>ROUND(VLOOKUP($A22,'[70]NYC Forecast ENERGY 04 06 20'!$A$8:$H$40,3,FALSE)/1000,5)</f>
        <v>2.07E-2</v>
      </c>
      <c r="D22" s="288">
        <f>ROUND(VLOOKUP($A22,[69]Data!$A$40:$E$87,2,FALSE)/1000,5)</f>
        <v>3.3E-4</v>
      </c>
      <c r="E22" s="288">
        <f>ROUND(VLOOKUP($A22,[69]Data!$A$40:$E$87,3,FALSE)/1000,5)</f>
        <v>2.7200000000000002E-3</v>
      </c>
      <c r="F22" s="288">
        <f>ROUND(VLOOKUP($A22,[69]Data!$A$40:$E$87,4,FALSE)/1000,5)</f>
        <v>1.2999999999999999E-3</v>
      </c>
      <c r="G22" s="289">
        <f t="shared" si="3"/>
        <v>3.5659999999999997E-2</v>
      </c>
      <c r="H22" s="281">
        <f t="shared" si="4"/>
        <v>2.6630000000000001E-2</v>
      </c>
      <c r="I22" s="290">
        <f>IF(AND(MONTH($A22)&gt;=6, MONTH($A22)&lt;=9),'[62]2017 DATA'!$B$7,'[62]2017 DATA'!$F$7)</f>
        <v>0.43091420638451883</v>
      </c>
      <c r="J22" s="290">
        <f>IF(AND(MONTH($A22)&gt;=6, MONTH($A22)&lt;=9),'[62]2017 DATA'!$C$7,'[62]2017 DATA'!$G$7)</f>
        <v>0.56908579361548117</v>
      </c>
      <c r="K22" s="285">
        <f t="shared" si="0"/>
        <v>3.0519999999999999E-2</v>
      </c>
      <c r="L22" s="291">
        <f t="shared" si="7"/>
        <v>4.231E-2</v>
      </c>
      <c r="M22" s="285">
        <f t="shared" si="1"/>
        <v>7.2830000000000006E-2</v>
      </c>
      <c r="O22" s="292">
        <f>VLOOKUP(P22,'Lookup Tables for Level Billing'!$A$4:$B$121,2)</f>
        <v>37316</v>
      </c>
      <c r="P22" s="293">
        <f>INDEX('Lookup Tables for Level Billing'!$D$4:$D$121,MATCH('MSC - Energy SC1'!M22,'Lookup Tables for Level Billing'!$D$4:$D$121,-1))</f>
        <v>7.3120000000000004E-2</v>
      </c>
      <c r="Q22" s="298">
        <f t="shared" si="2"/>
        <v>2.8999999999999859E-4</v>
      </c>
      <c r="R22" s="294"/>
      <c r="T22" s="299"/>
    </row>
    <row r="23" spans="1:20" ht="10.5" x14ac:dyDescent="0.25">
      <c r="A23" s="489">
        <f t="shared" si="6"/>
        <v>44317</v>
      </c>
      <c r="B23" s="288">
        <f>ROUND(VLOOKUP($A23,'[70]NYC Forecast ENERGY 04 06 20'!$A$8:$H$40,2,FALSE)/1000,5)</f>
        <v>2.6950000000000002E-2</v>
      </c>
      <c r="C23" s="288">
        <f>ROUND(VLOOKUP($A23,'[70]NYC Forecast ENERGY 04 06 20'!$A$8:$H$40,3,FALSE)/1000,5)</f>
        <v>2.0199999999999999E-2</v>
      </c>
      <c r="D23" s="288">
        <f>ROUND(VLOOKUP($A23,[69]Data!$A$40:$E$87,2,FALSE)/1000,5)</f>
        <v>3.8000000000000002E-4</v>
      </c>
      <c r="E23" s="288">
        <f>ROUND(VLOOKUP($A23,[69]Data!$A$40:$E$87,3,FALSE)/1000,5)</f>
        <v>2.8500000000000001E-3</v>
      </c>
      <c r="F23" s="288">
        <f>ROUND(VLOOKUP($A23,[69]Data!$A$40:$E$87,4,FALSE)/1000,5)</f>
        <v>1.1800000000000001E-3</v>
      </c>
      <c r="G23" s="289">
        <f t="shared" si="3"/>
        <v>3.3340000000000002E-2</v>
      </c>
      <c r="H23" s="281">
        <f t="shared" si="4"/>
        <v>2.6159999999999999E-2</v>
      </c>
      <c r="I23" s="290">
        <f>IF(AND(MONTH($A23)&gt;=6, MONTH($A23)&lt;=9),'[62]2017 DATA'!$B$7,'[62]2017 DATA'!$F$7)</f>
        <v>0.43091420638451883</v>
      </c>
      <c r="J23" s="290">
        <f>IF(AND(MONTH($A23)&gt;=6, MONTH($A23)&lt;=9),'[62]2017 DATA'!$C$7,'[62]2017 DATA'!$G$7)</f>
        <v>0.56908579361548117</v>
      </c>
      <c r="K23" s="285">
        <f t="shared" si="0"/>
        <v>2.9250000000000002E-2</v>
      </c>
      <c r="L23" s="291">
        <f>+$H$66</f>
        <v>2.793E-2</v>
      </c>
      <c r="M23" s="285">
        <f t="shared" si="1"/>
        <v>5.7180000000000002E-2</v>
      </c>
      <c r="O23" s="292">
        <f>VLOOKUP(P23,'Lookup Tables for Level Billing'!$A$4:$B$121,2)</f>
        <v>36800</v>
      </c>
      <c r="P23" s="293">
        <f>INDEX('Lookup Tables for Level Billing'!$D$4:$D$121,MATCH('MSC - Energy SC1'!M23,'Lookup Tables for Level Billing'!$D$4:$D$121,-1))</f>
        <v>5.7680000000000002E-2</v>
      </c>
      <c r="Q23" s="247">
        <f t="shared" si="2"/>
        <v>5.0000000000000044E-4</v>
      </c>
      <c r="R23" s="294"/>
    </row>
    <row r="24" spans="1:20" ht="10.5" x14ac:dyDescent="0.25">
      <c r="A24" s="489">
        <f t="shared" si="6"/>
        <v>44348</v>
      </c>
      <c r="B24" s="288">
        <f>ROUND(VLOOKUP($A24,'[70]NYC Forecast ENERGY 04 06 20'!$A$8:$H$40,2,FALSE)/1000,5)</f>
        <v>2.725E-2</v>
      </c>
      <c r="C24" s="288">
        <f>ROUND(VLOOKUP($A24,'[70]NYC Forecast ENERGY 04 06 20'!$A$8:$H$40,3,FALSE)/1000,5)</f>
        <v>1.975E-2</v>
      </c>
      <c r="D24" s="288">
        <f>ROUND(VLOOKUP($A24,[69]Data!$A$40:$E$87,2,FALSE)/1000,5)</f>
        <v>3.8999999999999999E-4</v>
      </c>
      <c r="E24" s="288">
        <f>ROUND(VLOOKUP($A24,[69]Data!$A$40:$E$87,3,FALSE)/1000,5)</f>
        <v>3.0100000000000001E-3</v>
      </c>
      <c r="F24" s="288">
        <f>ROUND(VLOOKUP($A24,[69]Data!$A$40:$E$87,4,FALSE)/1000,5)</f>
        <v>1.2700000000000001E-3</v>
      </c>
      <c r="G24" s="289">
        <f t="shared" si="3"/>
        <v>3.3930000000000002E-2</v>
      </c>
      <c r="H24" s="281">
        <f t="shared" si="4"/>
        <v>2.596E-2</v>
      </c>
      <c r="I24" s="290">
        <f>IF(AND(MONTH($A24)&gt;=6, MONTH($A24)&lt;=9),'[62]2017 DATA'!$B$7,'[62]2017 DATA'!$F$7)</f>
        <v>0.42819487926885397</v>
      </c>
      <c r="J24" s="290">
        <f>IF(AND(MONTH($A24)&gt;=6, MONTH($A24)&lt;=9),'[62]2017 DATA'!$C$7,'[62]2017 DATA'!$G$7)</f>
        <v>0.57180512073114587</v>
      </c>
      <c r="K24" s="285">
        <f t="shared" si="0"/>
        <v>2.937E-2</v>
      </c>
      <c r="L24" s="291">
        <f t="shared" ref="L24:L28" si="8">+$H$66</f>
        <v>2.793E-2</v>
      </c>
      <c r="M24" s="285">
        <f t="shared" si="1"/>
        <v>5.7300000000000004E-2</v>
      </c>
      <c r="O24" s="292">
        <f>VLOOKUP(P24,'Lookup Tables for Level Billing'!$A$4:$B$121,2)</f>
        <v>36800</v>
      </c>
      <c r="P24" s="293">
        <f>INDEX('Lookup Tables for Level Billing'!$D$4:$D$121,MATCH('MSC - Energy SC1'!M24,'Lookup Tables for Level Billing'!$D$4:$D$121,-1))</f>
        <v>5.7680000000000002E-2</v>
      </c>
      <c r="Q24" s="247">
        <f>P24-M24</f>
        <v>3.7999999999999839E-4</v>
      </c>
      <c r="R24" s="244"/>
      <c r="S24" s="300"/>
      <c r="T24" s="231"/>
    </row>
    <row r="25" spans="1:20" ht="10.5" x14ac:dyDescent="0.25">
      <c r="A25" s="489">
        <f t="shared" si="6"/>
        <v>44378</v>
      </c>
      <c r="B25" s="288">
        <f>ROUND(VLOOKUP($A25,'[70]NYC Forecast ENERGY 04 06 20'!$A$8:$H$40,2,FALSE)/1000,5)</f>
        <v>3.7010000000000001E-2</v>
      </c>
      <c r="C25" s="288">
        <f>ROUND(VLOOKUP($A25,'[70]NYC Forecast ENERGY 04 06 20'!$A$8:$H$40,3,FALSE)/1000,5)</f>
        <v>2.3949999999999999E-2</v>
      </c>
      <c r="D25" s="288">
        <f>ROUND(VLOOKUP($A25,[69]Data!$A$40:$E$87,2,FALSE)/1000,5)</f>
        <v>3.6000000000000002E-4</v>
      </c>
      <c r="E25" s="288">
        <f>ROUND(VLOOKUP($A25,[69]Data!$A$40:$E$87,3,FALSE)/1000,5)</f>
        <v>2.7899999999999999E-3</v>
      </c>
      <c r="F25" s="288">
        <f>ROUND(VLOOKUP($A25,[69]Data!$A$40:$E$87,4,FALSE)/1000,5)</f>
        <v>1.2800000000000001E-3</v>
      </c>
      <c r="G25" s="289">
        <f t="shared" si="3"/>
        <v>4.4049999999999999E-2</v>
      </c>
      <c r="H25" s="281">
        <f t="shared" si="4"/>
        <v>3.0169999999999999E-2</v>
      </c>
      <c r="I25" s="290">
        <f>IF(AND(MONTH($A25)&gt;=6, MONTH($A25)&lt;=9),'[62]2017 DATA'!$B$7,'[62]2017 DATA'!$F$7)</f>
        <v>0.42819487926885397</v>
      </c>
      <c r="J25" s="290">
        <f>IF(AND(MONTH($A25)&gt;=6, MONTH($A25)&lt;=9),'[62]2017 DATA'!$C$7,'[62]2017 DATA'!$G$7)</f>
        <v>0.57180512073114587</v>
      </c>
      <c r="K25" s="285">
        <f t="shared" si="0"/>
        <v>3.6110000000000003E-2</v>
      </c>
      <c r="L25" s="291">
        <f t="shared" si="8"/>
        <v>2.793E-2</v>
      </c>
      <c r="M25" s="285">
        <f t="shared" si="1"/>
        <v>6.404E-2</v>
      </c>
      <c r="O25" s="292">
        <f>VLOOKUP(P25,'Lookup Tables for Level Billing'!$A$4:$B$121,2)</f>
        <v>37226</v>
      </c>
      <c r="P25" s="293">
        <f>INDEX('Lookup Tables for Level Billing'!$D$4:$D$121,MATCH('MSC - Energy SC1'!M25,'Lookup Tables for Level Billing'!$D$4:$D$121,-1))</f>
        <v>6.5710000000000005E-2</v>
      </c>
      <c r="Q25" s="247">
        <f t="shared" si="2"/>
        <v>1.6700000000000048E-3</v>
      </c>
      <c r="R25" s="301"/>
      <c r="S25" s="299"/>
      <c r="T25" s="299"/>
    </row>
    <row r="26" spans="1:20" ht="10.5" x14ac:dyDescent="0.25">
      <c r="A26" s="489">
        <f t="shared" si="6"/>
        <v>44409</v>
      </c>
      <c r="B26" s="288">
        <f>ROUND(VLOOKUP($A26,'[70]NYC Forecast ENERGY 04 06 20'!$A$8:$H$40,2,FALSE)/1000,5)</f>
        <v>3.4299999999999997E-2</v>
      </c>
      <c r="C26" s="288">
        <f>ROUND(VLOOKUP($A26,'[70]NYC Forecast ENERGY 04 06 20'!$A$8:$H$40,3,FALSE)/1000,5)</f>
        <v>2.308E-2</v>
      </c>
      <c r="D26" s="288">
        <f>ROUND(VLOOKUP($A26,[69]Data!$A$40:$E$87,2,FALSE)/1000,5)</f>
        <v>3.5E-4</v>
      </c>
      <c r="E26" s="288">
        <f>ROUND(VLOOKUP($A26,[69]Data!$A$40:$E$87,3,FALSE)/1000,5)</f>
        <v>2.8400000000000001E-3</v>
      </c>
      <c r="F26" s="288">
        <f>ROUND(VLOOKUP($A26,[69]Data!$A$40:$E$87,4,FALSE)/1000,5)</f>
        <v>1.25E-3</v>
      </c>
      <c r="G26" s="289">
        <f t="shared" si="3"/>
        <v>4.1180000000000001E-2</v>
      </c>
      <c r="H26" s="281">
        <f t="shared" si="4"/>
        <v>2.9250000000000002E-2</v>
      </c>
      <c r="I26" s="290">
        <f>IF(AND(MONTH($A26)&gt;=6, MONTH($A26)&lt;=9),'[62]2017 DATA'!$B$7,'[62]2017 DATA'!$F$7)</f>
        <v>0.42819487926885397</v>
      </c>
      <c r="J26" s="290">
        <f>IF(AND(MONTH($A26)&gt;=6, MONTH($A26)&lt;=9),'[62]2017 DATA'!$C$7,'[62]2017 DATA'!$G$7)</f>
        <v>0.57180512073114587</v>
      </c>
      <c r="K26" s="285">
        <f t="shared" si="0"/>
        <v>3.4360000000000002E-2</v>
      </c>
      <c r="L26" s="291">
        <f t="shared" si="8"/>
        <v>2.793E-2</v>
      </c>
      <c r="M26" s="302">
        <f t="shared" si="1"/>
        <v>6.2289999999999998E-2</v>
      </c>
      <c r="O26" s="292">
        <f>VLOOKUP(P26,'Lookup Tables for Level Billing'!$A$4:$B$121,2)</f>
        <v>37226</v>
      </c>
      <c r="P26" s="293">
        <f>INDEX('Lookup Tables for Level Billing'!$D$4:$D$121,MATCH('MSC - Energy SC1'!M26,'Lookup Tables for Level Billing'!$D$4:$D$121,-1))</f>
        <v>6.5710000000000005E-2</v>
      </c>
      <c r="Q26" s="247">
        <f t="shared" si="2"/>
        <v>3.4200000000000064E-3</v>
      </c>
      <c r="R26" s="294"/>
      <c r="S26" s="299"/>
    </row>
    <row r="27" spans="1:20" ht="10.5" x14ac:dyDescent="0.25">
      <c r="A27" s="489">
        <f t="shared" si="6"/>
        <v>44440</v>
      </c>
      <c r="B27" s="288">
        <f>ROUND(VLOOKUP($A27,'[70]NYC Forecast ENERGY 04 06 20'!$A$8:$H$40,2,FALSE)/1000,5)</f>
        <v>2.7699999999999999E-2</v>
      </c>
      <c r="C27" s="288">
        <f>ROUND(VLOOKUP($A27,'[70]NYC Forecast ENERGY 04 06 20'!$A$8:$H$40,3,FALSE)/1000,5)</f>
        <v>1.9949999999999999E-2</v>
      </c>
      <c r="D27" s="288">
        <f>ROUND(VLOOKUP($A27,[69]Data!$A$40:$E$87,2,FALSE)/1000,5)</f>
        <v>3.6000000000000002E-4</v>
      </c>
      <c r="E27" s="288">
        <f>ROUND(VLOOKUP($A27,[69]Data!$A$40:$E$87,3,FALSE)/1000,5)</f>
        <v>2.7699999999999999E-3</v>
      </c>
      <c r="F27" s="288">
        <f>ROUND(VLOOKUP($A27,[69]Data!$A$40:$E$87,4,FALSE)/1000,5)</f>
        <v>1.0200000000000001E-3</v>
      </c>
      <c r="G27" s="289">
        <f t="shared" si="3"/>
        <v>3.3860000000000001E-2</v>
      </c>
      <c r="H27" s="281">
        <f t="shared" si="4"/>
        <v>2.562E-2</v>
      </c>
      <c r="I27" s="290">
        <f>IF(AND(MONTH($A27)&gt;=6, MONTH($A27)&lt;=9),'[62]2017 DATA'!$B$7,'[62]2017 DATA'!$F$7)</f>
        <v>0.42819487926885397</v>
      </c>
      <c r="J27" s="290">
        <f>IF(AND(MONTH($A27)&gt;=6, MONTH($A27)&lt;=9),'[62]2017 DATA'!$C$7,'[62]2017 DATA'!$G$7)</f>
        <v>0.57180512073114587</v>
      </c>
      <c r="K27" s="285">
        <f t="shared" si="0"/>
        <v>2.9149999999999999E-2</v>
      </c>
      <c r="L27" s="291">
        <f t="shared" si="8"/>
        <v>2.793E-2</v>
      </c>
      <c r="M27" s="302">
        <f t="shared" si="1"/>
        <v>5.7079999999999999E-2</v>
      </c>
      <c r="O27" s="292">
        <f>VLOOKUP(P27,'Lookup Tables for Level Billing'!$A$4:$B$121,2)</f>
        <v>36800</v>
      </c>
      <c r="P27" s="293">
        <f>INDEX('Lookup Tables for Level Billing'!$D$4:$D$121,MATCH('MSC - Energy SC1'!M27,'Lookup Tables for Level Billing'!$D$4:$D$121,-1))</f>
        <v>5.7680000000000002E-2</v>
      </c>
      <c r="Q27" s="247">
        <f t="shared" si="2"/>
        <v>6.0000000000000331E-4</v>
      </c>
      <c r="R27" s="294"/>
      <c r="S27" s="299"/>
    </row>
    <row r="28" spans="1:20" ht="10.5" x14ac:dyDescent="0.25">
      <c r="A28" s="489">
        <f t="shared" si="6"/>
        <v>44470</v>
      </c>
      <c r="B28" s="288">
        <f>ROUND(VLOOKUP($A28,'[70]NYC Forecast ENERGY 04 06 20'!$A$8:$H$40,2,FALSE)/1000,5)</f>
        <v>2.6950000000000002E-2</v>
      </c>
      <c r="C28" s="303">
        <f>ROUND(VLOOKUP($A28,'[70]NYC Forecast ENERGY 04 06 20'!$A$8:$H$40,3,FALSE)/1000,5)</f>
        <v>2.12E-2</v>
      </c>
      <c r="D28" s="303">
        <f>ROUND(VLOOKUP($A28,[69]Data!$A$40:$E$87,2,FALSE)/1000,5)</f>
        <v>4.0000000000000002E-4</v>
      </c>
      <c r="E28" s="303">
        <f>ROUND(VLOOKUP($A28,[69]Data!$A$40:$E$87,3,FALSE)/1000,5)</f>
        <v>2.7499999999999998E-3</v>
      </c>
      <c r="F28" s="303">
        <f>ROUND(VLOOKUP($A28,[69]Data!$A$40:$E$87,4,FALSE)/1000,5)</f>
        <v>8.7000000000000001E-4</v>
      </c>
      <c r="G28" s="304">
        <f t="shared" si="3"/>
        <v>3.2919999999999998E-2</v>
      </c>
      <c r="H28" s="305">
        <f t="shared" si="4"/>
        <v>2.681E-2</v>
      </c>
      <c r="I28" s="306">
        <f>IF(AND(MONTH($A28)&gt;=6, MONTH($A28)&lt;=9),'[62]2017 DATA'!$B$7,'[62]2017 DATA'!$F$7)</f>
        <v>0.43091420638451883</v>
      </c>
      <c r="J28" s="306">
        <f>IF(AND(MONTH($A28)&gt;=6, MONTH($A28)&lt;=9),'[62]2017 DATA'!$C$7,'[62]2017 DATA'!$G$7)</f>
        <v>0.56908579361548117</v>
      </c>
      <c r="K28" s="307">
        <f t="shared" si="0"/>
        <v>2.9440000000000001E-2</v>
      </c>
      <c r="L28" s="308">
        <f t="shared" si="8"/>
        <v>2.793E-2</v>
      </c>
      <c r="M28" s="309">
        <f t="shared" si="1"/>
        <v>5.7370000000000004E-2</v>
      </c>
      <c r="N28" s="231"/>
      <c r="O28" s="310">
        <f>VLOOKUP(P28,'Lookup Tables for Level Billing'!$A$4:$B$121,2)</f>
        <v>36800</v>
      </c>
      <c r="P28" s="311">
        <f>INDEX('Lookup Tables for Level Billing'!$D$4:$D$121,MATCH('MSC - Energy SC1'!M28,'Lookup Tables for Level Billing'!$D$4:$D$121,-1))</f>
        <v>5.7680000000000002E-2</v>
      </c>
      <c r="Q28" s="251">
        <f t="shared" si="2"/>
        <v>3.0999999999999778E-4</v>
      </c>
      <c r="R28" s="294"/>
      <c r="S28" s="299"/>
    </row>
    <row r="29" spans="1:20" ht="10.5" x14ac:dyDescent="0.25">
      <c r="A29" s="295"/>
      <c r="B29" s="312"/>
      <c r="C29" s="313"/>
      <c r="D29" s="313"/>
      <c r="E29" s="313"/>
      <c r="F29" s="313"/>
      <c r="G29" s="313"/>
      <c r="H29" s="314"/>
      <c r="L29" s="315"/>
      <c r="N29" s="231"/>
      <c r="O29" s="270"/>
      <c r="P29" s="286"/>
      <c r="Q29" s="286"/>
      <c r="R29" s="231"/>
      <c r="S29" s="299"/>
    </row>
    <row r="30" spans="1:20" ht="10.5" x14ac:dyDescent="0.25">
      <c r="A30" s="295" t="s">
        <v>260</v>
      </c>
      <c r="B30" s="313"/>
      <c r="C30" s="313"/>
      <c r="D30" s="313"/>
      <c r="E30" s="313"/>
      <c r="F30" s="313"/>
      <c r="G30" s="313"/>
      <c r="H30" s="314"/>
      <c r="I30" s="231"/>
      <c r="J30" s="231"/>
      <c r="K30" s="231"/>
      <c r="L30" s="316"/>
      <c r="M30" s="231"/>
      <c r="N30" s="231"/>
      <c r="O30" s="231"/>
      <c r="P30" s="286"/>
      <c r="Q30" s="286"/>
      <c r="R30" s="231"/>
      <c r="S30" s="299"/>
    </row>
    <row r="31" spans="1:20" ht="10.5" x14ac:dyDescent="0.25">
      <c r="A31" s="317"/>
      <c r="B31" s="318"/>
      <c r="C31" s="318"/>
      <c r="D31" s="318"/>
      <c r="E31" s="318"/>
      <c r="F31" s="318"/>
      <c r="G31" s="318"/>
      <c r="H31" s="319"/>
      <c r="I31" s="320"/>
      <c r="J31" s="320"/>
      <c r="K31" s="321"/>
      <c r="L31" s="322"/>
      <c r="M31" s="321"/>
      <c r="N31" s="231"/>
      <c r="O31" s="323"/>
      <c r="P31" s="293"/>
      <c r="Q31" s="286"/>
      <c r="R31" s="231"/>
      <c r="S31" s="299"/>
    </row>
    <row r="32" spans="1:20" ht="10.5" x14ac:dyDescent="0.25">
      <c r="A32" s="295">
        <f>A11</f>
        <v>43952</v>
      </c>
      <c r="B32" s="288">
        <f>ROUND(VLOOKUP($A32,'[70]NYC Forecast ENERGY 04 06 20'!$A$8:$H$40,6,FALSE)/1000,5)</f>
        <v>1.7250000000000001E-2</v>
      </c>
      <c r="C32" s="288">
        <f>ROUND(VLOOKUP($A32,'[70]NYC Forecast ENERGY 04 06 20'!$A$8:$H$40,7,FALSE)/1000,5)</f>
        <v>1.375E-2</v>
      </c>
      <c r="D32" s="288">
        <f>ROUND(VLOOKUP($A32,[69]Data!$A$40:$E$87,2,FALSE)/1000,5)</f>
        <v>3.6999999999999999E-4</v>
      </c>
      <c r="E32" s="288">
        <f>ROUND(VLOOKUP($A32,[69]Data!$A$40:$E$87,3,FALSE)/1000,5)</f>
        <v>3.0699999999999998E-3</v>
      </c>
      <c r="F32" s="288">
        <f>ROUND(VLOOKUP($A32,[69]Data!$A$40:$E$87,4,FALSE)/1000,5)</f>
        <v>1.1900000000000001E-3</v>
      </c>
      <c r="G32" s="289">
        <f>ROUND((B32+D32+E32+F32)*1.063,5)</f>
        <v>2.3259999999999999E-2</v>
      </c>
      <c r="H32" s="281">
        <f>ROUND((C32+D32+E32+F32)*1.063,5)</f>
        <v>1.9539999999999998E-2</v>
      </c>
      <c r="I32" s="284">
        <f>IF(AND(MONTH($A32)&gt;=6, MONTH($A32)&lt;=9),'[62]2017 DATA'!$B$7,'[62]2017 DATA'!$F$7)</f>
        <v>0.43091420638451883</v>
      </c>
      <c r="J32" s="284">
        <f>IF(AND(MONTH($A32)&gt;=6, MONTH($A32)&lt;=9),'[62]2017 DATA'!$C$7,'[62]2017 DATA'!$G$7)</f>
        <v>0.56908579361548117</v>
      </c>
      <c r="K32" s="285">
        <f t="shared" ref="K32:K49" si="9">ROUND((I32*G32)+(J32*H32),5)</f>
        <v>2.1139999999999999E-2</v>
      </c>
      <c r="L32" s="291">
        <f>+$I$64</f>
        <v>1.5509999999999999E-2</v>
      </c>
      <c r="M32" s="285">
        <f t="shared" ref="M32:M49" si="10">K32+L32</f>
        <v>3.6650000000000002E-2</v>
      </c>
      <c r="O32" s="324">
        <f>VLOOKUP(P32,'Lookup Tables for Level Billing'!$F$4:$G$121,2)</f>
        <v>37561</v>
      </c>
      <c r="P32" s="325">
        <f>INDEX('Lookup Tables for Level Billing'!$I$4:$I$121,MATCH('MSC - Energy SC1'!M32,'Lookup Tables for Level Billing'!$I$4:$I$121,-1))</f>
        <v>4.582E-2</v>
      </c>
      <c r="Q32" s="240">
        <f t="shared" ref="Q32:Q49" si="11">P32-M32</f>
        <v>9.1699999999999976E-3</v>
      </c>
      <c r="R32" s="244"/>
      <c r="S32" s="300"/>
    </row>
    <row r="33" spans="1:20" ht="12.75" customHeight="1" x14ac:dyDescent="0.25">
      <c r="A33" s="295">
        <f t="shared" ref="A33:A49" si="12">A12</f>
        <v>43983</v>
      </c>
      <c r="B33" s="288">
        <f>ROUND(VLOOKUP($A33,'[70]NYC Forecast ENERGY 04 06 20'!$A$8:$H$40,6,FALSE)/1000,5)</f>
        <v>1.95E-2</v>
      </c>
      <c r="C33" s="326">
        <f>ROUND(VLOOKUP($A33,'[70]NYC Forecast ENERGY 04 06 20'!$A$8:$H$40,7,FALSE)/1000,5)</f>
        <v>1.525E-2</v>
      </c>
      <c r="D33" s="288">
        <f>ROUND(VLOOKUP($A33,[69]Data!$A$40:$E$87,2,FALSE)/1000,5)</f>
        <v>3.6999999999999999E-4</v>
      </c>
      <c r="E33" s="288">
        <f>ROUND(VLOOKUP($A33,[69]Data!$A$40:$E$87,3,FALSE)/1000,5)</f>
        <v>3.3600000000000001E-3</v>
      </c>
      <c r="F33" s="288">
        <f>ROUND(VLOOKUP($A33,[69]Data!$A$40:$E$87,4,FALSE)/1000,5)</f>
        <v>1.2800000000000001E-3</v>
      </c>
      <c r="G33" s="289">
        <f t="shared" ref="G33:G49" si="13">ROUND((B33+D33+E33+F33)*1.063,5)</f>
        <v>2.605E-2</v>
      </c>
      <c r="H33" s="281">
        <f t="shared" ref="H33:H49" si="14">ROUND((C33+D33+E33+F33)*1.063,5)</f>
        <v>2.154E-2</v>
      </c>
      <c r="I33" s="284">
        <f>IF(AND(MONTH($A33)&gt;=6, MONTH($A33)&lt;=9),'[62]2017 DATA'!$B$7,'[62]2017 DATA'!$F$7)</f>
        <v>0.42819487926885397</v>
      </c>
      <c r="J33" s="284">
        <f>IF(AND(MONTH($A33)&gt;=6, MONTH($A33)&lt;=9),'[62]2017 DATA'!$C$7,'[62]2017 DATA'!$G$7)</f>
        <v>0.57180512073114587</v>
      </c>
      <c r="K33" s="285">
        <f t="shared" si="9"/>
        <v>2.3470000000000001E-2</v>
      </c>
      <c r="L33" s="291">
        <f>+$I$64</f>
        <v>1.5509999999999999E-2</v>
      </c>
      <c r="M33" s="285">
        <f t="shared" si="10"/>
        <v>3.8980000000000001E-2</v>
      </c>
      <c r="O33" s="327">
        <f>VLOOKUP(P33,'Lookup Tables for Level Billing'!$F$4:$G$121,2)</f>
        <v>37561</v>
      </c>
      <c r="P33" s="293">
        <f>INDEX('Lookup Tables for Level Billing'!$I$4:$I$121,MATCH('MSC - Energy SC1'!M33,'Lookup Tables for Level Billing'!$I$4:$I$121,-1))</f>
        <v>4.582E-2</v>
      </c>
      <c r="Q33" s="247">
        <f t="shared" si="11"/>
        <v>6.8399999999999989E-3</v>
      </c>
      <c r="R33" s="294"/>
      <c r="S33" s="299"/>
    </row>
    <row r="34" spans="1:20" ht="12.75" customHeight="1" x14ac:dyDescent="0.25">
      <c r="A34" s="295">
        <f t="shared" si="12"/>
        <v>44013</v>
      </c>
      <c r="B34" s="288">
        <f>ROUND(VLOOKUP($A34,'[70]NYC Forecast ENERGY 04 06 20'!$A$8:$H$40,6,FALSE)/1000,5)</f>
        <v>2.7E-2</v>
      </c>
      <c r="C34" s="326">
        <f>ROUND(VLOOKUP($A34,'[70]NYC Forecast ENERGY 04 06 20'!$A$8:$H$40,7,FALSE)/1000,5)</f>
        <v>1.925E-2</v>
      </c>
      <c r="D34" s="288">
        <f>ROUND(VLOOKUP($A34,[69]Data!$A$40:$E$87,2,FALSE)/1000,5)</f>
        <v>3.4000000000000002E-4</v>
      </c>
      <c r="E34" s="288">
        <f>ROUND(VLOOKUP($A34,[69]Data!$A$40:$E$87,3,FALSE)/1000,5)</f>
        <v>2.8600000000000001E-3</v>
      </c>
      <c r="F34" s="288">
        <f>ROUND(VLOOKUP($A34,[69]Data!$A$40:$E$87,4,FALSE)/1000,5)</f>
        <v>1.2600000000000001E-3</v>
      </c>
      <c r="G34" s="289">
        <f t="shared" si="13"/>
        <v>3.3439999999999998E-2</v>
      </c>
      <c r="H34" s="281">
        <f t="shared" si="14"/>
        <v>2.52E-2</v>
      </c>
      <c r="I34" s="284">
        <f>IF(AND(MONTH($A34)&gt;=6, MONTH($A34)&lt;=9),'[62]2017 DATA'!$B$7,'[62]2017 DATA'!$F$7)</f>
        <v>0.42819487926885397</v>
      </c>
      <c r="J34" s="284">
        <f>IF(AND(MONTH($A34)&gt;=6, MONTH($A34)&lt;=9),'[62]2017 DATA'!$C$7,'[62]2017 DATA'!$G$7)</f>
        <v>0.57180512073114587</v>
      </c>
      <c r="K34" s="285">
        <f t="shared" si="9"/>
        <v>2.8729999999999999E-2</v>
      </c>
      <c r="L34" s="291">
        <f t="shared" ref="L34:L37" si="15">+$I$64</f>
        <v>1.5509999999999999E-2</v>
      </c>
      <c r="M34" s="285">
        <f t="shared" si="10"/>
        <v>4.4240000000000002E-2</v>
      </c>
      <c r="O34" s="327">
        <f>VLOOKUP(P34,'Lookup Tables for Level Billing'!$F$4:$G$121,2)</f>
        <v>37561</v>
      </c>
      <c r="P34" s="293">
        <f>INDEX('Lookup Tables for Level Billing'!$I$4:$I$121,MATCH('MSC - Energy SC1'!M34,'Lookup Tables for Level Billing'!$I$4:$I$121,-1))</f>
        <v>4.582E-2</v>
      </c>
      <c r="Q34" s="247">
        <f t="shared" si="11"/>
        <v>1.5799999999999981E-3</v>
      </c>
      <c r="R34" s="327"/>
      <c r="S34" s="328"/>
      <c r="T34" s="294"/>
    </row>
    <row r="35" spans="1:20" ht="10.5" x14ac:dyDescent="0.25">
      <c r="A35" s="295">
        <f t="shared" si="12"/>
        <v>44044</v>
      </c>
      <c r="B35" s="288">
        <f>ROUND(VLOOKUP($A35,'[70]NYC Forecast ENERGY 04 06 20'!$A$8:$H$40,6,FALSE)/1000,5)</f>
        <v>2.5250000000000002E-2</v>
      </c>
      <c r="C35" s="326">
        <f>ROUND(VLOOKUP($A35,'[70]NYC Forecast ENERGY 04 06 20'!$A$8:$H$40,7,FALSE)/1000,5)</f>
        <v>1.8749999999999999E-2</v>
      </c>
      <c r="D35" s="288">
        <f>ROUND(VLOOKUP($A35,[69]Data!$A$40:$E$87,2,FALSE)/1000,5)</f>
        <v>3.3E-4</v>
      </c>
      <c r="E35" s="288">
        <f>ROUND(VLOOKUP($A35,[69]Data!$A$40:$E$87,3,FALSE)/1000,5)</f>
        <v>2.8E-3</v>
      </c>
      <c r="F35" s="288">
        <f>ROUND(VLOOKUP($A35,[69]Data!$A$40:$E$87,4,FALSE)/1000,5)</f>
        <v>1.16E-3</v>
      </c>
      <c r="G35" s="289">
        <f t="shared" si="13"/>
        <v>3.1399999999999997E-2</v>
      </c>
      <c r="H35" s="281">
        <f t="shared" si="14"/>
        <v>2.4490000000000001E-2</v>
      </c>
      <c r="I35" s="284">
        <f>IF(AND(MONTH($A35)&gt;=6, MONTH($A35)&lt;=9),'[62]2017 DATA'!$B$7,'[62]2017 DATA'!$F$7)</f>
        <v>0.42819487926885397</v>
      </c>
      <c r="J35" s="284">
        <f>IF(AND(MONTH($A35)&gt;=6, MONTH($A35)&lt;=9),'[62]2017 DATA'!$C$7,'[62]2017 DATA'!$G$7)</f>
        <v>0.57180512073114587</v>
      </c>
      <c r="K35" s="285">
        <f t="shared" si="9"/>
        <v>2.7449999999999999E-2</v>
      </c>
      <c r="L35" s="291">
        <f t="shared" si="15"/>
        <v>1.5509999999999999E-2</v>
      </c>
      <c r="M35" s="285">
        <f t="shared" si="10"/>
        <v>4.2959999999999998E-2</v>
      </c>
      <c r="O35" s="327">
        <f>VLOOKUP(P35,'Lookup Tables for Level Billing'!$F$4:$G$121,2)</f>
        <v>37561</v>
      </c>
      <c r="P35" s="293">
        <f>INDEX('Lookup Tables for Level Billing'!$I$4:$I$121,MATCH('MSC - Energy SC1'!M35,'Lookup Tables for Level Billing'!$I$4:$I$121,-1))</f>
        <v>4.582E-2</v>
      </c>
      <c r="Q35" s="247">
        <f t="shared" si="11"/>
        <v>2.8600000000000014E-3</v>
      </c>
      <c r="R35" s="294"/>
      <c r="S35" s="286"/>
      <c r="T35" s="300"/>
    </row>
    <row r="36" spans="1:20" ht="12.5" x14ac:dyDescent="0.25">
      <c r="A36" s="295">
        <f t="shared" si="12"/>
        <v>44075</v>
      </c>
      <c r="B36" s="288">
        <f>ROUND(VLOOKUP($A36,'[70]NYC Forecast ENERGY 04 06 20'!$A$8:$H$40,6,FALSE)/1000,5)</f>
        <v>2.2499999999999999E-2</v>
      </c>
      <c r="C36" s="326">
        <f>ROUND(VLOOKUP($A36,'[70]NYC Forecast ENERGY 04 06 20'!$A$8:$H$40,7,FALSE)/1000,5)</f>
        <v>1.6E-2</v>
      </c>
      <c r="D36" s="288">
        <f>ROUND(VLOOKUP($A36,[69]Data!$A$40:$E$87,2,FALSE)/1000,5)</f>
        <v>3.5E-4</v>
      </c>
      <c r="E36" s="288">
        <f>ROUND(VLOOKUP($A36,[69]Data!$A$40:$E$87,3,FALSE)/1000,5)</f>
        <v>2.8900000000000002E-3</v>
      </c>
      <c r="F36" s="288">
        <f>ROUND(VLOOKUP($A36,[69]Data!$A$40:$E$87,4,FALSE)/1000,5)</f>
        <v>8.4999999999999995E-4</v>
      </c>
      <c r="G36" s="289">
        <f t="shared" si="13"/>
        <v>2.827E-2</v>
      </c>
      <c r="H36" s="281">
        <f t="shared" si="14"/>
        <v>2.1360000000000001E-2</v>
      </c>
      <c r="I36" s="284">
        <f>IF(AND(MONTH($A36)&gt;=6, MONTH($A36)&lt;=9),'[62]2017 DATA'!$B$7,'[62]2017 DATA'!$F$7)</f>
        <v>0.42819487926885397</v>
      </c>
      <c r="J36" s="284">
        <f>IF(AND(MONTH($A36)&gt;=6, MONTH($A36)&lt;=9),'[62]2017 DATA'!$C$7,'[62]2017 DATA'!$G$7)</f>
        <v>0.57180512073114587</v>
      </c>
      <c r="K36" s="285">
        <f t="shared" si="9"/>
        <v>2.4320000000000001E-2</v>
      </c>
      <c r="L36" s="291">
        <f t="shared" si="15"/>
        <v>1.5509999999999999E-2</v>
      </c>
      <c r="M36" s="285">
        <f t="shared" si="10"/>
        <v>3.9830000000000004E-2</v>
      </c>
      <c r="O36" s="327">
        <f>VLOOKUP(P36,'Lookup Tables for Level Billing'!$F$4:$G$121,2)</f>
        <v>37561</v>
      </c>
      <c r="P36" s="293">
        <f>INDEX('Lookup Tables for Level Billing'!$I$4:$I$121,MATCH('MSC - Energy SC1'!M36,'Lookup Tables for Level Billing'!$I$4:$I$121,-1))</f>
        <v>4.582E-2</v>
      </c>
      <c r="Q36" s="247">
        <f t="shared" si="11"/>
        <v>5.9899999999999953E-3</v>
      </c>
      <c r="R36" s="294"/>
      <c r="S36" s="234"/>
      <c r="T36" s="231"/>
    </row>
    <row r="37" spans="1:20" ht="12.5" x14ac:dyDescent="0.25">
      <c r="A37" s="295">
        <f t="shared" si="12"/>
        <v>44105</v>
      </c>
      <c r="B37" s="288">
        <f>ROUND(VLOOKUP($A37,'[70]NYC Forecast ENERGY 04 06 20'!$A$8:$H$40,6,FALSE)/1000,5)</f>
        <v>2.1999999999999999E-2</v>
      </c>
      <c r="C37" s="326">
        <f>ROUND(VLOOKUP($A37,'[70]NYC Forecast ENERGY 04 06 20'!$A$8:$H$40,7,FALSE)/1000,5)</f>
        <v>1.6500000000000001E-2</v>
      </c>
      <c r="D37" s="288">
        <f>ROUND(VLOOKUP($A37,[69]Data!$A$40:$E$87,2,FALSE)/1000,5)</f>
        <v>4.0000000000000002E-4</v>
      </c>
      <c r="E37" s="288">
        <f>ROUND(VLOOKUP($A37,[69]Data!$A$40:$E$87,3,FALSE)/1000,5)</f>
        <v>2.7499999999999998E-3</v>
      </c>
      <c r="F37" s="288">
        <f>ROUND(VLOOKUP($A37,[69]Data!$A$40:$E$87,4,FALSE)/1000,5)</f>
        <v>6.8999999999999997E-4</v>
      </c>
      <c r="G37" s="289">
        <f t="shared" si="13"/>
        <v>2.7470000000000001E-2</v>
      </c>
      <c r="H37" s="281">
        <f t="shared" si="14"/>
        <v>2.162E-2</v>
      </c>
      <c r="I37" s="284">
        <f>IF(AND(MONTH($A37)&gt;=6, MONTH($A37)&lt;=9),'[62]2017 DATA'!$B$7,'[62]2017 DATA'!$F$7)</f>
        <v>0.43091420638451883</v>
      </c>
      <c r="J37" s="284">
        <f>IF(AND(MONTH($A37)&gt;=6, MONTH($A37)&lt;=9),'[62]2017 DATA'!$C$7,'[62]2017 DATA'!$G$7)</f>
        <v>0.56908579361548117</v>
      </c>
      <c r="K37" s="285">
        <f t="shared" si="9"/>
        <v>2.4140000000000002E-2</v>
      </c>
      <c r="L37" s="291">
        <f t="shared" si="15"/>
        <v>1.5509999999999999E-2</v>
      </c>
      <c r="M37" s="285">
        <f t="shared" si="10"/>
        <v>3.9650000000000005E-2</v>
      </c>
      <c r="O37" s="327">
        <f>VLOOKUP(P37,'Lookup Tables for Level Billing'!$F$4:$G$121,2)</f>
        <v>37561</v>
      </c>
      <c r="P37" s="293">
        <f>INDEX('Lookup Tables for Level Billing'!$I$4:$I$121,MATCH('MSC - Energy SC1'!M37,'Lookup Tables for Level Billing'!$I$4:$I$121,-1))</f>
        <v>4.582E-2</v>
      </c>
      <c r="Q37" s="247">
        <f t="shared" si="11"/>
        <v>6.1699999999999949E-3</v>
      </c>
      <c r="R37" s="234"/>
      <c r="S37" s="234"/>
      <c r="T37" s="297"/>
    </row>
    <row r="38" spans="1:20" ht="12.5" x14ac:dyDescent="0.25">
      <c r="A38" s="295">
        <f t="shared" si="12"/>
        <v>44136</v>
      </c>
      <c r="B38" s="288">
        <f>ROUND(VLOOKUP($A38,'[70]NYC Forecast ENERGY 04 06 20'!$A$8:$H$40,6,FALSE)/1000,5)</f>
        <v>2.6249999999999999E-2</v>
      </c>
      <c r="C38" s="326">
        <f>ROUND(VLOOKUP($A38,'[70]NYC Forecast ENERGY 04 06 20'!$A$8:$H$40,7,FALSE)/1000,5)</f>
        <v>2.0750000000000001E-2</v>
      </c>
      <c r="D38" s="288">
        <f>ROUND(VLOOKUP($A38,[69]Data!$A$40:$E$87,2,FALSE)/1000,5)</f>
        <v>4.0000000000000002E-4</v>
      </c>
      <c r="E38" s="288">
        <f>ROUND(VLOOKUP($A38,[69]Data!$A$40:$E$87,3,FALSE)/1000,5)</f>
        <v>3.0100000000000001E-3</v>
      </c>
      <c r="F38" s="288">
        <f>ROUND(VLOOKUP($A38,[69]Data!$A$40:$E$87,4,FALSE)/1000,5)</f>
        <v>1.09E-3</v>
      </c>
      <c r="G38" s="289">
        <f t="shared" si="13"/>
        <v>3.2689999999999997E-2</v>
      </c>
      <c r="H38" s="281">
        <f t="shared" si="14"/>
        <v>2.6839999999999999E-2</v>
      </c>
      <c r="I38" s="284">
        <f>IF(AND(MONTH($A38)&gt;=6, MONTH($A38)&lt;=9),'[62]2017 DATA'!$B$7,'[62]2017 DATA'!$F$7)</f>
        <v>0.43091420638451883</v>
      </c>
      <c r="J38" s="284">
        <f>IF(AND(MONTH($A38)&gt;=6, MONTH($A38)&lt;=9),'[62]2017 DATA'!$C$7,'[62]2017 DATA'!$G$7)</f>
        <v>0.56908579361548117</v>
      </c>
      <c r="K38" s="285">
        <f t="shared" si="9"/>
        <v>2.9360000000000001E-2</v>
      </c>
      <c r="L38" s="291">
        <f>+$I$65</f>
        <v>1.4499999999999999E-3</v>
      </c>
      <c r="M38" s="285">
        <f t="shared" si="10"/>
        <v>3.0810000000000001E-2</v>
      </c>
      <c r="O38" s="327">
        <f>VLOOKUP(P38,'Lookup Tables for Level Billing'!$F$4:$G$121,2)</f>
        <v>36800</v>
      </c>
      <c r="P38" s="293">
        <f>INDEX('Lookup Tables for Level Billing'!$I$4:$I$121,MATCH('MSC - Energy SC1'!M38,'Lookup Tables for Level Billing'!$I$4:$I$121,-1))</f>
        <v>3.4470000000000001E-2</v>
      </c>
      <c r="Q38" s="247">
        <f t="shared" si="11"/>
        <v>3.6600000000000001E-3</v>
      </c>
      <c r="R38" s="294"/>
      <c r="S38" s="234"/>
      <c r="T38" s="286"/>
    </row>
    <row r="39" spans="1:20" ht="10.5" x14ac:dyDescent="0.25">
      <c r="A39" s="295">
        <f t="shared" si="12"/>
        <v>44166</v>
      </c>
      <c r="B39" s="288">
        <f>ROUND(VLOOKUP($A39,'[70]NYC Forecast ENERGY 04 06 20'!$A$8:$H$40,6,FALSE)/1000,5)</f>
        <v>3.6499999999999998E-2</v>
      </c>
      <c r="C39" s="326">
        <f>ROUND(VLOOKUP($A39,'[70]NYC Forecast ENERGY 04 06 20'!$A$8:$H$40,7,FALSE)/1000,5)</f>
        <v>2.8500000000000001E-2</v>
      </c>
      <c r="D39" s="288">
        <f>ROUND(VLOOKUP($A39,[69]Data!$A$40:$E$87,2,FALSE)/1000,5)</f>
        <v>3.8000000000000002E-4</v>
      </c>
      <c r="E39" s="288">
        <f>ROUND(VLOOKUP($A39,[69]Data!$A$40:$E$87,3,FALSE)/1000,5)</f>
        <v>2.8900000000000002E-3</v>
      </c>
      <c r="F39" s="288">
        <f>ROUND(VLOOKUP($A39,[69]Data!$A$40:$E$87,4,FALSE)/1000,5)</f>
        <v>1.1800000000000001E-3</v>
      </c>
      <c r="G39" s="289">
        <f t="shared" si="13"/>
        <v>4.3529999999999999E-2</v>
      </c>
      <c r="H39" s="281">
        <f t="shared" si="14"/>
        <v>3.5029999999999999E-2</v>
      </c>
      <c r="I39" s="284">
        <f>IF(AND(MONTH($A39)&gt;=6, MONTH($A39)&lt;=9),'[62]2017 DATA'!$B$7,'[62]2017 DATA'!$F$7)</f>
        <v>0.43091420638451883</v>
      </c>
      <c r="J39" s="284">
        <f>IF(AND(MONTH($A39)&gt;=6, MONTH($A39)&lt;=9),'[62]2017 DATA'!$C$7,'[62]2017 DATA'!$G$7)</f>
        <v>0.56908579361548117</v>
      </c>
      <c r="K39" s="285">
        <f t="shared" si="9"/>
        <v>3.8690000000000002E-2</v>
      </c>
      <c r="L39" s="291">
        <f t="shared" ref="L39:L43" si="16">+$I$65</f>
        <v>1.4499999999999999E-3</v>
      </c>
      <c r="M39" s="285">
        <f t="shared" si="10"/>
        <v>4.0140000000000002E-2</v>
      </c>
      <c r="O39" s="327">
        <f>VLOOKUP(P39,'Lookup Tables for Level Billing'!$F$4:$G$121,2)</f>
        <v>37561</v>
      </c>
      <c r="P39" s="293">
        <f>INDEX('Lookup Tables for Level Billing'!$I$4:$I$121,MATCH('MSC - Energy SC1'!M39,'Lookup Tables for Level Billing'!$I$4:$I$121,-1))</f>
        <v>4.582E-2</v>
      </c>
      <c r="Q39" s="247">
        <f t="shared" si="11"/>
        <v>5.6799999999999976E-3</v>
      </c>
      <c r="R39" s="294"/>
      <c r="S39" s="328"/>
      <c r="T39" s="231"/>
    </row>
    <row r="40" spans="1:20" ht="10.5" x14ac:dyDescent="0.25">
      <c r="A40" s="295">
        <f t="shared" si="12"/>
        <v>44197</v>
      </c>
      <c r="B40" s="288">
        <f>ROUND(VLOOKUP($A40,'[70]NYC Forecast ENERGY 04 06 20'!$A$8:$H$40,6,FALSE)/1000,5)</f>
        <v>5.0999999999999997E-2</v>
      </c>
      <c r="C40" s="326">
        <f>ROUND(VLOOKUP($A40,'[70]NYC Forecast ENERGY 04 06 20'!$A$8:$H$40,7,FALSE)/1000,5)</f>
        <v>4.1750000000000002E-2</v>
      </c>
      <c r="D40" s="288">
        <f>ROUND(VLOOKUP($A40,[69]Data!$A$40:$E$87,2,FALSE)/1000,5)</f>
        <v>4.0999999999999999E-4</v>
      </c>
      <c r="E40" s="288">
        <f>ROUND(VLOOKUP($A40,[69]Data!$A$40:$E$87,3,FALSE)/1000,5)</f>
        <v>2.9299999999999999E-3</v>
      </c>
      <c r="F40" s="288">
        <f>ROUND(VLOOKUP($A40,[69]Data!$A$40:$E$87,4,FALSE)/1000,5)</f>
        <v>1.1199999999999999E-3</v>
      </c>
      <c r="G40" s="289">
        <f t="shared" si="13"/>
        <v>5.8950000000000002E-2</v>
      </c>
      <c r="H40" s="281">
        <f t="shared" si="14"/>
        <v>4.9119999999999997E-2</v>
      </c>
      <c r="I40" s="284">
        <f>IF(AND(MONTH($A40)&gt;=6, MONTH($A40)&lt;=9),'[62]2017 DATA'!$B$7,'[62]2017 DATA'!$F$7)</f>
        <v>0.43091420638451883</v>
      </c>
      <c r="J40" s="284">
        <f>IF(AND(MONTH($A40)&gt;=6, MONTH($A40)&lt;=9),'[62]2017 DATA'!$C$7,'[62]2017 DATA'!$G$7)</f>
        <v>0.56908579361548117</v>
      </c>
      <c r="K40" s="285">
        <f t="shared" si="9"/>
        <v>5.3359999999999998E-2</v>
      </c>
      <c r="L40" s="291">
        <f t="shared" si="16"/>
        <v>1.4499999999999999E-3</v>
      </c>
      <c r="M40" s="285">
        <f t="shared" si="10"/>
        <v>5.4809999999999998E-2</v>
      </c>
      <c r="O40" s="327">
        <f>VLOOKUP(P40,'Lookup Tables for Level Billing'!$F$4:$G$121,2)</f>
        <v>36831</v>
      </c>
      <c r="P40" s="293">
        <f>INDEX('Lookup Tables for Level Billing'!$I$4:$I$121,MATCH('MSC - Energy SC1'!M40,'Lookup Tables for Level Billing'!$I$4:$I$121,-1))</f>
        <v>5.5160000000000001E-2</v>
      </c>
      <c r="Q40" s="247">
        <f t="shared" si="11"/>
        <v>3.5000000000000309E-4</v>
      </c>
      <c r="R40" s="294"/>
      <c r="S40" s="329"/>
      <c r="T40" s="231"/>
    </row>
    <row r="41" spans="1:20" ht="10.5" x14ac:dyDescent="0.25">
      <c r="A41" s="295">
        <f t="shared" si="12"/>
        <v>44228</v>
      </c>
      <c r="B41" s="288">
        <f>ROUND(VLOOKUP($A41,'[70]NYC Forecast ENERGY 04 06 20'!$A$8:$H$40,6,FALSE)/1000,5)</f>
        <v>4.9000000000000002E-2</v>
      </c>
      <c r="C41" s="326">
        <f>ROUND(VLOOKUP($A41,'[70]NYC Forecast ENERGY 04 06 20'!$A$8:$H$40,7,FALSE)/1000,5)</f>
        <v>3.9750000000000001E-2</v>
      </c>
      <c r="D41" s="288">
        <f>ROUND(VLOOKUP($A41,[69]Data!$A$40:$E$87,2,FALSE)/1000,5)</f>
        <v>3.8000000000000002E-4</v>
      </c>
      <c r="E41" s="288">
        <f>ROUND(VLOOKUP($A41,[69]Data!$A$40:$E$87,3,FALSE)/1000,5)</f>
        <v>3.0000000000000001E-3</v>
      </c>
      <c r="F41" s="288">
        <f>ROUND(VLOOKUP($A41,[69]Data!$A$40:$E$87,4,FALSE)/1000,5)</f>
        <v>1.1000000000000001E-3</v>
      </c>
      <c r="G41" s="289">
        <f t="shared" si="13"/>
        <v>5.6849999999999998E-2</v>
      </c>
      <c r="H41" s="281">
        <f t="shared" si="14"/>
        <v>4.7019999999999999E-2</v>
      </c>
      <c r="I41" s="284">
        <f>IF(AND(MONTH($A41)&gt;=6, MONTH($A41)&lt;=9),'[62]2017 DATA'!$B$7,'[62]2017 DATA'!$F$7)</f>
        <v>0.43091420638451883</v>
      </c>
      <c r="J41" s="284">
        <f>IF(AND(MONTH($A41)&gt;=6, MONTH($A41)&lt;=9),'[62]2017 DATA'!$C$7,'[62]2017 DATA'!$G$7)</f>
        <v>0.56908579361548117</v>
      </c>
      <c r="K41" s="285">
        <f t="shared" si="9"/>
        <v>5.126E-2</v>
      </c>
      <c r="L41" s="291">
        <f t="shared" si="16"/>
        <v>1.4499999999999999E-3</v>
      </c>
      <c r="M41" s="285">
        <f t="shared" si="10"/>
        <v>5.271E-2</v>
      </c>
      <c r="O41" s="327">
        <f>VLOOKUP(P41,'Lookup Tables for Level Billing'!$F$4:$G$121,2)</f>
        <v>36951</v>
      </c>
      <c r="P41" s="293">
        <f>INDEX('Lookup Tables for Level Billing'!$I$4:$I$121,MATCH('MSC - Energy SC1'!M41,'Lookup Tables for Level Billing'!$I$4:$I$121,-1))</f>
        <v>5.3199999999999997E-2</v>
      </c>
      <c r="Q41" s="247">
        <f>P41-M41</f>
        <v>4.8999999999999738E-4</v>
      </c>
      <c r="R41" s="294"/>
      <c r="S41" s="328"/>
      <c r="T41" s="231"/>
    </row>
    <row r="42" spans="1:20" ht="10.5" x14ac:dyDescent="0.25">
      <c r="A42" s="295">
        <f t="shared" si="12"/>
        <v>44256</v>
      </c>
      <c r="B42" s="288">
        <f>ROUND(VLOOKUP($A42,'[70]NYC Forecast ENERGY 04 06 20'!$A$8:$H$40,6,FALSE)/1000,5)</f>
        <v>3.4500000000000003E-2</v>
      </c>
      <c r="C42" s="326">
        <f>ROUND(VLOOKUP($A42,'[70]NYC Forecast ENERGY 04 06 20'!$A$8:$H$40,7,FALSE)/1000,5)</f>
        <v>2.8000000000000001E-2</v>
      </c>
      <c r="D42" s="288">
        <f>ROUND(VLOOKUP($A42,[69]Data!$A$40:$E$87,2,FALSE)/1000,5)</f>
        <v>3.5E-4</v>
      </c>
      <c r="E42" s="288">
        <f>ROUND(VLOOKUP($A42,[69]Data!$A$40:$E$87,3,FALSE)/1000,5)</f>
        <v>2.7799999999999999E-3</v>
      </c>
      <c r="F42" s="288">
        <f>ROUND(VLOOKUP($A42,[69]Data!$A$40:$E$87,4,FALSE)/1000,5)</f>
        <v>1.1800000000000001E-3</v>
      </c>
      <c r="G42" s="289">
        <f t="shared" si="13"/>
        <v>4.1259999999999998E-2</v>
      </c>
      <c r="H42" s="281">
        <f t="shared" si="14"/>
        <v>3.4349999999999999E-2</v>
      </c>
      <c r="I42" s="284">
        <f>IF(AND(MONTH($A42)&gt;=6, MONTH($A42)&lt;=9),'[62]2017 DATA'!$B$7,'[62]2017 DATA'!$F$7)</f>
        <v>0.43091420638451883</v>
      </c>
      <c r="J42" s="284">
        <f>IF(AND(MONTH($A42)&gt;=6, MONTH($A42)&lt;=9),'[62]2017 DATA'!$C$7,'[62]2017 DATA'!$G$7)</f>
        <v>0.56908579361548117</v>
      </c>
      <c r="K42" s="285">
        <f>ROUND((I42*G42)+(J42*H42),5)</f>
        <v>3.7330000000000002E-2</v>
      </c>
      <c r="L42" s="291">
        <f t="shared" si="16"/>
        <v>1.4499999999999999E-3</v>
      </c>
      <c r="M42" s="285">
        <f>K42+L42</f>
        <v>3.8780000000000002E-2</v>
      </c>
      <c r="O42" s="327">
        <f>VLOOKUP(P42,'Lookup Tables for Level Billing'!$F$4:$G$121,2)</f>
        <v>37561</v>
      </c>
      <c r="P42" s="293">
        <f>INDEX('Lookup Tables for Level Billing'!$I$4:$I$121,MATCH('MSC - Energy SC1'!M42,'Lookup Tables for Level Billing'!$I$4:$I$121,-1))</f>
        <v>4.582E-2</v>
      </c>
      <c r="Q42" s="247">
        <f>P42-M42</f>
        <v>7.0399999999999976E-3</v>
      </c>
      <c r="R42" s="294"/>
      <c r="S42" s="328"/>
      <c r="T42" s="231"/>
    </row>
    <row r="43" spans="1:20" ht="10.5" x14ac:dyDescent="0.25">
      <c r="A43" s="330">
        <f t="shared" si="12"/>
        <v>44287</v>
      </c>
      <c r="B43" s="288">
        <f>ROUND(VLOOKUP($A43,'[70]NYC Forecast ENERGY 04 06 20'!$A$8:$H$40,6,FALSE)/1000,5)</f>
        <v>2.6499999999999999E-2</v>
      </c>
      <c r="C43" s="326">
        <f>ROUND(VLOOKUP($A43,'[70]NYC Forecast ENERGY 04 06 20'!$A$8:$H$40,7,FALSE)/1000,5)</f>
        <v>0.02</v>
      </c>
      <c r="D43" s="288">
        <f>ROUND(VLOOKUP($A43,[69]Data!$A$40:$E$87,2,FALSE)/1000,5)</f>
        <v>3.3E-4</v>
      </c>
      <c r="E43" s="288">
        <f>ROUND(VLOOKUP($A43,[69]Data!$A$40:$E$87,3,FALSE)/1000,5)</f>
        <v>2.7200000000000002E-3</v>
      </c>
      <c r="F43" s="288">
        <f>ROUND(VLOOKUP($A43,[69]Data!$A$40:$E$87,4,FALSE)/1000,5)</f>
        <v>1.2999999999999999E-3</v>
      </c>
      <c r="G43" s="289">
        <f t="shared" si="13"/>
        <v>3.279E-2</v>
      </c>
      <c r="H43" s="281">
        <f t="shared" si="14"/>
        <v>2.588E-2</v>
      </c>
      <c r="I43" s="284">
        <f>IF(AND(MONTH($A43)&gt;=6, MONTH($A43)&lt;=9),'[62]2017 DATA'!$B$7,'[62]2017 DATA'!$F$7)</f>
        <v>0.43091420638451883</v>
      </c>
      <c r="J43" s="284">
        <f>IF(AND(MONTH($A43)&gt;=6, MONTH($A43)&lt;=9),'[62]2017 DATA'!$C$7,'[62]2017 DATA'!$G$7)</f>
        <v>0.56908579361548117</v>
      </c>
      <c r="K43" s="285">
        <f t="shared" si="9"/>
        <v>2.886E-2</v>
      </c>
      <c r="L43" s="291">
        <f t="shared" si="16"/>
        <v>1.4499999999999999E-3</v>
      </c>
      <c r="M43" s="285">
        <f t="shared" si="10"/>
        <v>3.031E-2</v>
      </c>
      <c r="O43" s="327">
        <f>VLOOKUP(P43,'Lookup Tables for Level Billing'!$F$4:$G$121,2)</f>
        <v>36800</v>
      </c>
      <c r="P43" s="293">
        <f>INDEX('Lookup Tables for Level Billing'!$I$4:$I$121,MATCH('MSC - Energy SC1'!M43,'Lookup Tables for Level Billing'!$I$4:$I$121,-1))</f>
        <v>3.4470000000000001E-2</v>
      </c>
      <c r="Q43" s="247">
        <f t="shared" si="11"/>
        <v>4.1600000000000005E-3</v>
      </c>
      <c r="R43" s="294"/>
      <c r="S43" s="286"/>
      <c r="T43" s="300"/>
    </row>
    <row r="44" spans="1:20" ht="10.5" x14ac:dyDescent="0.25">
      <c r="A44" s="295">
        <f t="shared" si="12"/>
        <v>44317</v>
      </c>
      <c r="B44" s="288">
        <f>ROUND(VLOOKUP($A44,'[70]NYC Forecast ENERGY 04 06 20'!$A$8:$H$40,6,FALSE)/1000,5)</f>
        <v>2.4250000000000001E-2</v>
      </c>
      <c r="C44" s="326">
        <f>ROUND(VLOOKUP($A44,'[70]NYC Forecast ENERGY 04 06 20'!$A$8:$H$40,7,FALSE)/1000,5)</f>
        <v>1.95E-2</v>
      </c>
      <c r="D44" s="288">
        <f>ROUND(VLOOKUP($A44,[69]Data!$A$40:$E$87,2,FALSE)/1000,5)</f>
        <v>3.8000000000000002E-4</v>
      </c>
      <c r="E44" s="288">
        <f>ROUND(VLOOKUP($A44,[69]Data!$A$40:$E$87,3,FALSE)/1000,5)</f>
        <v>2.8500000000000001E-3</v>
      </c>
      <c r="F44" s="288">
        <f>ROUND(VLOOKUP($A44,[69]Data!$A$40:$E$87,4,FALSE)/1000,5)</f>
        <v>1.1800000000000001E-3</v>
      </c>
      <c r="G44" s="289">
        <f t="shared" si="13"/>
        <v>3.0470000000000001E-2</v>
      </c>
      <c r="H44" s="281">
        <f t="shared" si="14"/>
        <v>2.5420000000000002E-2</v>
      </c>
      <c r="I44" s="284">
        <f>IF(AND(MONTH($A44)&gt;=6, MONTH($A44)&lt;=9),'[62]2017 DATA'!$B$7,'[62]2017 DATA'!$F$7)</f>
        <v>0.43091420638451883</v>
      </c>
      <c r="J44" s="284">
        <f>IF(AND(MONTH($A44)&gt;=6, MONTH($A44)&lt;=9),'[62]2017 DATA'!$C$7,'[62]2017 DATA'!$G$7)</f>
        <v>0.56908579361548117</v>
      </c>
      <c r="K44" s="285">
        <f t="shared" si="9"/>
        <v>2.76E-2</v>
      </c>
      <c r="L44" s="291">
        <f>+$I$66</f>
        <v>2.5860000000000001E-2</v>
      </c>
      <c r="M44" s="285">
        <f t="shared" si="10"/>
        <v>5.3460000000000001E-2</v>
      </c>
      <c r="O44" s="327">
        <f>VLOOKUP(P44,'Lookup Tables for Level Billing'!$F$4:$G$121,2)</f>
        <v>37347</v>
      </c>
      <c r="P44" s="293">
        <f>INDEX('Lookup Tables for Level Billing'!$I$4:$I$121,MATCH('MSC - Energy SC1'!M44,'Lookup Tables for Level Billing'!$I$4:$I$121,-1))</f>
        <v>5.357E-2</v>
      </c>
      <c r="Q44" s="247">
        <f t="shared" si="11"/>
        <v>1.0999999999999899E-4</v>
      </c>
      <c r="R44" s="294"/>
      <c r="T44" s="299"/>
    </row>
    <row r="45" spans="1:20" ht="10.5" x14ac:dyDescent="0.25">
      <c r="A45" s="295">
        <f t="shared" si="12"/>
        <v>44348</v>
      </c>
      <c r="B45" s="288">
        <f>ROUND(VLOOKUP($A45,'[70]NYC Forecast ENERGY 04 06 20'!$A$8:$H$40,6,FALSE)/1000,5)</f>
        <v>2.4500000000000001E-2</v>
      </c>
      <c r="C45" s="326">
        <f>ROUND(VLOOKUP($A45,'[70]NYC Forecast ENERGY 04 06 20'!$A$8:$H$40,7,FALSE)/1000,5)</f>
        <v>1.9E-2</v>
      </c>
      <c r="D45" s="288">
        <f>ROUND(VLOOKUP($A45,[69]Data!$A$40:$E$87,2,FALSE)/1000,5)</f>
        <v>3.8999999999999999E-4</v>
      </c>
      <c r="E45" s="288">
        <f>ROUND(VLOOKUP($A45,[69]Data!$A$40:$E$87,3,FALSE)/1000,5)</f>
        <v>3.0100000000000001E-3</v>
      </c>
      <c r="F45" s="288">
        <f>ROUND(VLOOKUP($A45,[69]Data!$A$40:$E$87,4,FALSE)/1000,5)</f>
        <v>1.2700000000000001E-3</v>
      </c>
      <c r="G45" s="289">
        <f t="shared" si="13"/>
        <v>3.1009999999999999E-2</v>
      </c>
      <c r="H45" s="281">
        <f t="shared" si="14"/>
        <v>2.5159999999999998E-2</v>
      </c>
      <c r="I45" s="284">
        <f>IF(AND(MONTH($A45)&gt;=6, MONTH($A45)&lt;=9),'[62]2017 DATA'!$B$7,'[62]2017 DATA'!$F$7)</f>
        <v>0.42819487926885397</v>
      </c>
      <c r="J45" s="284">
        <f>IF(AND(MONTH($A45)&gt;=6, MONTH($A45)&lt;=9),'[62]2017 DATA'!$C$7,'[62]2017 DATA'!$G$7)</f>
        <v>0.57180512073114587</v>
      </c>
      <c r="K45" s="285">
        <f t="shared" si="9"/>
        <v>2.7660000000000001E-2</v>
      </c>
      <c r="L45" s="291">
        <f t="shared" ref="L45:L48" si="17">+$I$66</f>
        <v>2.5860000000000001E-2</v>
      </c>
      <c r="M45" s="285">
        <f t="shared" si="10"/>
        <v>5.3519999999999998E-2</v>
      </c>
      <c r="O45" s="327">
        <f>VLOOKUP(P45,'Lookup Tables for Level Billing'!$F$4:$G$121,2)</f>
        <v>37347</v>
      </c>
      <c r="P45" s="293">
        <f>INDEX('Lookup Tables for Level Billing'!$I$4:$I$121,MATCH('MSC - Energy SC1'!M45,'Lookup Tables for Level Billing'!$I$4:$I$121,-1))</f>
        <v>5.357E-2</v>
      </c>
      <c r="Q45" s="247">
        <f t="shared" si="11"/>
        <v>5.0000000000001432E-5</v>
      </c>
      <c r="R45" s="244"/>
      <c r="S45" s="300"/>
    </row>
    <row r="46" spans="1:20" ht="12.5" x14ac:dyDescent="0.25">
      <c r="A46" s="295">
        <f t="shared" si="12"/>
        <v>44378</v>
      </c>
      <c r="B46" s="288">
        <f>ROUND(VLOOKUP($A46,'[70]NYC Forecast ENERGY 04 06 20'!$A$8:$H$40,6,FALSE)/1000,5)</f>
        <v>3.175E-2</v>
      </c>
      <c r="C46" s="326">
        <f>ROUND(VLOOKUP($A46,'[70]NYC Forecast ENERGY 04 06 20'!$A$8:$H$40,7,FALSE)/1000,5)</f>
        <v>2.2499999999999999E-2</v>
      </c>
      <c r="D46" s="288">
        <f>ROUND(VLOOKUP($A46,[69]Data!$A$40:$E$87,2,FALSE)/1000,5)</f>
        <v>3.6000000000000002E-4</v>
      </c>
      <c r="E46" s="288">
        <f>ROUND(VLOOKUP($A46,[69]Data!$A$40:$E$87,3,FALSE)/1000,5)</f>
        <v>2.7899999999999999E-3</v>
      </c>
      <c r="F46" s="288">
        <f>ROUND(VLOOKUP($A46,[69]Data!$A$40:$E$87,4,FALSE)/1000,5)</f>
        <v>1.2800000000000001E-3</v>
      </c>
      <c r="G46" s="289">
        <f t="shared" si="13"/>
        <v>3.8460000000000001E-2</v>
      </c>
      <c r="H46" s="281">
        <f t="shared" si="14"/>
        <v>2.8629999999999999E-2</v>
      </c>
      <c r="I46" s="284">
        <f>IF(AND(MONTH($A46)&gt;=6, MONTH($A46)&lt;=9),'[62]2017 DATA'!$B$7,'[62]2017 DATA'!$F$7)</f>
        <v>0.42819487926885397</v>
      </c>
      <c r="J46" s="284">
        <f>IF(AND(MONTH($A46)&gt;=6, MONTH($A46)&lt;=9),'[62]2017 DATA'!$C$7,'[62]2017 DATA'!$G$7)</f>
        <v>0.57180512073114587</v>
      </c>
      <c r="K46" s="285">
        <f t="shared" si="9"/>
        <v>3.2840000000000001E-2</v>
      </c>
      <c r="L46" s="291">
        <f t="shared" si="17"/>
        <v>2.5860000000000001E-2</v>
      </c>
      <c r="M46" s="285">
        <f t="shared" si="10"/>
        <v>5.8700000000000002E-2</v>
      </c>
      <c r="O46" s="327">
        <f>VLOOKUP(P46,'Lookup Tables for Level Billing'!$F$4:$G$121,2)</f>
        <v>36923</v>
      </c>
      <c r="P46" s="293">
        <f>INDEX('Lookup Tables for Level Billing'!$I$4:$I$121,MATCH('MSC - Energy SC1'!M46,'Lookup Tables for Level Billing'!$I$4:$I$121,-1))</f>
        <v>5.9089999999999997E-2</v>
      </c>
      <c r="Q46" s="247">
        <f t="shared" si="11"/>
        <v>3.8999999999999452E-4</v>
      </c>
      <c r="R46" s="294"/>
      <c r="S46" s="234"/>
      <c r="T46" s="234"/>
    </row>
    <row r="47" spans="1:20" ht="12.5" x14ac:dyDescent="0.25">
      <c r="A47" s="295">
        <f t="shared" si="12"/>
        <v>44409</v>
      </c>
      <c r="B47" s="288">
        <f>ROUND(VLOOKUP($A47,'[70]NYC Forecast ENERGY 04 06 20'!$A$8:$H$40,6,FALSE)/1000,5)</f>
        <v>2.9749999999999999E-2</v>
      </c>
      <c r="C47" s="326">
        <f>ROUND(VLOOKUP($A47,'[70]NYC Forecast ENERGY 04 06 20'!$A$8:$H$40,7,FALSE)/1000,5)</f>
        <v>2.1999999999999999E-2</v>
      </c>
      <c r="D47" s="288">
        <f>ROUND(VLOOKUP($A47,[69]Data!$A$40:$E$87,2,FALSE)/1000,5)</f>
        <v>3.5E-4</v>
      </c>
      <c r="E47" s="288">
        <f>ROUND(VLOOKUP($A47,[69]Data!$A$40:$E$87,3,FALSE)/1000,5)</f>
        <v>2.8400000000000001E-3</v>
      </c>
      <c r="F47" s="288">
        <f>ROUND(VLOOKUP($A47,[69]Data!$A$40:$E$87,4,FALSE)/1000,5)</f>
        <v>1.25E-3</v>
      </c>
      <c r="G47" s="289">
        <f t="shared" si="13"/>
        <v>3.6339999999999997E-2</v>
      </c>
      <c r="H47" s="281">
        <f t="shared" si="14"/>
        <v>2.811E-2</v>
      </c>
      <c r="I47" s="284">
        <f>IF(AND(MONTH($A47)&gt;=6, MONTH($A47)&lt;=9),'[62]2017 DATA'!$B$7,'[62]2017 DATA'!$F$7)</f>
        <v>0.42819487926885397</v>
      </c>
      <c r="J47" s="284">
        <f>IF(AND(MONTH($A47)&gt;=6, MONTH($A47)&lt;=9),'[62]2017 DATA'!$C$7,'[62]2017 DATA'!$G$7)</f>
        <v>0.57180512073114587</v>
      </c>
      <c r="K47" s="285">
        <f t="shared" si="9"/>
        <v>3.1629999999999998E-2</v>
      </c>
      <c r="L47" s="291">
        <f t="shared" si="17"/>
        <v>2.5860000000000001E-2</v>
      </c>
      <c r="M47" s="302">
        <f t="shared" si="10"/>
        <v>5.7489999999999999E-2</v>
      </c>
      <c r="O47" s="327">
        <f>VLOOKUP(P47,'Lookup Tables for Level Billing'!$F$4:$G$121,2)</f>
        <v>37926</v>
      </c>
      <c r="P47" s="293">
        <f>INDEX('Lookup Tables for Level Billing'!$I$4:$I$121,MATCH('MSC - Energy SC1'!M47,'Lookup Tables for Level Billing'!$I$4:$I$121,-1))</f>
        <v>5.8560000000000001E-2</v>
      </c>
      <c r="Q47" s="247">
        <f t="shared" si="11"/>
        <v>1.0700000000000015E-3</v>
      </c>
      <c r="R47" s="244"/>
      <c r="S47" s="234"/>
      <c r="T47" s="234"/>
    </row>
    <row r="48" spans="1:20" ht="12.5" x14ac:dyDescent="0.25">
      <c r="A48" s="295">
        <f t="shared" si="12"/>
        <v>44440</v>
      </c>
      <c r="B48" s="288">
        <f>ROUND(VLOOKUP($A48,'[70]NYC Forecast ENERGY 04 06 20'!$A$8:$H$40,6,FALSE)/1000,5)</f>
        <v>2.5000000000000001E-2</v>
      </c>
      <c r="C48" s="326">
        <f>ROUND(VLOOKUP($A48,'[70]NYC Forecast ENERGY 04 06 20'!$A$8:$H$40,7,FALSE)/1000,5)</f>
        <v>1.925E-2</v>
      </c>
      <c r="D48" s="288">
        <f>ROUND(VLOOKUP($A48,[69]Data!$A$40:$E$87,2,FALSE)/1000,5)</f>
        <v>3.6000000000000002E-4</v>
      </c>
      <c r="E48" s="288">
        <f>ROUND(VLOOKUP($A48,[69]Data!$A$40:$E$87,3,FALSE)/1000,5)</f>
        <v>2.7699999999999999E-3</v>
      </c>
      <c r="F48" s="288">
        <f>ROUND(VLOOKUP($A48,[69]Data!$A$40:$E$87,4,FALSE)/1000,5)</f>
        <v>1.0200000000000001E-3</v>
      </c>
      <c r="G48" s="289">
        <f t="shared" si="13"/>
        <v>3.099E-2</v>
      </c>
      <c r="H48" s="281">
        <f t="shared" si="14"/>
        <v>2.487E-2</v>
      </c>
      <c r="I48" s="284">
        <f>IF(AND(MONTH($A48)&gt;=6, MONTH($A48)&lt;=9),'[62]2017 DATA'!$B$7,'[62]2017 DATA'!$F$7)</f>
        <v>0.42819487926885397</v>
      </c>
      <c r="J48" s="284">
        <f>IF(AND(MONTH($A48)&gt;=6, MONTH($A48)&lt;=9),'[62]2017 DATA'!$C$7,'[62]2017 DATA'!$G$7)</f>
        <v>0.57180512073114587</v>
      </c>
      <c r="K48" s="285">
        <f t="shared" si="9"/>
        <v>2.7490000000000001E-2</v>
      </c>
      <c r="L48" s="291">
        <f t="shared" si="17"/>
        <v>2.5860000000000001E-2</v>
      </c>
      <c r="M48" s="302">
        <f t="shared" si="10"/>
        <v>5.3350000000000002E-2</v>
      </c>
      <c r="O48" s="327">
        <f>VLOOKUP(P48,'Lookup Tables for Level Billing'!$F$4:$G$121,2)</f>
        <v>37347</v>
      </c>
      <c r="P48" s="293">
        <f>INDEX('Lookup Tables for Level Billing'!$I$4:$I$121,MATCH('MSC - Energy SC1'!M48,'Lookup Tables for Level Billing'!$I$4:$I$121,-1))</f>
        <v>5.357E-2</v>
      </c>
      <c r="Q48" s="247">
        <f t="shared" si="11"/>
        <v>2.1999999999999797E-4</v>
      </c>
      <c r="R48" s="294"/>
      <c r="S48" s="234"/>
      <c r="T48" s="234"/>
    </row>
    <row r="49" spans="1:20" ht="10.5" x14ac:dyDescent="0.25">
      <c r="A49" s="331">
        <f t="shared" si="12"/>
        <v>44470</v>
      </c>
      <c r="B49" s="303">
        <f>ROUND(VLOOKUP($A49,'[70]NYC Forecast ENERGY 04 06 20'!$A$8:$H$40,6,FALSE)/1000,5)</f>
        <v>2.4250000000000001E-2</v>
      </c>
      <c r="C49" s="332">
        <f>ROUND(VLOOKUP($A49,'[70]NYC Forecast ENERGY 04 06 20'!$A$8:$H$40,7,FALSE)/1000,5)</f>
        <v>2.0500000000000001E-2</v>
      </c>
      <c r="D49" s="303">
        <f>ROUND(VLOOKUP($A49,[69]Data!$A$40:$E$87,2,FALSE)/1000,5)</f>
        <v>4.0000000000000002E-4</v>
      </c>
      <c r="E49" s="303">
        <f>ROUND(VLOOKUP($A49,[69]Data!$A$40:$E$87,3,FALSE)/1000,5)</f>
        <v>2.7499999999999998E-3</v>
      </c>
      <c r="F49" s="303">
        <f>ROUND(VLOOKUP($A49,[69]Data!$A$40:$E$87,4,FALSE)/1000,5)</f>
        <v>8.7000000000000001E-4</v>
      </c>
      <c r="G49" s="304">
        <f t="shared" si="13"/>
        <v>3.005E-2</v>
      </c>
      <c r="H49" s="305">
        <f t="shared" si="14"/>
        <v>2.606E-2</v>
      </c>
      <c r="I49" s="333">
        <f>IF(AND(MONTH($A49)&gt;=6, MONTH($A49)&lt;=9),'[62]2017 DATA'!$B$7,'[62]2017 DATA'!$F$7)</f>
        <v>0.43091420638451883</v>
      </c>
      <c r="J49" s="333">
        <f>IF(AND(MONTH($A49)&gt;=6, MONTH($A49)&lt;=9),'[62]2017 DATA'!$C$7,'[62]2017 DATA'!$G$7)</f>
        <v>0.56908579361548117</v>
      </c>
      <c r="K49" s="307">
        <f t="shared" si="9"/>
        <v>2.7779999999999999E-2</v>
      </c>
      <c r="L49" s="308">
        <f>+$I$66</f>
        <v>2.5860000000000001E-2</v>
      </c>
      <c r="M49" s="309">
        <f t="shared" si="10"/>
        <v>5.364E-2</v>
      </c>
      <c r="N49" s="334"/>
      <c r="O49" s="335">
        <f>VLOOKUP(P49,'Lookup Tables for Level Billing'!$F$4:$G$121,2)</f>
        <v>36678</v>
      </c>
      <c r="P49" s="311">
        <f>INDEX('Lookup Tables for Level Billing'!$I$4:$I$121,MATCH('MSC - Energy SC1'!M49,'Lookup Tables for Level Billing'!$I$4:$I$121,-1))</f>
        <v>5.4359999999999999E-2</v>
      </c>
      <c r="Q49" s="251">
        <f t="shared" si="11"/>
        <v>7.1999999999999842E-4</v>
      </c>
      <c r="S49" s="296"/>
      <c r="T49" s="297"/>
    </row>
    <row r="50" spans="1:20" ht="10.5" x14ac:dyDescent="0.25">
      <c r="A50" s="295"/>
      <c r="B50" s="314"/>
      <c r="C50" s="314"/>
      <c r="D50" s="314"/>
      <c r="E50" s="314"/>
      <c r="F50" s="314"/>
      <c r="G50" s="313"/>
      <c r="H50" s="314"/>
      <c r="I50" s="336"/>
      <c r="J50" s="336"/>
      <c r="K50" s="328"/>
      <c r="L50" s="328"/>
      <c r="M50" s="337"/>
      <c r="O50" s="329"/>
      <c r="P50" s="293"/>
      <c r="Q50" s="286"/>
      <c r="R50" s="297" t="s">
        <v>386</v>
      </c>
    </row>
    <row r="51" spans="1:20" ht="10.5" x14ac:dyDescent="0.25">
      <c r="A51" s="338" t="s">
        <v>387</v>
      </c>
      <c r="B51" s="339" t="s">
        <v>492</v>
      </c>
      <c r="C51" s="316"/>
      <c r="D51" s="316"/>
      <c r="E51" s="231"/>
      <c r="F51" s="231"/>
      <c r="G51" s="231"/>
      <c r="H51" s="231"/>
      <c r="O51" s="242"/>
      <c r="P51" s="243"/>
      <c r="Q51" s="243"/>
    </row>
    <row r="52" spans="1:20" ht="10.5" x14ac:dyDescent="0.25">
      <c r="A52" s="338" t="s">
        <v>388</v>
      </c>
      <c r="B52" s="340" t="s">
        <v>389</v>
      </c>
      <c r="C52" s="231"/>
      <c r="D52" s="231"/>
      <c r="E52" s="231"/>
      <c r="F52" s="231"/>
      <c r="G52" s="231"/>
      <c r="H52" s="231"/>
      <c r="O52" s="242"/>
      <c r="P52" s="243"/>
      <c r="Q52" s="243"/>
    </row>
    <row r="53" spans="1:20" ht="10.5" x14ac:dyDescent="0.25">
      <c r="B53" s="340"/>
      <c r="C53" s="231"/>
      <c r="D53" s="231"/>
      <c r="E53" s="231"/>
      <c r="F53" s="231"/>
      <c r="G53" s="231"/>
      <c r="H53" s="231"/>
      <c r="O53" s="242"/>
      <c r="P53" s="243"/>
      <c r="Q53" s="243"/>
    </row>
    <row r="54" spans="1:20" x14ac:dyDescent="0.2">
      <c r="B54" s="231"/>
      <c r="C54" s="341"/>
      <c r="D54" s="341"/>
      <c r="E54" s="231"/>
      <c r="F54" s="231"/>
      <c r="G54" s="231"/>
      <c r="H54" s="231"/>
      <c r="O54" s="242"/>
      <c r="P54" s="243"/>
      <c r="Q54" s="243"/>
    </row>
    <row r="55" spans="1:20" ht="10.5" x14ac:dyDescent="0.25">
      <c r="A55" s="342" t="s">
        <v>390</v>
      </c>
      <c r="B55" s="231"/>
      <c r="C55" s="341"/>
      <c r="D55" s="341"/>
      <c r="E55" s="231"/>
      <c r="F55" s="231"/>
      <c r="G55" s="231"/>
      <c r="H55" s="231"/>
      <c r="O55" s="242"/>
      <c r="P55" s="243"/>
      <c r="Q55" s="243"/>
    </row>
    <row r="56" spans="1:20" ht="10.5" x14ac:dyDescent="0.25">
      <c r="A56" s="342"/>
      <c r="B56" s="340" t="s">
        <v>391</v>
      </c>
      <c r="C56" s="343"/>
      <c r="D56" s="343"/>
      <c r="E56" s="340" t="s">
        <v>392</v>
      </c>
      <c r="F56" s="340"/>
      <c r="G56" s="344" t="s">
        <v>393</v>
      </c>
      <c r="H56" s="345" t="s">
        <v>394</v>
      </c>
      <c r="I56" s="342"/>
      <c r="O56" s="242"/>
      <c r="P56" s="243"/>
      <c r="Q56" s="243"/>
    </row>
    <row r="57" spans="1:20" ht="10.5" x14ac:dyDescent="0.25">
      <c r="A57" s="342"/>
      <c r="B57" s="342" t="s">
        <v>283</v>
      </c>
      <c r="C57" s="343" t="s">
        <v>363</v>
      </c>
      <c r="D57" s="343"/>
      <c r="E57" s="342" t="s">
        <v>283</v>
      </c>
      <c r="F57" s="343" t="s">
        <v>363</v>
      </c>
      <c r="G57" s="340"/>
      <c r="H57" s="342" t="s">
        <v>283</v>
      </c>
      <c r="I57" s="343" t="s">
        <v>363</v>
      </c>
      <c r="O57" s="242"/>
      <c r="P57" s="243"/>
      <c r="Q57" s="243"/>
    </row>
    <row r="58" spans="1:20" ht="10.5" hidden="1" x14ac:dyDescent="0.25">
      <c r="A58" s="280" t="s">
        <v>395</v>
      </c>
      <c r="B58" s="346">
        <f>'[55]May - Oct Capacity MSC by Class'!$B$20</f>
        <v>4009646</v>
      </c>
      <c r="C58" s="346">
        <f>'[55]May - Oct Capacity MSC by Class'!$C$20</f>
        <v>4009646</v>
      </c>
      <c r="D58" s="346"/>
      <c r="E58" s="347">
        <f>ROUND(B58*'[55]Capacity Estimates'!$I$53,0)</f>
        <v>443146076</v>
      </c>
      <c r="F58" s="347">
        <f>ROUND(C58*'[55]Capacity Estimates'!$I$72,0)</f>
        <v>316601648</v>
      </c>
      <c r="G58" s="348">
        <f>SUM('[71]Total Sales incl BIR - Details'!$B$26:$B$31)*1000000</f>
        <v>8017000000</v>
      </c>
      <c r="H58" s="328">
        <f t="shared" ref="H58:I65" si="18">ROUND(E58/$G58,5)</f>
        <v>5.5280000000000003E-2</v>
      </c>
      <c r="I58" s="328">
        <f t="shared" si="18"/>
        <v>3.9489999999999997E-2</v>
      </c>
      <c r="O58" s="242"/>
      <c r="P58" s="243"/>
      <c r="Q58" s="243"/>
    </row>
    <row r="59" spans="1:20" ht="10.5" hidden="1" x14ac:dyDescent="0.25">
      <c r="A59" s="280" t="s">
        <v>396</v>
      </c>
      <c r="B59" s="346">
        <f>'[55]May - Oct Capacity MSC by Class'!$B$20</f>
        <v>4009646</v>
      </c>
      <c r="C59" s="346">
        <f>'[55]May - Oct Capacity MSC by Class'!$C$20</f>
        <v>4009646</v>
      </c>
      <c r="D59" s="346"/>
      <c r="E59" s="347">
        <f>ROUND(B59*'[55]Capacity Estimates'!$J$53,0)</f>
        <v>244387924</v>
      </c>
      <c r="F59" s="347">
        <f>ROUND(C59*'[55]Capacity Estimates'!$J$72,0)</f>
        <v>169648122</v>
      </c>
      <c r="G59" s="348">
        <f>SUM('[55]Adj Sales Forecast'!H6:M6)</f>
        <v>5862000000</v>
      </c>
      <c r="H59" s="328">
        <f t="shared" si="18"/>
        <v>4.1689999999999998E-2</v>
      </c>
      <c r="I59" s="328">
        <f t="shared" si="18"/>
        <v>2.894E-2</v>
      </c>
      <c r="O59" s="242"/>
      <c r="P59" s="243"/>
      <c r="Q59" s="243"/>
    </row>
    <row r="60" spans="1:20" ht="10.5" hidden="1" x14ac:dyDescent="0.25">
      <c r="A60" s="280" t="s">
        <v>397</v>
      </c>
      <c r="B60" s="346">
        <f>'[55]May - Oct Capacity MSC by Class'!$B$20</f>
        <v>4009646</v>
      </c>
      <c r="C60" s="346">
        <f>'[55]May - Oct Capacity MSC by Class'!$C$20</f>
        <v>4009646</v>
      </c>
      <c r="D60" s="346"/>
      <c r="E60" s="347">
        <f>ROUND(B60*'[55]Capacity Estimates'!$K$53,0)</f>
        <v>401165082</v>
      </c>
      <c r="F60" s="347">
        <f>ROUND(C60*'[55]Capacity Estimates'!$K$72,0)</f>
        <v>240779242</v>
      </c>
      <c r="G60" s="348">
        <f>SUM('[72]Final Sales including BIR'!$E$24:$E$29)*1000000</f>
        <v>7987000000</v>
      </c>
      <c r="H60" s="328">
        <f t="shared" si="18"/>
        <v>5.0229999999999997E-2</v>
      </c>
      <c r="I60" s="328">
        <f t="shared" si="18"/>
        <v>3.015E-2</v>
      </c>
      <c r="O60" s="242"/>
      <c r="P60" s="243"/>
      <c r="Q60" s="243"/>
    </row>
    <row r="61" spans="1:20" ht="10.5" hidden="1" x14ac:dyDescent="0.25">
      <c r="A61" s="280" t="s">
        <v>398</v>
      </c>
      <c r="B61" s="349">
        <f>'[55]May - Oct Capacity MSC by Class'!$B$20</f>
        <v>4009646</v>
      </c>
      <c r="C61" s="346">
        <f>'[55]May - Oct Capacity MSC by Class'!$C$20</f>
        <v>4009646</v>
      </c>
      <c r="D61" s="346"/>
      <c r="E61" s="347">
        <f>ROUND(B61*'[55]Capacity Estimates'!$L$53,0)</f>
        <v>191220018</v>
      </c>
      <c r="F61" s="347">
        <f>ROUND(C61*'[55]Capacity Estimates'!$L$72,0)</f>
        <v>112831438</v>
      </c>
      <c r="G61" s="348">
        <f>SUM('[73]Final Sales including BIR'!$E$18:$E$23)*1000000</f>
        <v>6332000000</v>
      </c>
      <c r="H61" s="328">
        <f t="shared" si="18"/>
        <v>3.0200000000000001E-2</v>
      </c>
      <c r="I61" s="328">
        <f t="shared" si="18"/>
        <v>1.7819999999999999E-2</v>
      </c>
      <c r="O61" s="242"/>
      <c r="P61" s="243"/>
      <c r="Q61" s="243"/>
    </row>
    <row r="62" spans="1:20" ht="10.5" hidden="1" x14ac:dyDescent="0.25">
      <c r="A62" s="280" t="s">
        <v>399</v>
      </c>
      <c r="B62" s="346">
        <f>'[55]May - Oct Capacity MSC by Class'!$B$20</f>
        <v>4009646</v>
      </c>
      <c r="C62" s="346">
        <f>'[55]May - Oct Capacity MSC by Class'!$C$20</f>
        <v>4009646</v>
      </c>
      <c r="D62" s="346"/>
      <c r="E62" s="347">
        <f>ROUND(B62*'[55]Capacity Estimates'!$M$53,0)</f>
        <v>319769269</v>
      </c>
      <c r="F62" s="347">
        <f>ROUND(C62*'[55]Capacity Estimates'!$M$72,0)</f>
        <v>253690302</v>
      </c>
      <c r="G62" s="348">
        <f>SUM('[73]Final Sales including BIR'!$E$24:$E$29)*1000000</f>
        <v>7861000000</v>
      </c>
      <c r="H62" s="328">
        <f t="shared" si="18"/>
        <v>4.0680000000000001E-2</v>
      </c>
      <c r="I62" s="328">
        <f t="shared" si="18"/>
        <v>3.227E-2</v>
      </c>
      <c r="O62" s="242"/>
      <c r="P62" s="243"/>
      <c r="Q62" s="243"/>
    </row>
    <row r="63" spans="1:20" ht="10.5" hidden="1" x14ac:dyDescent="0.25">
      <c r="A63" s="280" t="s">
        <v>400</v>
      </c>
      <c r="B63" s="346">
        <f>'[55]May - Oct Capacity MSC by Class'!$B$20</f>
        <v>4009646</v>
      </c>
      <c r="C63" s="346">
        <f>'[55]May - Oct Capacity MSC by Class'!$C$20</f>
        <v>4009646</v>
      </c>
      <c r="D63" s="346"/>
      <c r="E63" s="347">
        <f>ROUND(B63*'[55]Capacity Estimates'!$N$53,0)</f>
        <v>110465747</v>
      </c>
      <c r="F63" s="347">
        <f>ROUND(C63*'[55]Capacity Estimates'!$N$72,0)</f>
        <v>101845008</v>
      </c>
      <c r="G63" s="348">
        <f>SUM('[73]Final Sales including BIR'!$E$30:$E$35)*1000000</f>
        <v>6321000000</v>
      </c>
      <c r="H63" s="328">
        <f t="shared" si="18"/>
        <v>1.7479999999999999E-2</v>
      </c>
      <c r="I63" s="328">
        <f t="shared" si="18"/>
        <v>1.6109999999999999E-2</v>
      </c>
      <c r="O63" s="242"/>
      <c r="P63" s="243"/>
      <c r="Q63" s="243"/>
    </row>
    <row r="64" spans="1:20" ht="10.5" x14ac:dyDescent="0.25">
      <c r="A64" s="280" t="s">
        <v>401</v>
      </c>
      <c r="B64" s="349">
        <f>+'May - Oct Capacity MSC by Class'!B20</f>
        <v>5043620</v>
      </c>
      <c r="C64" s="349">
        <f>+'May - Oct Capacity MSC by Class'!C20</f>
        <v>5043620</v>
      </c>
      <c r="E64" s="350">
        <f>+B64*'Capacity Estimates'!U53</f>
        <v>560800107.79999995</v>
      </c>
      <c r="F64" s="350">
        <f>+C64*'Capacity Estimates'!U72</f>
        <v>120290337</v>
      </c>
      <c r="G64" s="351">
        <f>SUM('[60]Final Sales including BIR'!$E$24:$E$29)*1000000</f>
        <v>7756754244.1744137</v>
      </c>
      <c r="H64" s="328">
        <f t="shared" si="18"/>
        <v>7.2300000000000003E-2</v>
      </c>
      <c r="I64" s="328">
        <f t="shared" si="18"/>
        <v>1.5509999999999999E-2</v>
      </c>
      <c r="O64" s="242"/>
      <c r="P64" s="243"/>
      <c r="Q64" s="243"/>
    </row>
    <row r="65" spans="1:17" ht="10.5" x14ac:dyDescent="0.25">
      <c r="A65" s="280" t="s">
        <v>402</v>
      </c>
      <c r="B65" s="349">
        <f>+'Nov - Apr Capacity MSC by Class'!B20</f>
        <v>5043620</v>
      </c>
      <c r="C65" s="349">
        <f>+'Nov - Apr Capacity MSC by Class'!C20</f>
        <v>5043620</v>
      </c>
      <c r="E65" s="350">
        <f>+B65*'Capacity Estimates'!W53</f>
        <v>244968623.40000001</v>
      </c>
      <c r="F65" s="350">
        <f>+C65*'Capacity Estimates'!W72</f>
        <v>8422845.4000000004</v>
      </c>
      <c r="G65" s="351">
        <f>SUM('[60]Final Sales including BIR'!$E$30:$E$35)*1000000</f>
        <v>5790000000</v>
      </c>
      <c r="H65" s="328">
        <f t="shared" si="18"/>
        <v>4.231E-2</v>
      </c>
      <c r="I65" s="328">
        <f t="shared" si="18"/>
        <v>1.4499999999999999E-3</v>
      </c>
      <c r="O65" s="242"/>
      <c r="P65" s="243"/>
      <c r="Q65" s="243"/>
    </row>
    <row r="66" spans="1:17" ht="10.5" x14ac:dyDescent="0.25">
      <c r="A66" s="280" t="s">
        <v>495</v>
      </c>
      <c r="B66" s="349">
        <f>+B65</f>
        <v>5043620</v>
      </c>
      <c r="C66" s="349">
        <f>+C65</f>
        <v>5043620</v>
      </c>
      <c r="E66" s="350">
        <f>+B66*'Capacity Estimates'!X53</f>
        <v>201038693.19999999</v>
      </c>
      <c r="F66" s="350">
        <f>+C66*'Capacity Estimates'!X72</f>
        <v>186109578</v>
      </c>
      <c r="G66" s="351">
        <f>SUM('[60]Final Sales including BIR'!$E$36:$E$41)*1000000</f>
        <v>7197000000</v>
      </c>
      <c r="H66" s="328">
        <f t="shared" ref="H66" si="19">ROUND(E66/$G66,5)</f>
        <v>2.793E-2</v>
      </c>
      <c r="I66" s="328">
        <f t="shared" ref="I66" si="20">ROUND(F66/$G66,5)</f>
        <v>2.5860000000000001E-2</v>
      </c>
      <c r="J66" s="488" t="s">
        <v>496</v>
      </c>
      <c r="O66" s="242"/>
      <c r="P66" s="243"/>
      <c r="Q66" s="243"/>
    </row>
    <row r="67" spans="1:17" x14ac:dyDescent="0.2">
      <c r="O67" s="242"/>
      <c r="P67" s="243"/>
      <c r="Q67" s="243"/>
    </row>
    <row r="68" spans="1:17" x14ac:dyDescent="0.2">
      <c r="B68" s="8"/>
      <c r="C68" s="8"/>
      <c r="E68" s="483"/>
      <c r="F68" s="484"/>
      <c r="G68" s="485">
        <f>+'[60]SC 6 Sales in KWh'!$N$30</f>
        <v>0</v>
      </c>
      <c r="O68" s="242"/>
      <c r="P68" s="243"/>
      <c r="Q68" s="243"/>
    </row>
    <row r="69" spans="1:17" x14ac:dyDescent="0.2">
      <c r="O69" s="242"/>
      <c r="P69" s="243"/>
      <c r="Q69" s="243"/>
    </row>
    <row r="70" spans="1:17" x14ac:dyDescent="0.2">
      <c r="O70" s="242"/>
      <c r="P70" s="243"/>
      <c r="Q70" s="243"/>
    </row>
    <row r="71" spans="1:17" x14ac:dyDescent="0.2">
      <c r="O71" s="242"/>
      <c r="P71" s="243"/>
      <c r="Q71" s="243"/>
    </row>
    <row r="72" spans="1:17" x14ac:dyDescent="0.2">
      <c r="O72" s="242"/>
      <c r="P72" s="243"/>
      <c r="Q72" s="243"/>
    </row>
    <row r="73" spans="1:17" x14ac:dyDescent="0.2">
      <c r="O73" s="242"/>
      <c r="P73" s="243"/>
      <c r="Q73" s="243"/>
    </row>
    <row r="74" spans="1:17" x14ac:dyDescent="0.2">
      <c r="O74" s="242"/>
      <c r="P74" s="243"/>
      <c r="Q74" s="243"/>
    </row>
    <row r="75" spans="1:17" x14ac:dyDescent="0.2">
      <c r="O75" s="242"/>
      <c r="P75" s="243"/>
      <c r="Q75" s="243"/>
    </row>
    <row r="76" spans="1:17" x14ac:dyDescent="0.2">
      <c r="O76" s="242"/>
      <c r="P76" s="243"/>
      <c r="Q76" s="243"/>
    </row>
    <row r="77" spans="1:17" x14ac:dyDescent="0.2">
      <c r="O77" s="242"/>
      <c r="P77" s="243"/>
      <c r="Q77" s="243"/>
    </row>
    <row r="78" spans="1:17" x14ac:dyDescent="0.2">
      <c r="O78" s="242"/>
      <c r="P78" s="243"/>
      <c r="Q78" s="243"/>
    </row>
    <row r="79" spans="1:17" x14ac:dyDescent="0.2">
      <c r="O79" s="242"/>
      <c r="P79" s="243"/>
      <c r="Q79" s="243"/>
    </row>
    <row r="80" spans="1:17" x14ac:dyDescent="0.2">
      <c r="O80" s="242"/>
      <c r="P80" s="243"/>
      <c r="Q80" s="243"/>
    </row>
    <row r="81" spans="15:17" x14ac:dyDescent="0.2">
      <c r="O81" s="242"/>
      <c r="P81" s="243"/>
      <c r="Q81" s="243"/>
    </row>
    <row r="82" spans="15:17" x14ac:dyDescent="0.2">
      <c r="O82" s="242"/>
      <c r="P82" s="243"/>
      <c r="Q82" s="243"/>
    </row>
    <row r="83" spans="15:17" x14ac:dyDescent="0.2">
      <c r="O83" s="242"/>
      <c r="P83" s="243"/>
      <c r="Q83" s="243"/>
    </row>
    <row r="84" spans="15:17" x14ac:dyDescent="0.2">
      <c r="O84" s="242"/>
      <c r="P84" s="243"/>
      <c r="Q84" s="243"/>
    </row>
    <row r="85" spans="15:17" x14ac:dyDescent="0.2">
      <c r="O85" s="242"/>
      <c r="P85" s="243"/>
      <c r="Q85" s="243"/>
    </row>
    <row r="86" spans="15:17" x14ac:dyDescent="0.2">
      <c r="O86" s="242"/>
      <c r="P86" s="243"/>
      <c r="Q86" s="243"/>
    </row>
    <row r="87" spans="15:17" x14ac:dyDescent="0.2">
      <c r="O87" s="242"/>
      <c r="P87" s="243"/>
      <c r="Q87" s="243"/>
    </row>
    <row r="88" spans="15:17" x14ac:dyDescent="0.2">
      <c r="O88" s="242"/>
      <c r="P88" s="243"/>
      <c r="Q88" s="243"/>
    </row>
    <row r="89" spans="15:17" x14ac:dyDescent="0.2">
      <c r="O89" s="242"/>
      <c r="P89" s="243"/>
      <c r="Q89" s="243"/>
    </row>
    <row r="90" spans="15:17" x14ac:dyDescent="0.2">
      <c r="O90" s="242"/>
      <c r="P90" s="243"/>
      <c r="Q90" s="243"/>
    </row>
    <row r="91" spans="15:17" x14ac:dyDescent="0.2">
      <c r="O91" s="242"/>
      <c r="P91" s="243"/>
      <c r="Q91" s="243"/>
    </row>
    <row r="92" spans="15:17" x14ac:dyDescent="0.2">
      <c r="O92" s="242"/>
      <c r="P92" s="243"/>
      <c r="Q92" s="243"/>
    </row>
    <row r="93" spans="15:17" x14ac:dyDescent="0.2">
      <c r="O93" s="242"/>
      <c r="P93" s="243"/>
      <c r="Q93" s="243"/>
    </row>
    <row r="94" spans="15:17" x14ac:dyDescent="0.2">
      <c r="O94" s="242"/>
      <c r="P94" s="243"/>
      <c r="Q94" s="243"/>
    </row>
    <row r="95" spans="15:17" x14ac:dyDescent="0.2">
      <c r="O95" s="242"/>
      <c r="P95" s="243"/>
      <c r="Q95" s="243"/>
    </row>
    <row r="96" spans="15:17" x14ac:dyDescent="0.2">
      <c r="O96" s="242"/>
      <c r="P96" s="243"/>
      <c r="Q96" s="243"/>
    </row>
    <row r="97" spans="15:17" x14ac:dyDescent="0.2">
      <c r="O97" s="242"/>
      <c r="P97" s="243"/>
      <c r="Q97" s="243"/>
    </row>
    <row r="98" spans="15:17" x14ac:dyDescent="0.2">
      <c r="O98" s="242"/>
      <c r="P98" s="243"/>
      <c r="Q98" s="243"/>
    </row>
    <row r="99" spans="15:17" x14ac:dyDescent="0.2">
      <c r="O99" s="242"/>
      <c r="P99" s="243"/>
      <c r="Q99" s="243"/>
    </row>
    <row r="100" spans="15:17" x14ac:dyDescent="0.2">
      <c r="O100" s="242"/>
      <c r="P100" s="243"/>
      <c r="Q100" s="243"/>
    </row>
    <row r="101" spans="15:17" x14ac:dyDescent="0.2">
      <c r="O101" s="242"/>
      <c r="P101" s="243"/>
      <c r="Q101" s="243"/>
    </row>
    <row r="102" spans="15:17" x14ac:dyDescent="0.2">
      <c r="O102" s="242"/>
      <c r="P102" s="243"/>
      <c r="Q102" s="243"/>
    </row>
    <row r="103" spans="15:17" x14ac:dyDescent="0.2">
      <c r="O103" s="242"/>
      <c r="P103" s="243"/>
      <c r="Q103" s="243"/>
    </row>
    <row r="104" spans="15:17" x14ac:dyDescent="0.2">
      <c r="O104" s="242"/>
      <c r="P104" s="243"/>
      <c r="Q104" s="243"/>
    </row>
    <row r="105" spans="15:17" x14ac:dyDescent="0.2">
      <c r="O105" s="242"/>
      <c r="P105" s="243"/>
      <c r="Q105" s="243"/>
    </row>
    <row r="106" spans="15:17" x14ac:dyDescent="0.2">
      <c r="O106" s="242"/>
      <c r="P106" s="243"/>
      <c r="Q106" s="243"/>
    </row>
    <row r="107" spans="15:17" x14ac:dyDescent="0.2">
      <c r="O107" s="242"/>
      <c r="P107" s="243"/>
      <c r="Q107" s="243"/>
    </row>
    <row r="108" spans="15:17" x14ac:dyDescent="0.2">
      <c r="O108" s="242"/>
      <c r="P108" s="243"/>
      <c r="Q108" s="243"/>
    </row>
    <row r="109" spans="15:17" x14ac:dyDescent="0.2">
      <c r="O109" s="242"/>
      <c r="P109" s="243"/>
      <c r="Q109" s="243"/>
    </row>
    <row r="110" spans="15:17" x14ac:dyDescent="0.2">
      <c r="O110" s="242"/>
      <c r="P110" s="243"/>
      <c r="Q110" s="243"/>
    </row>
    <row r="111" spans="15:17" x14ac:dyDescent="0.2">
      <c r="O111" s="242"/>
      <c r="P111" s="243"/>
      <c r="Q111" s="243"/>
    </row>
    <row r="112" spans="15:17" x14ac:dyDescent="0.2">
      <c r="O112" s="242"/>
      <c r="P112" s="243"/>
      <c r="Q112" s="243"/>
    </row>
    <row r="113" spans="15:17" x14ac:dyDescent="0.2">
      <c r="O113" s="242"/>
      <c r="P113" s="243"/>
      <c r="Q113" s="243"/>
    </row>
    <row r="114" spans="15:17" x14ac:dyDescent="0.2">
      <c r="O114" s="242"/>
      <c r="P114" s="243"/>
      <c r="Q114" s="243"/>
    </row>
    <row r="115" spans="15:17" x14ac:dyDescent="0.2">
      <c r="O115" s="242"/>
      <c r="P115" s="243"/>
      <c r="Q115" s="243"/>
    </row>
    <row r="116" spans="15:17" x14ac:dyDescent="0.2">
      <c r="O116" s="242"/>
      <c r="P116" s="243"/>
      <c r="Q116" s="243"/>
    </row>
    <row r="117" spans="15:17" x14ac:dyDescent="0.2">
      <c r="O117" s="242"/>
      <c r="P117" s="243"/>
      <c r="Q117" s="243"/>
    </row>
    <row r="118" spans="15:17" x14ac:dyDescent="0.2">
      <c r="O118" s="242"/>
      <c r="P118" s="243"/>
      <c r="Q118" s="243"/>
    </row>
    <row r="119" spans="15:17" x14ac:dyDescent="0.2">
      <c r="O119" s="242"/>
      <c r="P119" s="243"/>
      <c r="Q119" s="243"/>
    </row>
    <row r="120" spans="15:17" x14ac:dyDescent="0.2">
      <c r="O120" s="242"/>
      <c r="P120" s="243"/>
      <c r="Q120" s="243"/>
    </row>
    <row r="121" spans="15:17" x14ac:dyDescent="0.2">
      <c r="O121" s="242"/>
      <c r="P121" s="243"/>
      <c r="Q121" s="243"/>
    </row>
    <row r="122" spans="15:17" x14ac:dyDescent="0.2">
      <c r="O122" s="242"/>
      <c r="P122" s="243"/>
      <c r="Q122" s="243"/>
    </row>
    <row r="123" spans="15:17" x14ac:dyDescent="0.2">
      <c r="O123" s="242"/>
      <c r="P123" s="243"/>
      <c r="Q123" s="243"/>
    </row>
    <row r="124" spans="15:17" x14ac:dyDescent="0.2">
      <c r="O124" s="242"/>
      <c r="P124" s="243"/>
      <c r="Q124" s="243"/>
    </row>
    <row r="125" spans="15:17" x14ac:dyDescent="0.2">
      <c r="O125" s="242"/>
      <c r="P125" s="243"/>
      <c r="Q125" s="243"/>
    </row>
    <row r="126" spans="15:17" x14ac:dyDescent="0.2">
      <c r="O126" s="242"/>
      <c r="P126" s="243"/>
      <c r="Q126" s="243"/>
    </row>
    <row r="127" spans="15:17" x14ac:dyDescent="0.2">
      <c r="O127" s="242"/>
      <c r="P127" s="243"/>
      <c r="Q127" s="243"/>
    </row>
    <row r="128" spans="15:17" x14ac:dyDescent="0.2">
      <c r="O128" s="242"/>
      <c r="P128" s="243"/>
      <c r="Q128" s="243"/>
    </row>
    <row r="129" spans="15:17" x14ac:dyDescent="0.2">
      <c r="O129" s="242"/>
      <c r="P129" s="243"/>
      <c r="Q129" s="243"/>
    </row>
    <row r="130" spans="15:17" x14ac:dyDescent="0.2">
      <c r="O130" s="242"/>
      <c r="P130" s="243"/>
      <c r="Q130" s="243"/>
    </row>
    <row r="131" spans="15:17" x14ac:dyDescent="0.2">
      <c r="O131" s="242"/>
      <c r="P131" s="243"/>
      <c r="Q131" s="243"/>
    </row>
    <row r="132" spans="15:17" x14ac:dyDescent="0.2">
      <c r="O132" s="242"/>
      <c r="P132" s="243"/>
      <c r="Q132" s="243"/>
    </row>
    <row r="133" spans="15:17" x14ac:dyDescent="0.2">
      <c r="O133" s="242"/>
      <c r="P133" s="243"/>
      <c r="Q133" s="243"/>
    </row>
    <row r="134" spans="15:17" x14ac:dyDescent="0.2">
      <c r="O134" s="242"/>
      <c r="P134" s="243"/>
      <c r="Q134" s="243"/>
    </row>
    <row r="135" spans="15:17" x14ac:dyDescent="0.2">
      <c r="O135" s="242"/>
      <c r="P135" s="243"/>
      <c r="Q135" s="243"/>
    </row>
    <row r="136" spans="15:17" x14ac:dyDescent="0.2">
      <c r="O136" s="242"/>
      <c r="P136" s="243"/>
      <c r="Q136" s="243"/>
    </row>
    <row r="137" spans="15:17" x14ac:dyDescent="0.2">
      <c r="O137" s="242"/>
      <c r="P137" s="243"/>
      <c r="Q137" s="243"/>
    </row>
    <row r="138" spans="15:17" x14ac:dyDescent="0.2">
      <c r="O138" s="242"/>
      <c r="P138" s="243"/>
      <c r="Q138" s="243"/>
    </row>
    <row r="139" spans="15:17" x14ac:dyDescent="0.2">
      <c r="O139" s="242"/>
      <c r="P139" s="243"/>
      <c r="Q139" s="243"/>
    </row>
    <row r="140" spans="15:17" x14ac:dyDescent="0.2">
      <c r="O140" s="242"/>
      <c r="P140" s="243"/>
      <c r="Q140" s="243"/>
    </row>
    <row r="141" spans="15:17" x14ac:dyDescent="0.2">
      <c r="O141" s="242"/>
      <c r="P141" s="243"/>
      <c r="Q141" s="243"/>
    </row>
    <row r="142" spans="15:17" x14ac:dyDescent="0.2">
      <c r="O142" s="242"/>
      <c r="P142" s="243"/>
      <c r="Q142" s="243"/>
    </row>
    <row r="143" spans="15:17" x14ac:dyDescent="0.2">
      <c r="O143" s="242"/>
      <c r="P143" s="243"/>
      <c r="Q143" s="243"/>
    </row>
    <row r="144" spans="15:17" x14ac:dyDescent="0.2">
      <c r="O144" s="242"/>
      <c r="P144" s="243"/>
      <c r="Q144" s="243"/>
    </row>
    <row r="145" spans="15:17" x14ac:dyDescent="0.2">
      <c r="O145" s="242"/>
      <c r="P145" s="243"/>
      <c r="Q145" s="243"/>
    </row>
    <row r="146" spans="15:17" x14ac:dyDescent="0.2">
      <c r="O146" s="242"/>
      <c r="P146" s="243"/>
      <c r="Q146" s="243"/>
    </row>
    <row r="147" spans="15:17" x14ac:dyDescent="0.2">
      <c r="O147" s="242"/>
      <c r="P147" s="243"/>
      <c r="Q147" s="243"/>
    </row>
    <row r="148" spans="15:17" x14ac:dyDescent="0.2">
      <c r="O148" s="242"/>
      <c r="P148" s="243"/>
      <c r="Q148" s="243"/>
    </row>
    <row r="149" spans="15:17" x14ac:dyDescent="0.2">
      <c r="O149" s="242"/>
      <c r="P149" s="243"/>
      <c r="Q149" s="243"/>
    </row>
    <row r="150" spans="15:17" x14ac:dyDescent="0.2">
      <c r="O150" s="242"/>
      <c r="P150" s="243"/>
      <c r="Q150" s="243"/>
    </row>
    <row r="151" spans="15:17" x14ac:dyDescent="0.2">
      <c r="O151" s="242"/>
      <c r="P151" s="243"/>
      <c r="Q151" s="243"/>
    </row>
    <row r="152" spans="15:17" x14ac:dyDescent="0.2">
      <c r="O152" s="242"/>
      <c r="P152" s="243"/>
      <c r="Q152" s="243"/>
    </row>
    <row r="153" spans="15:17" x14ac:dyDescent="0.2">
      <c r="O153" s="242"/>
      <c r="P153" s="243"/>
      <c r="Q153" s="243"/>
    </row>
    <row r="154" spans="15:17" x14ac:dyDescent="0.2">
      <c r="O154" s="242"/>
      <c r="P154" s="243"/>
      <c r="Q154" s="243"/>
    </row>
    <row r="155" spans="15:17" x14ac:dyDescent="0.2">
      <c r="O155" s="242"/>
      <c r="P155" s="243"/>
      <c r="Q155" s="243"/>
    </row>
    <row r="156" spans="15:17" x14ac:dyDescent="0.2">
      <c r="O156" s="242"/>
      <c r="P156" s="243"/>
      <c r="Q156" s="243"/>
    </row>
    <row r="157" spans="15:17" x14ac:dyDescent="0.2">
      <c r="O157" s="242"/>
      <c r="P157" s="243"/>
      <c r="Q157" s="243"/>
    </row>
    <row r="158" spans="15:17" x14ac:dyDescent="0.2">
      <c r="O158" s="242"/>
      <c r="P158" s="243"/>
      <c r="Q158" s="243"/>
    </row>
    <row r="159" spans="15:17" x14ac:dyDescent="0.2">
      <c r="O159" s="242"/>
      <c r="P159" s="243"/>
      <c r="Q159" s="243"/>
    </row>
    <row r="160" spans="15:17" x14ac:dyDescent="0.2">
      <c r="O160" s="242"/>
      <c r="P160" s="243"/>
      <c r="Q160" s="243"/>
    </row>
    <row r="161" spans="15:17" x14ac:dyDescent="0.2">
      <c r="O161" s="242"/>
      <c r="P161" s="243"/>
      <c r="Q161" s="243"/>
    </row>
    <row r="162" spans="15:17" x14ac:dyDescent="0.2">
      <c r="O162" s="242"/>
      <c r="P162" s="243"/>
      <c r="Q162" s="243"/>
    </row>
    <row r="163" spans="15:17" x14ac:dyDescent="0.2">
      <c r="O163" s="242"/>
      <c r="P163" s="243"/>
    </row>
    <row r="164" spans="15:17" x14ac:dyDescent="0.2">
      <c r="O164" s="242"/>
      <c r="P164" s="243"/>
    </row>
    <row r="165" spans="15:17" x14ac:dyDescent="0.2">
      <c r="O165" s="242"/>
      <c r="P165" s="243"/>
    </row>
    <row r="166" spans="15:17" x14ac:dyDescent="0.2">
      <c r="O166" s="242"/>
      <c r="P166" s="243"/>
    </row>
    <row r="167" spans="15:17" x14ac:dyDescent="0.2">
      <c r="O167" s="242"/>
      <c r="P167" s="243"/>
    </row>
    <row r="168" spans="15:17" x14ac:dyDescent="0.2">
      <c r="O168" s="242"/>
      <c r="P168" s="243"/>
    </row>
    <row r="169" spans="15:17" x14ac:dyDescent="0.2">
      <c r="O169" s="242"/>
      <c r="P169" s="243"/>
    </row>
    <row r="170" spans="15:17" x14ac:dyDescent="0.2">
      <c r="O170" s="242"/>
      <c r="P170" s="243"/>
    </row>
    <row r="171" spans="15:17" x14ac:dyDescent="0.2">
      <c r="O171" s="242"/>
      <c r="P171" s="243"/>
    </row>
    <row r="172" spans="15:17" x14ac:dyDescent="0.2">
      <c r="O172" s="242"/>
      <c r="P172" s="243"/>
    </row>
    <row r="173" spans="15:17" x14ac:dyDescent="0.2">
      <c r="O173" s="242"/>
      <c r="P173" s="243"/>
    </row>
    <row r="174" spans="15:17" x14ac:dyDescent="0.2">
      <c r="O174" s="242"/>
      <c r="P174" s="243"/>
    </row>
    <row r="175" spans="15:17" x14ac:dyDescent="0.2">
      <c r="O175" s="242"/>
      <c r="P175" s="243"/>
    </row>
    <row r="176" spans="15:17" x14ac:dyDescent="0.2">
      <c r="O176" s="242"/>
      <c r="P176" s="243"/>
    </row>
    <row r="177" spans="15:16" x14ac:dyDescent="0.2">
      <c r="O177" s="242"/>
      <c r="P177" s="243"/>
    </row>
    <row r="178" spans="15:16" x14ac:dyDescent="0.2">
      <c r="O178" s="242"/>
      <c r="P178" s="243"/>
    </row>
    <row r="179" spans="15:16" x14ac:dyDescent="0.2">
      <c r="O179" s="242"/>
      <c r="P179" s="243"/>
    </row>
    <row r="180" spans="15:16" x14ac:dyDescent="0.2">
      <c r="O180" s="242"/>
      <c r="P180" s="243"/>
    </row>
    <row r="181" spans="15:16" x14ac:dyDescent="0.2">
      <c r="O181" s="242"/>
      <c r="P181" s="243"/>
    </row>
    <row r="182" spans="15:16" x14ac:dyDescent="0.2">
      <c r="O182" s="242"/>
      <c r="P182" s="243"/>
    </row>
    <row r="183" spans="15:16" x14ac:dyDescent="0.2">
      <c r="O183" s="242"/>
      <c r="P183" s="243"/>
    </row>
    <row r="184" spans="15:16" x14ac:dyDescent="0.2">
      <c r="O184" s="242"/>
      <c r="P184" s="243"/>
    </row>
    <row r="185" spans="15:16" x14ac:dyDescent="0.2">
      <c r="O185" s="242"/>
      <c r="P185" s="243"/>
    </row>
    <row r="186" spans="15:16" x14ac:dyDescent="0.2">
      <c r="O186" s="242"/>
      <c r="P186" s="243"/>
    </row>
    <row r="187" spans="15:16" x14ac:dyDescent="0.2">
      <c r="O187" s="242"/>
      <c r="P187" s="243"/>
    </row>
    <row r="188" spans="15:16" x14ac:dyDescent="0.2">
      <c r="O188" s="242"/>
      <c r="P188" s="243"/>
    </row>
    <row r="189" spans="15:16" x14ac:dyDescent="0.2">
      <c r="O189" s="242"/>
      <c r="P189" s="243"/>
    </row>
    <row r="190" spans="15:16" x14ac:dyDescent="0.2">
      <c r="O190" s="242"/>
      <c r="P190" s="243"/>
    </row>
    <row r="191" spans="15:16" x14ac:dyDescent="0.2">
      <c r="O191" s="242"/>
      <c r="P191" s="243"/>
    </row>
    <row r="192" spans="15:16" x14ac:dyDescent="0.2">
      <c r="O192" s="242"/>
      <c r="P192" s="243"/>
    </row>
    <row r="193" spans="15:16" x14ac:dyDescent="0.2">
      <c r="O193" s="242"/>
      <c r="P193" s="243"/>
    </row>
    <row r="194" spans="15:16" x14ac:dyDescent="0.2">
      <c r="O194" s="242"/>
      <c r="P194" s="243"/>
    </row>
    <row r="195" spans="15:16" x14ac:dyDescent="0.2">
      <c r="O195" s="242"/>
      <c r="P195" s="243"/>
    </row>
    <row r="196" spans="15:16" x14ac:dyDescent="0.2">
      <c r="O196" s="242"/>
      <c r="P196" s="243"/>
    </row>
    <row r="197" spans="15:16" x14ac:dyDescent="0.2">
      <c r="O197" s="242"/>
      <c r="P197" s="243"/>
    </row>
    <row r="198" spans="15:16" x14ac:dyDescent="0.2">
      <c r="O198" s="242"/>
      <c r="P198" s="243"/>
    </row>
    <row r="199" spans="15:16" x14ac:dyDescent="0.2">
      <c r="O199" s="242"/>
      <c r="P199" s="243"/>
    </row>
    <row r="200" spans="15:16" x14ac:dyDescent="0.2">
      <c r="O200" s="242"/>
      <c r="P200" s="243"/>
    </row>
    <row r="201" spans="15:16" x14ac:dyDescent="0.2">
      <c r="O201" s="242"/>
      <c r="P201" s="243"/>
    </row>
    <row r="202" spans="15:16" x14ac:dyDescent="0.2">
      <c r="O202" s="242"/>
      <c r="P202" s="243"/>
    </row>
    <row r="203" spans="15:16" x14ac:dyDescent="0.2">
      <c r="O203" s="242"/>
      <c r="P203" s="243"/>
    </row>
    <row r="204" spans="15:16" x14ac:dyDescent="0.2">
      <c r="O204" s="242"/>
      <c r="P204" s="243"/>
    </row>
    <row r="205" spans="15:16" x14ac:dyDescent="0.2">
      <c r="O205" s="242"/>
      <c r="P205" s="243"/>
    </row>
    <row r="206" spans="15:16" x14ac:dyDescent="0.2">
      <c r="O206" s="242"/>
      <c r="P206" s="243"/>
    </row>
    <row r="207" spans="15:16" x14ac:dyDescent="0.2">
      <c r="O207" s="242"/>
      <c r="P207" s="243"/>
    </row>
    <row r="208" spans="15:16" x14ac:dyDescent="0.2">
      <c r="O208" s="242"/>
      <c r="P208" s="243"/>
    </row>
    <row r="209" spans="15:16" x14ac:dyDescent="0.2">
      <c r="O209" s="242"/>
      <c r="P209" s="243"/>
    </row>
    <row r="210" spans="15:16" x14ac:dyDescent="0.2">
      <c r="O210" s="242"/>
      <c r="P210" s="243"/>
    </row>
    <row r="211" spans="15:16" x14ac:dyDescent="0.2">
      <c r="O211" s="242"/>
      <c r="P211" s="243"/>
    </row>
    <row r="212" spans="15:16" x14ac:dyDescent="0.2">
      <c r="O212" s="242"/>
      <c r="P212" s="243"/>
    </row>
    <row r="213" spans="15:16" x14ac:dyDescent="0.2">
      <c r="O213" s="242"/>
      <c r="P213" s="243"/>
    </row>
    <row r="214" spans="15:16" x14ac:dyDescent="0.2">
      <c r="O214" s="242"/>
      <c r="P214" s="243"/>
    </row>
    <row r="215" spans="15:16" x14ac:dyDescent="0.2">
      <c r="O215" s="242"/>
      <c r="P215" s="243"/>
    </row>
    <row r="216" spans="15:16" x14ac:dyDescent="0.2">
      <c r="O216" s="242"/>
      <c r="P216" s="243"/>
    </row>
    <row r="217" spans="15:16" x14ac:dyDescent="0.2">
      <c r="O217" s="242"/>
      <c r="P217" s="243"/>
    </row>
    <row r="218" spans="15:16" x14ac:dyDescent="0.2">
      <c r="O218" s="242"/>
      <c r="P218" s="243"/>
    </row>
    <row r="219" spans="15:16" x14ac:dyDescent="0.2">
      <c r="O219" s="242"/>
      <c r="P219" s="243"/>
    </row>
    <row r="220" spans="15:16" x14ac:dyDescent="0.2">
      <c r="O220" s="242"/>
      <c r="P220" s="243"/>
    </row>
    <row r="221" spans="15:16" x14ac:dyDescent="0.2">
      <c r="O221" s="242"/>
      <c r="P221" s="243"/>
    </row>
    <row r="222" spans="15:16" x14ac:dyDescent="0.2">
      <c r="O222" s="242"/>
      <c r="P222" s="243"/>
    </row>
    <row r="223" spans="15:16" x14ac:dyDescent="0.2">
      <c r="O223" s="242"/>
      <c r="P223" s="243"/>
    </row>
    <row r="224" spans="15:16" x14ac:dyDescent="0.2">
      <c r="O224" s="242"/>
      <c r="P224" s="243"/>
    </row>
  </sheetData>
  <mergeCells count="8">
    <mergeCell ref="I8:J8"/>
    <mergeCell ref="A2:H2"/>
    <mergeCell ref="A3:H3"/>
    <mergeCell ref="A4:E4"/>
    <mergeCell ref="G5:H5"/>
    <mergeCell ref="B6:C6"/>
    <mergeCell ref="E6:F6"/>
    <mergeCell ref="G6:H6"/>
  </mergeCells>
  <conditionalFormatting sqref="Q11:Q28 Q32:Q50">
    <cfRule type="cellIs" dxfId="0" priority="1" operator="equal">
      <formula>0</formula>
    </cfRule>
  </conditionalFormatting>
  <hyperlinks>
    <hyperlink ref="I8:J8" r:id="rId1" display="Source" xr:uid="{00000000-0004-0000-1000-000000000000}"/>
  </hyperlinks>
  <pageMargins left="0.75" right="0.5" top="0.5" bottom="0.5" header="0" footer="0"/>
  <pageSetup paperSize="5" scale="70" orientation="landscape" r:id="rId2"/>
  <headerFooter alignWithMargins="0">
    <oddFooter>&amp;L&amp;Z&amp;F&amp;A</oddFooter>
  </headerFooter>
  <legacy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21">
    <tabColor indexed="29"/>
  </sheetPr>
  <dimension ref="B3:H34"/>
  <sheetViews>
    <sheetView zoomScaleNormal="100" workbookViewId="0">
      <selection activeCell="R21" sqref="R21"/>
    </sheetView>
  </sheetViews>
  <sheetFormatPr defaultColWidth="9.1796875" defaultRowHeight="12.5" x14ac:dyDescent="0.25"/>
  <cols>
    <col min="1" max="3" width="9.1796875" style="234"/>
    <col min="4" max="4" width="14.81640625" style="234" customWidth="1"/>
    <col min="5" max="5" width="4.7265625" style="234" customWidth="1"/>
    <col min="6" max="6" width="11.1796875" style="234" bestFit="1" customWidth="1"/>
    <col min="7" max="16384" width="9.1796875" style="234"/>
  </cols>
  <sheetData>
    <row r="3" spans="2:8" x14ac:dyDescent="0.25">
      <c r="D3" s="352"/>
    </row>
    <row r="6" spans="2:8" x14ac:dyDescent="0.25">
      <c r="D6" s="235"/>
      <c r="E6" s="255" t="s">
        <v>373</v>
      </c>
      <c r="F6" s="235"/>
      <c r="H6" s="241"/>
    </row>
    <row r="7" spans="2:8" x14ac:dyDescent="0.25">
      <c r="B7" s="353" t="s">
        <v>367</v>
      </c>
      <c r="C7" s="235"/>
      <c r="D7" s="353" t="s">
        <v>283</v>
      </c>
      <c r="F7" s="295" t="s">
        <v>260</v>
      </c>
      <c r="H7" s="241"/>
    </row>
    <row r="8" spans="2:8" x14ac:dyDescent="0.25">
      <c r="B8" s="231"/>
      <c r="C8" s="235"/>
      <c r="D8" s="231"/>
      <c r="H8" s="241"/>
    </row>
    <row r="9" spans="2:8" x14ac:dyDescent="0.25">
      <c r="B9" s="295">
        <f>'MSC - Energy SC1'!A11</f>
        <v>43952</v>
      </c>
      <c r="C9" s="235"/>
      <c r="D9" s="354">
        <f>'MSC - Energy SC1'!O11</f>
        <v>39760</v>
      </c>
      <c r="F9" s="329">
        <f>'MSC - Energy SC1'!O32</f>
        <v>37561</v>
      </c>
      <c r="H9" s="329"/>
    </row>
    <row r="10" spans="2:8" x14ac:dyDescent="0.25">
      <c r="B10" s="295">
        <f>'MSC - Energy SC1'!A12</f>
        <v>43983</v>
      </c>
      <c r="C10" s="235"/>
      <c r="D10" s="354">
        <f>'MSC - Energy SC1'!O12</f>
        <v>37742</v>
      </c>
      <c r="F10" s="329">
        <f>'MSC - Energy SC1'!O33</f>
        <v>37561</v>
      </c>
      <c r="H10" s="329"/>
    </row>
    <row r="11" spans="2:8" x14ac:dyDescent="0.25">
      <c r="B11" s="295">
        <f>'MSC - Energy SC1'!A13</f>
        <v>44013</v>
      </c>
      <c r="C11" s="235"/>
      <c r="D11" s="354">
        <f>'MSC - Energy SC1'!O13</f>
        <v>38443</v>
      </c>
      <c r="F11" s="329">
        <f>'MSC - Energy SC1'!O34</f>
        <v>37561</v>
      </c>
      <c r="H11" s="329"/>
    </row>
    <row r="12" spans="2:8" x14ac:dyDescent="0.25">
      <c r="B12" s="295">
        <f>'MSC - Energy SC1'!A14</f>
        <v>44044</v>
      </c>
      <c r="C12" s="235"/>
      <c r="D12" s="354">
        <f>'MSC - Energy SC1'!O14</f>
        <v>37773</v>
      </c>
      <c r="F12" s="329">
        <f>'MSC - Energy SC1'!O35</f>
        <v>37561</v>
      </c>
      <c r="H12" s="329"/>
    </row>
    <row r="13" spans="2:8" x14ac:dyDescent="0.25">
      <c r="B13" s="295">
        <f>'MSC - Energy SC1'!A15</f>
        <v>44075</v>
      </c>
      <c r="C13" s="235"/>
      <c r="D13" s="354">
        <f>'MSC - Energy SC1'!O15</f>
        <v>38292</v>
      </c>
      <c r="F13" s="329">
        <f>'MSC - Energy SC1'!O36</f>
        <v>37561</v>
      </c>
      <c r="H13" s="329"/>
    </row>
    <row r="14" spans="2:8" x14ac:dyDescent="0.25">
      <c r="B14" s="295">
        <f>'MSC - Energy SC1'!A16</f>
        <v>44105</v>
      </c>
      <c r="C14" s="235"/>
      <c r="D14" s="354">
        <f>'MSC - Energy SC1'!O16</f>
        <v>38292</v>
      </c>
      <c r="F14" s="329">
        <f>'MSC - Energy SC1'!O37</f>
        <v>37561</v>
      </c>
      <c r="G14" s="355"/>
      <c r="H14" s="329"/>
    </row>
    <row r="15" spans="2:8" x14ac:dyDescent="0.25">
      <c r="B15" s="295">
        <f>'MSC - Energy SC1'!A17</f>
        <v>44136</v>
      </c>
      <c r="C15" s="235"/>
      <c r="D15" s="354">
        <f>'MSC - Energy SC1'!O17</f>
        <v>36951</v>
      </c>
      <c r="F15" s="329">
        <f>'MSC - Energy SC1'!O38</f>
        <v>36800</v>
      </c>
      <c r="H15" s="329"/>
    </row>
    <row r="16" spans="2:8" x14ac:dyDescent="0.25">
      <c r="B16" s="295">
        <f>'MSC - Energy SC1'!A18</f>
        <v>44166</v>
      </c>
      <c r="C16" s="235"/>
      <c r="D16" s="354">
        <f>'MSC - Energy SC1'!O18</f>
        <v>40155</v>
      </c>
      <c r="F16" s="329">
        <f>'MSC - Energy SC1'!O39</f>
        <v>37561</v>
      </c>
      <c r="H16" s="329"/>
    </row>
    <row r="17" spans="2:8" x14ac:dyDescent="0.25">
      <c r="B17" s="295">
        <f>'MSC - Energy SC1'!A19</f>
        <v>44197</v>
      </c>
      <c r="C17" s="235"/>
      <c r="D17" s="354">
        <f>'MSC - Energy SC1'!O19</f>
        <v>37043</v>
      </c>
      <c r="F17" s="329">
        <f>'MSC - Energy SC1'!O40</f>
        <v>36831</v>
      </c>
      <c r="H17" s="329"/>
    </row>
    <row r="18" spans="2:8" x14ac:dyDescent="0.25">
      <c r="B18" s="295">
        <f>'MSC - Energy SC1'!A20</f>
        <v>44228</v>
      </c>
      <c r="C18" s="235"/>
      <c r="D18" s="354">
        <f>'MSC - Energy SC1'!O20</f>
        <v>38322</v>
      </c>
      <c r="F18" s="329">
        <f>'MSC - Energy SC1'!O41</f>
        <v>36951</v>
      </c>
      <c r="H18" s="329"/>
    </row>
    <row r="19" spans="2:8" x14ac:dyDescent="0.25">
      <c r="B19" s="295">
        <f>'MSC - Energy SC1'!A21</f>
        <v>44256</v>
      </c>
      <c r="C19" s="235"/>
      <c r="D19" s="354">
        <f>'MSC - Energy SC1'!O21</f>
        <v>40033</v>
      </c>
      <c r="F19" s="329">
        <f>'MSC - Energy SC1'!O42</f>
        <v>37561</v>
      </c>
      <c r="H19" s="329"/>
    </row>
    <row r="20" spans="2:8" x14ac:dyDescent="0.25">
      <c r="B20" s="295">
        <f>'MSC - Energy SC1'!A22</f>
        <v>44287</v>
      </c>
      <c r="C20" s="235"/>
      <c r="D20" s="354">
        <f>'MSC - Energy SC1'!O22</f>
        <v>37316</v>
      </c>
      <c r="F20" s="329">
        <f>'MSC - Energy SC1'!O43</f>
        <v>36800</v>
      </c>
      <c r="H20" s="329"/>
    </row>
    <row r="21" spans="2:8" x14ac:dyDescent="0.25">
      <c r="B21" s="295">
        <f>'MSC - Energy SC1'!A23</f>
        <v>44317</v>
      </c>
      <c r="C21" s="235"/>
      <c r="D21" s="354">
        <f>'MSC - Energy SC1'!O23</f>
        <v>36800</v>
      </c>
      <c r="F21" s="329">
        <f>'MSC - Energy SC1'!O44</f>
        <v>37347</v>
      </c>
      <c r="H21" s="329"/>
    </row>
    <row r="22" spans="2:8" x14ac:dyDescent="0.25">
      <c r="B22" s="295">
        <f>'MSC - Energy SC1'!A24</f>
        <v>44348</v>
      </c>
      <c r="C22" s="235"/>
      <c r="D22" s="354">
        <f>'MSC - Energy SC1'!O24</f>
        <v>36800</v>
      </c>
      <c r="F22" s="329">
        <f>'MSC - Energy SC1'!O45</f>
        <v>37347</v>
      </c>
      <c r="G22" s="352"/>
      <c r="H22" s="329"/>
    </row>
    <row r="23" spans="2:8" x14ac:dyDescent="0.25">
      <c r="B23" s="295">
        <f>'MSC - Energy SC1'!A25</f>
        <v>44378</v>
      </c>
      <c r="C23" s="235"/>
      <c r="D23" s="354">
        <f>'MSC - Energy SC1'!O25</f>
        <v>37226</v>
      </c>
      <c r="F23" s="329">
        <f>'MSC - Energy SC1'!O46</f>
        <v>36923</v>
      </c>
      <c r="H23" s="329"/>
    </row>
    <row r="24" spans="2:8" x14ac:dyDescent="0.25">
      <c r="B24" s="295">
        <f>'MSC - Energy SC1'!A26</f>
        <v>44409</v>
      </c>
      <c r="C24" s="235"/>
      <c r="D24" s="354">
        <f>'MSC - Energy SC1'!O26</f>
        <v>37226</v>
      </c>
      <c r="F24" s="329">
        <f>'MSC - Energy SC1'!O47</f>
        <v>37926</v>
      </c>
      <c r="G24" s="355"/>
      <c r="H24" s="329"/>
    </row>
    <row r="25" spans="2:8" x14ac:dyDescent="0.25">
      <c r="B25" s="295">
        <f>'MSC - Energy SC1'!A27</f>
        <v>44440</v>
      </c>
      <c r="C25" s="235"/>
      <c r="D25" s="354">
        <f>'MSC - Energy SC1'!O27</f>
        <v>36800</v>
      </c>
      <c r="F25" s="329">
        <f>'MSC - Energy SC1'!O48</f>
        <v>37347</v>
      </c>
      <c r="H25" s="329"/>
    </row>
    <row r="26" spans="2:8" x14ac:dyDescent="0.25">
      <c r="B26" s="295">
        <f>'MSC - Energy SC1'!A28</f>
        <v>44470</v>
      </c>
      <c r="C26" s="235"/>
      <c r="D26" s="354">
        <f>'MSC - Energy SC1'!O28</f>
        <v>36800</v>
      </c>
      <c r="F26" s="329">
        <f>'MSC - Energy SC1'!O49</f>
        <v>36678</v>
      </c>
      <c r="G26" s="352"/>
      <c r="H26" s="329"/>
    </row>
    <row r="27" spans="2:8" x14ac:dyDescent="0.25">
      <c r="D27" s="241"/>
      <c r="F27" s="329"/>
      <c r="H27" s="241"/>
    </row>
    <row r="28" spans="2:8" x14ac:dyDescent="0.25">
      <c r="H28" s="241"/>
    </row>
    <row r="29" spans="2:8" x14ac:dyDescent="0.25">
      <c r="H29" s="241"/>
    </row>
    <row r="30" spans="2:8" x14ac:dyDescent="0.25">
      <c r="H30" s="241"/>
    </row>
    <row r="31" spans="2:8" x14ac:dyDescent="0.25">
      <c r="H31" s="241"/>
    </row>
    <row r="32" spans="2:8" x14ac:dyDescent="0.25">
      <c r="H32" s="241"/>
    </row>
    <row r="33" spans="8:8" x14ac:dyDescent="0.25">
      <c r="H33" s="241"/>
    </row>
    <row r="34" spans="8:8" x14ac:dyDescent="0.25">
      <c r="H34" s="241"/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2">
    <tabColor indexed="44"/>
    <pageSetUpPr fitToPage="1"/>
  </sheetPr>
  <dimension ref="A1:N61"/>
  <sheetViews>
    <sheetView zoomScaleNormal="100" workbookViewId="0">
      <selection sqref="A1:C1"/>
    </sheetView>
  </sheetViews>
  <sheetFormatPr defaultColWidth="9.1796875" defaultRowHeight="12.5" x14ac:dyDescent="0.25"/>
  <cols>
    <col min="1" max="1" width="75.1796875" style="234" customWidth="1"/>
    <col min="2" max="2" width="8.7265625" style="234" customWidth="1"/>
    <col min="3" max="3" width="10.1796875" style="234" customWidth="1"/>
    <col min="4" max="4" width="13.453125" style="234" bestFit="1" customWidth="1"/>
    <col min="5" max="6" width="12.26953125" style="234" bestFit="1" customWidth="1"/>
    <col min="7" max="7" width="9.1796875" style="234"/>
    <col min="8" max="8" width="9.26953125" style="234" bestFit="1" customWidth="1"/>
    <col min="9" max="10" width="9.81640625" style="234" bestFit="1" customWidth="1"/>
    <col min="11" max="11" width="9.1796875" style="234"/>
    <col min="12" max="12" width="13" style="234" bestFit="1" customWidth="1"/>
    <col min="13" max="13" width="9.1796875" style="234"/>
    <col min="14" max="14" width="14.453125" style="234" bestFit="1" customWidth="1"/>
    <col min="15" max="16384" width="9.1796875" style="234"/>
  </cols>
  <sheetData>
    <row r="1" spans="1:14" ht="13" x14ac:dyDescent="0.3">
      <c r="A1" s="804" t="s">
        <v>416</v>
      </c>
      <c r="B1" s="804"/>
      <c r="C1" s="804"/>
    </row>
    <row r="2" spans="1:14" x14ac:dyDescent="0.25">
      <c r="A2" s="384"/>
      <c r="B2" s="384"/>
      <c r="C2" s="384"/>
    </row>
    <row r="3" spans="1:14" ht="13" x14ac:dyDescent="0.3">
      <c r="C3" s="385" t="s">
        <v>207</v>
      </c>
      <c r="D3" s="386"/>
    </row>
    <row r="4" spans="1:14" ht="13" x14ac:dyDescent="0.3">
      <c r="A4" s="387"/>
      <c r="C4" s="388" t="s">
        <v>209</v>
      </c>
      <c r="D4" s="388" t="s">
        <v>210</v>
      </c>
    </row>
    <row r="6" spans="1:14" x14ac:dyDescent="0.25">
      <c r="A6" s="234" t="s">
        <v>417</v>
      </c>
      <c r="C6" s="234" t="s">
        <v>212</v>
      </c>
      <c r="D6" s="384">
        <v>2</v>
      </c>
    </row>
    <row r="7" spans="1:14" hidden="1" x14ac:dyDescent="0.25">
      <c r="A7" s="234" t="s">
        <v>211</v>
      </c>
      <c r="C7" s="234" t="s">
        <v>214</v>
      </c>
      <c r="D7" s="384">
        <v>3</v>
      </c>
    </row>
    <row r="8" spans="1:14" hidden="1" x14ac:dyDescent="0.25">
      <c r="A8" s="234" t="s">
        <v>418</v>
      </c>
      <c r="C8" s="234" t="s">
        <v>216</v>
      </c>
      <c r="D8" s="384">
        <v>4</v>
      </c>
    </row>
    <row r="9" spans="1:14" hidden="1" x14ac:dyDescent="0.25">
      <c r="A9" s="234" t="s">
        <v>419</v>
      </c>
      <c r="C9" s="234" t="s">
        <v>420</v>
      </c>
      <c r="D9" s="384">
        <v>5</v>
      </c>
    </row>
    <row r="10" spans="1:14" hidden="1" x14ac:dyDescent="0.25">
      <c r="A10" s="234" t="s">
        <v>421</v>
      </c>
      <c r="C10" s="234" t="s">
        <v>422</v>
      </c>
      <c r="D10" s="384">
        <v>6</v>
      </c>
    </row>
    <row r="11" spans="1:14" hidden="1" x14ac:dyDescent="0.25">
      <c r="A11" s="234" t="s">
        <v>423</v>
      </c>
      <c r="C11" s="234" t="s">
        <v>424</v>
      </c>
      <c r="D11" s="384">
        <v>7</v>
      </c>
    </row>
    <row r="12" spans="1:14" hidden="1" x14ac:dyDescent="0.25">
      <c r="A12" s="234" t="s">
        <v>425</v>
      </c>
      <c r="B12" s="234">
        <f>'[74]A-1'!$B$13</f>
        <v>26376840</v>
      </c>
      <c r="C12" s="234">
        <f>'[74]A-1'!$B$12</f>
        <v>416666.66666666669</v>
      </c>
      <c r="D12" s="384">
        <f>'[74]A-2'!$I$8*1000</f>
        <v>19390372.933483332</v>
      </c>
      <c r="E12" s="234">
        <f>'[74]A-1'!$B$11</f>
        <v>6546906.2726133764</v>
      </c>
      <c r="F12" s="234">
        <f>'[74]A-5'!$B$28</f>
        <v>2751882.28</v>
      </c>
      <c r="H12" s="234" t="e">
        <f>VLOOKUP($A$4,'[74]A-6(old7)'!$A$63:$D$74,4,FALSE)</f>
        <v>#N/A</v>
      </c>
      <c r="I12" s="234">
        <f>-ROUND('[74]A-7 (old 8)'!$Q$21,4)*1000000</f>
        <v>2742000</v>
      </c>
      <c r="J12" s="234">
        <f>'[74]A-4 (3)'!$L$16</f>
        <v>49016.74</v>
      </c>
      <c r="L12" s="389">
        <f>'[74]A-3'!$R$25</f>
        <v>20352895.259914592</v>
      </c>
      <c r="N12" s="390">
        <f>'[55]Adj Sales Forecast'!E48</f>
        <v>4561636989</v>
      </c>
    </row>
    <row r="13" spans="1:14" hidden="1" x14ac:dyDescent="0.25">
      <c r="C13" s="234" t="s">
        <v>426</v>
      </c>
      <c r="D13" s="384">
        <v>9</v>
      </c>
    </row>
    <row r="14" spans="1:14" x14ac:dyDescent="0.25">
      <c r="D14" s="384"/>
      <c r="E14" s="384"/>
    </row>
    <row r="15" spans="1:14" ht="13" hidden="1" x14ac:dyDescent="0.3">
      <c r="A15" s="391" t="s">
        <v>427</v>
      </c>
      <c r="D15" s="384"/>
      <c r="E15" s="384"/>
    </row>
    <row r="16" spans="1:14" hidden="1" x14ac:dyDescent="0.25">
      <c r="D16" s="384"/>
      <c r="E16" s="384"/>
    </row>
    <row r="17" spans="1:5" hidden="1" x14ac:dyDescent="0.25">
      <c r="A17" s="392" t="s">
        <v>428</v>
      </c>
      <c r="C17" s="234" t="s">
        <v>214</v>
      </c>
      <c r="D17" s="384">
        <v>3</v>
      </c>
      <c r="E17" s="384"/>
    </row>
    <row r="18" spans="1:5" ht="12.75" hidden="1" customHeight="1" x14ac:dyDescent="0.25">
      <c r="A18" s="234" t="s">
        <v>429</v>
      </c>
      <c r="C18" s="234" t="s">
        <v>216</v>
      </c>
      <c r="D18" s="384">
        <v>3</v>
      </c>
      <c r="E18" s="384"/>
    </row>
    <row r="19" spans="1:5" ht="12.75" hidden="1" customHeight="1" x14ac:dyDescent="0.25">
      <c r="A19" s="393" t="s">
        <v>430</v>
      </c>
      <c r="C19" s="234" t="s">
        <v>420</v>
      </c>
      <c r="D19" s="384">
        <v>3</v>
      </c>
      <c r="E19" s="384"/>
    </row>
    <row r="20" spans="1:5" ht="12.75" hidden="1" customHeight="1" x14ac:dyDescent="0.25">
      <c r="A20" s="234" t="s">
        <v>429</v>
      </c>
      <c r="C20" s="234" t="s">
        <v>422</v>
      </c>
      <c r="D20" s="384">
        <v>3</v>
      </c>
      <c r="E20" s="384"/>
    </row>
    <row r="21" spans="1:5" ht="12.75" hidden="1" customHeight="1" x14ac:dyDescent="0.25">
      <c r="A21" s="234" t="s">
        <v>431</v>
      </c>
      <c r="C21" s="234" t="s">
        <v>424</v>
      </c>
      <c r="D21" s="384">
        <v>3</v>
      </c>
      <c r="E21" s="384"/>
    </row>
    <row r="22" spans="1:5" ht="12.75" hidden="1" customHeight="1" x14ac:dyDescent="0.25">
      <c r="A22" s="234" t="s">
        <v>432</v>
      </c>
      <c r="C22" s="234" t="s">
        <v>216</v>
      </c>
      <c r="D22" s="384">
        <v>4</v>
      </c>
      <c r="E22" s="384"/>
    </row>
    <row r="23" spans="1:5" ht="12.75" hidden="1" customHeight="1" x14ac:dyDescent="0.25">
      <c r="A23" s="234" t="s">
        <v>433</v>
      </c>
      <c r="C23" s="234" t="s">
        <v>420</v>
      </c>
      <c r="D23" s="384">
        <v>5</v>
      </c>
      <c r="E23" s="384"/>
    </row>
    <row r="24" spans="1:5" hidden="1" x14ac:dyDescent="0.25">
      <c r="A24" s="234" t="s">
        <v>434</v>
      </c>
      <c r="C24" s="234" t="s">
        <v>216</v>
      </c>
      <c r="D24" s="384">
        <v>4</v>
      </c>
      <c r="E24" s="384"/>
    </row>
    <row r="25" spans="1:5" hidden="1" x14ac:dyDescent="0.25">
      <c r="A25" s="234" t="s">
        <v>435</v>
      </c>
      <c r="C25" s="234" t="s">
        <v>420</v>
      </c>
      <c r="D25" s="384">
        <v>5</v>
      </c>
      <c r="E25" s="384"/>
    </row>
    <row r="26" spans="1:5" hidden="1" x14ac:dyDescent="0.25">
      <c r="A26" s="234" t="s">
        <v>436</v>
      </c>
      <c r="C26" s="234" t="s">
        <v>422</v>
      </c>
      <c r="D26" s="384">
        <v>6</v>
      </c>
      <c r="E26" s="384"/>
    </row>
    <row r="27" spans="1:5" hidden="1" x14ac:dyDescent="0.25">
      <c r="A27" s="234" t="s">
        <v>437</v>
      </c>
      <c r="C27" s="234" t="s">
        <v>424</v>
      </c>
      <c r="D27" s="384">
        <v>7</v>
      </c>
      <c r="E27" s="384"/>
    </row>
    <row r="28" spans="1:5" hidden="1" x14ac:dyDescent="0.25">
      <c r="A28" s="234" t="s">
        <v>438</v>
      </c>
      <c r="C28" s="234" t="s">
        <v>439</v>
      </c>
      <c r="D28" s="384">
        <v>8</v>
      </c>
      <c r="E28" s="384"/>
    </row>
    <row r="29" spans="1:5" hidden="1" x14ac:dyDescent="0.25">
      <c r="A29" s="234" t="s">
        <v>440</v>
      </c>
      <c r="C29" s="234" t="s">
        <v>426</v>
      </c>
      <c r="D29" s="384">
        <v>9</v>
      </c>
      <c r="E29" s="384"/>
    </row>
    <row r="30" spans="1:5" hidden="1" x14ac:dyDescent="0.25">
      <c r="A30" s="234" t="s">
        <v>441</v>
      </c>
      <c r="C30" s="234" t="s">
        <v>442</v>
      </c>
      <c r="D30" s="384">
        <v>10</v>
      </c>
      <c r="E30" s="384"/>
    </row>
    <row r="31" spans="1:5" hidden="1" x14ac:dyDescent="0.25">
      <c r="A31" s="234" t="s">
        <v>443</v>
      </c>
      <c r="C31" s="234" t="s">
        <v>444</v>
      </c>
      <c r="D31" s="384">
        <v>11</v>
      </c>
      <c r="E31" s="384"/>
    </row>
    <row r="32" spans="1:5" hidden="1" x14ac:dyDescent="0.25">
      <c r="A32" s="234" t="s">
        <v>445</v>
      </c>
      <c r="C32" s="234" t="s">
        <v>446</v>
      </c>
      <c r="D32" s="384">
        <v>12</v>
      </c>
      <c r="E32" s="384"/>
    </row>
    <row r="33" spans="1:5" hidden="1" x14ac:dyDescent="0.25">
      <c r="D33" s="384"/>
      <c r="E33" s="384"/>
    </row>
    <row r="34" spans="1:5" ht="13" x14ac:dyDescent="0.3">
      <c r="A34" s="394" t="s">
        <v>217</v>
      </c>
      <c r="B34" s="384"/>
      <c r="C34" s="384"/>
      <c r="D34" s="384"/>
      <c r="E34" s="384"/>
    </row>
    <row r="35" spans="1:5" hidden="1" x14ac:dyDescent="0.25">
      <c r="A35" s="384"/>
      <c r="B35" s="384"/>
      <c r="C35" s="384"/>
      <c r="D35" s="384"/>
      <c r="E35" s="384"/>
    </row>
    <row r="36" spans="1:5" x14ac:dyDescent="0.25">
      <c r="D36" s="384"/>
      <c r="E36" s="384"/>
    </row>
    <row r="37" spans="1:5" hidden="1" x14ac:dyDescent="0.25">
      <c r="A37" s="234" t="s">
        <v>447</v>
      </c>
      <c r="C37" s="234" t="s">
        <v>219</v>
      </c>
      <c r="D37" s="384">
        <v>22</v>
      </c>
      <c r="E37" s="384"/>
    </row>
    <row r="38" spans="1:5" hidden="1" x14ac:dyDescent="0.25">
      <c r="A38" s="234" t="s">
        <v>448</v>
      </c>
      <c r="C38" s="234" t="s">
        <v>221</v>
      </c>
      <c r="D38" s="384">
        <v>23</v>
      </c>
      <c r="E38" s="384"/>
    </row>
    <row r="39" spans="1:5" x14ac:dyDescent="0.25">
      <c r="A39" s="234" t="s">
        <v>449</v>
      </c>
      <c r="C39" s="234" t="s">
        <v>219</v>
      </c>
      <c r="D39" s="384">
        <v>3</v>
      </c>
      <c r="E39" s="384"/>
    </row>
    <row r="40" spans="1:5" x14ac:dyDescent="0.25">
      <c r="A40" s="234" t="s">
        <v>450</v>
      </c>
      <c r="C40" s="234" t="s">
        <v>221</v>
      </c>
      <c r="D40" s="384">
        <v>4</v>
      </c>
      <c r="E40" s="384"/>
    </row>
    <row r="41" spans="1:5" x14ac:dyDescent="0.25">
      <c r="A41" s="234" t="s">
        <v>451</v>
      </c>
      <c r="C41" s="234" t="s">
        <v>223</v>
      </c>
      <c r="D41" s="384">
        <v>5</v>
      </c>
      <c r="E41" s="384"/>
    </row>
    <row r="42" spans="1:5" x14ac:dyDescent="0.25">
      <c r="A42" s="234" t="s">
        <v>452</v>
      </c>
      <c r="C42" s="234" t="s">
        <v>225</v>
      </c>
      <c r="D42" s="384">
        <v>6</v>
      </c>
      <c r="E42" s="384"/>
    </row>
    <row r="43" spans="1:5" hidden="1" x14ac:dyDescent="0.25">
      <c r="A43" s="234" t="s">
        <v>453</v>
      </c>
      <c r="C43" s="234" t="s">
        <v>454</v>
      </c>
      <c r="D43" s="384"/>
    </row>
    <row r="44" spans="1:5" hidden="1" x14ac:dyDescent="0.25">
      <c r="A44" s="234" t="s">
        <v>455</v>
      </c>
      <c r="C44" s="234" t="s">
        <v>454</v>
      </c>
      <c r="D44" s="384">
        <v>7</v>
      </c>
    </row>
    <row r="45" spans="1:5" x14ac:dyDescent="0.25">
      <c r="A45" s="234" t="s">
        <v>456</v>
      </c>
      <c r="C45" s="234" t="s">
        <v>457</v>
      </c>
      <c r="D45" s="384">
        <v>7</v>
      </c>
    </row>
    <row r="46" spans="1:5" x14ac:dyDescent="0.25">
      <c r="A46" s="234" t="s">
        <v>458</v>
      </c>
      <c r="C46" s="234" t="s">
        <v>459</v>
      </c>
      <c r="D46" s="384">
        <v>8</v>
      </c>
    </row>
    <row r="47" spans="1:5" x14ac:dyDescent="0.25">
      <c r="D47" s="384"/>
    </row>
    <row r="48" spans="1:5" x14ac:dyDescent="0.25">
      <c r="D48" s="384"/>
    </row>
    <row r="49" spans="4:4" x14ac:dyDescent="0.25">
      <c r="D49" s="384"/>
    </row>
    <row r="50" spans="4:4" x14ac:dyDescent="0.25">
      <c r="D50" s="384"/>
    </row>
    <row r="51" spans="4:4" x14ac:dyDescent="0.25">
      <c r="D51" s="384"/>
    </row>
    <row r="52" spans="4:4" x14ac:dyDescent="0.25">
      <c r="D52" s="384"/>
    </row>
    <row r="53" spans="4:4" x14ac:dyDescent="0.25">
      <c r="D53" s="384"/>
    </row>
    <row r="54" spans="4:4" x14ac:dyDescent="0.25">
      <c r="D54" s="384"/>
    </row>
    <row r="55" spans="4:4" x14ac:dyDescent="0.25">
      <c r="D55" s="384"/>
    </row>
    <row r="56" spans="4:4" x14ac:dyDescent="0.25">
      <c r="D56" s="384"/>
    </row>
    <row r="57" spans="4:4" x14ac:dyDescent="0.25">
      <c r="D57" s="384"/>
    </row>
    <row r="58" spans="4:4" x14ac:dyDescent="0.25">
      <c r="D58" s="384"/>
    </row>
    <row r="59" spans="4:4" x14ac:dyDescent="0.25">
      <c r="D59" s="384"/>
    </row>
    <row r="60" spans="4:4" x14ac:dyDescent="0.25">
      <c r="D60" s="384"/>
    </row>
    <row r="61" spans="4:4" x14ac:dyDescent="0.25">
      <c r="D61" s="384"/>
    </row>
  </sheetData>
  <mergeCells count="1">
    <mergeCell ref="A1:C1"/>
  </mergeCells>
  <pageMargins left="0.75" right="0.75" top="1" bottom="1" header="0.5" footer="0.5"/>
  <pageSetup scale="84" orientation="portrait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3">
    <tabColor indexed="44"/>
  </sheetPr>
  <dimension ref="A1:XFA126"/>
  <sheetViews>
    <sheetView zoomScaleNormal="100" zoomScaleSheetLayoutView="100" workbookViewId="0">
      <pane xSplit="1" ySplit="33" topLeftCell="F114" activePane="bottomRight" state="frozen"/>
      <selection activeCell="A47" sqref="A47"/>
      <selection pane="topRight" activeCell="A47" sqref="A47"/>
      <selection pane="bottomLeft" activeCell="A47" sqref="A47"/>
      <selection pane="bottomRight" activeCell="P126" sqref="P126"/>
    </sheetView>
  </sheetViews>
  <sheetFormatPr defaultColWidth="9.1796875" defaultRowHeight="12.5" x14ac:dyDescent="0.25"/>
  <cols>
    <col min="1" max="1" width="17" style="417" customWidth="1"/>
    <col min="2" max="2" width="15.81640625" style="417" customWidth="1"/>
    <col min="3" max="3" width="13.1796875" style="417" customWidth="1"/>
    <col min="4" max="4" width="14.1796875" style="417" customWidth="1"/>
    <col min="5" max="5" width="13.54296875" style="417" customWidth="1"/>
    <col min="6" max="11" width="13.26953125" style="417" customWidth="1"/>
    <col min="12" max="12" width="20.1796875" style="417" customWidth="1"/>
    <col min="13" max="13" width="14.26953125" style="417" bestFit="1" customWidth="1"/>
    <col min="14" max="14" width="15.26953125" style="417" bestFit="1" customWidth="1"/>
    <col min="15" max="15" width="15" style="417" customWidth="1"/>
    <col min="16" max="16" width="12.7265625" style="417" customWidth="1"/>
    <col min="17" max="17" width="10.1796875" style="417" customWidth="1"/>
    <col min="18" max="16384" width="9.1796875" style="417"/>
  </cols>
  <sheetData>
    <row r="1" spans="1:16" ht="13" x14ac:dyDescent="0.3">
      <c r="A1" s="805" t="s">
        <v>212</v>
      </c>
      <c r="B1" s="805"/>
      <c r="C1" s="805"/>
      <c r="D1" s="805"/>
      <c r="E1" s="805"/>
      <c r="F1" s="805"/>
      <c r="G1" s="805"/>
      <c r="H1" s="805"/>
      <c r="I1" s="805"/>
      <c r="J1" s="805"/>
      <c r="K1" s="805"/>
      <c r="L1" s="805"/>
      <c r="M1" s="805"/>
      <c r="N1" s="805"/>
      <c r="O1" s="806"/>
      <c r="P1" s="806"/>
    </row>
    <row r="3" spans="1:16" ht="13" x14ac:dyDescent="0.3">
      <c r="A3" s="807" t="s">
        <v>417</v>
      </c>
      <c r="B3" s="807"/>
      <c r="C3" s="807"/>
      <c r="D3" s="807"/>
      <c r="E3" s="807"/>
      <c r="F3" s="807"/>
      <c r="G3" s="807"/>
      <c r="H3" s="807"/>
      <c r="I3" s="807"/>
      <c r="J3" s="807"/>
      <c r="K3" s="807"/>
      <c r="L3" s="807"/>
      <c r="M3" s="807"/>
      <c r="N3" s="807"/>
      <c r="O3" s="806"/>
      <c r="P3" s="806"/>
    </row>
    <row r="4" spans="1:16" ht="13" x14ac:dyDescent="0.3">
      <c r="A4" s="808">
        <v>44075</v>
      </c>
      <c r="B4" s="808"/>
      <c r="C4" s="808"/>
      <c r="D4" s="808"/>
      <c r="E4" s="808"/>
      <c r="F4" s="808"/>
      <c r="G4" s="808"/>
      <c r="H4" s="808"/>
      <c r="I4" s="808"/>
      <c r="J4" s="808"/>
      <c r="K4" s="808"/>
      <c r="L4" s="808"/>
      <c r="M4" s="808"/>
      <c r="N4" s="808"/>
      <c r="O4" s="806"/>
      <c r="P4" s="806"/>
    </row>
    <row r="5" spans="1:16" x14ac:dyDescent="0.25">
      <c r="A5" s="418"/>
      <c r="B5" s="396"/>
      <c r="C5" s="396"/>
      <c r="D5" s="396"/>
    </row>
    <row r="6" spans="1:16" ht="13" x14ac:dyDescent="0.3">
      <c r="A6" s="418"/>
      <c r="B6" s="397"/>
      <c r="C6" s="397"/>
      <c r="D6" s="397"/>
      <c r="E6" s="419"/>
      <c r="F6" s="419"/>
      <c r="G6" s="419"/>
      <c r="H6" s="419"/>
      <c r="I6" s="419"/>
      <c r="J6" s="419"/>
      <c r="K6" s="419"/>
    </row>
    <row r="7" spans="1:16" ht="33" customHeight="1" x14ac:dyDescent="0.3">
      <c r="E7" s="420"/>
      <c r="F7" s="420"/>
      <c r="G7" s="420"/>
      <c r="H7" s="420"/>
      <c r="I7" s="420"/>
      <c r="J7" s="420"/>
      <c r="K7" s="420"/>
      <c r="L7" s="421"/>
      <c r="M7" s="422"/>
      <c r="N7" s="422"/>
    </row>
    <row r="8" spans="1:16" ht="52" x14ac:dyDescent="0.3">
      <c r="A8" s="423" t="s">
        <v>367</v>
      </c>
      <c r="B8" s="423" t="s">
        <v>460</v>
      </c>
      <c r="C8" s="423" t="s">
        <v>461</v>
      </c>
      <c r="D8" s="423" t="s">
        <v>462</v>
      </c>
      <c r="E8" s="424" t="s">
        <v>463</v>
      </c>
      <c r="F8" s="423" t="s">
        <v>478</v>
      </c>
      <c r="G8" s="423" t="s">
        <v>465</v>
      </c>
      <c r="H8" s="423" t="s">
        <v>466</v>
      </c>
      <c r="I8" s="423" t="s">
        <v>467</v>
      </c>
      <c r="J8" s="400" t="s">
        <v>468</v>
      </c>
      <c r="K8" s="400" t="s">
        <v>469</v>
      </c>
      <c r="L8" s="423" t="s">
        <v>470</v>
      </c>
      <c r="M8" s="423" t="s">
        <v>471</v>
      </c>
      <c r="N8" s="423" t="s">
        <v>472</v>
      </c>
      <c r="O8" s="425" t="s">
        <v>473</v>
      </c>
      <c r="P8" s="425" t="s">
        <v>474</v>
      </c>
    </row>
    <row r="9" spans="1:16" ht="24" hidden="1" customHeight="1" x14ac:dyDescent="0.3">
      <c r="A9" s="426"/>
      <c r="B9" s="427"/>
      <c r="C9" s="427"/>
      <c r="D9" s="427"/>
      <c r="E9" s="427"/>
      <c r="F9" s="427"/>
      <c r="G9" s="427"/>
      <c r="H9" s="427"/>
      <c r="I9" s="427"/>
      <c r="J9" s="427"/>
      <c r="K9" s="427"/>
      <c r="L9" s="428"/>
      <c r="M9" s="429"/>
      <c r="N9" s="430"/>
      <c r="P9" s="431"/>
    </row>
    <row r="10" spans="1:16" hidden="1" x14ac:dyDescent="0.25">
      <c r="A10" s="432">
        <v>40909</v>
      </c>
      <c r="B10" s="433">
        <v>16558129.999999998</v>
      </c>
      <c r="C10" s="433">
        <v>541667</v>
      </c>
      <c r="D10" s="396">
        <v>39205157.484156877</v>
      </c>
      <c r="E10" s="433">
        <v>5685714.2953008357</v>
      </c>
      <c r="F10" s="434">
        <v>1062212.1630404762</v>
      </c>
      <c r="G10" s="434">
        <v>999920</v>
      </c>
      <c r="I10" s="435"/>
      <c r="J10" s="435"/>
      <c r="K10" s="435"/>
      <c r="L10" s="396">
        <v>64052800.942498185</v>
      </c>
      <c r="M10" s="436">
        <v>-3234663.7045448255</v>
      </c>
      <c r="N10" s="437">
        <v>67287464.647043005</v>
      </c>
      <c r="O10" s="438">
        <v>3829325879.333333</v>
      </c>
      <c r="P10" s="413">
        <v>1.7569999999999999E-2</v>
      </c>
    </row>
    <row r="11" spans="1:16" hidden="1" x14ac:dyDescent="0.25">
      <c r="A11" s="432">
        <v>40940</v>
      </c>
      <c r="B11" s="439">
        <v>16558129.999999998</v>
      </c>
      <c r="C11" s="439">
        <v>541667</v>
      </c>
      <c r="D11" s="440">
        <v>40432762.763791919</v>
      </c>
      <c r="E11" s="439">
        <v>5670858.5010082405</v>
      </c>
      <c r="F11" s="441">
        <v>1131949.1977406782</v>
      </c>
      <c r="G11" s="441">
        <v>962799</v>
      </c>
      <c r="H11" s="435"/>
      <c r="I11" s="435"/>
      <c r="J11" s="435"/>
      <c r="K11" s="435"/>
      <c r="L11" s="440">
        <v>65298166.462540843</v>
      </c>
      <c r="M11" s="442">
        <v>-5622726.3395366166</v>
      </c>
      <c r="N11" s="443">
        <v>70920892.802077457</v>
      </c>
      <c r="O11" s="444">
        <v>3718704779.333333</v>
      </c>
      <c r="P11" s="445">
        <v>1.907E-2</v>
      </c>
    </row>
    <row r="12" spans="1:16" hidden="1" x14ac:dyDescent="0.25">
      <c r="A12" s="432">
        <f>+A4</f>
        <v>44075</v>
      </c>
      <c r="B12" s="439">
        <v>16558129.999999998</v>
      </c>
      <c r="C12" s="439">
        <v>541667</v>
      </c>
      <c r="D12" s="440">
        <v>41430295.551719069</v>
      </c>
      <c r="E12" s="439">
        <v>5656002.7067156443</v>
      </c>
      <c r="F12" s="441">
        <v>1190231.0678326306</v>
      </c>
      <c r="G12" s="441">
        <v>935248</v>
      </c>
      <c r="I12" s="435"/>
      <c r="J12" s="435"/>
      <c r="K12" s="435"/>
      <c r="L12" s="440">
        <v>66311574.326267347</v>
      </c>
      <c r="M12" s="442">
        <v>-18894291.083382152</v>
      </c>
      <c r="N12" s="443">
        <v>85205865.409649491</v>
      </c>
      <c r="O12" s="444">
        <v>3601628379.333333</v>
      </c>
      <c r="P12" s="445">
        <v>2.366E-2</v>
      </c>
    </row>
    <row r="13" spans="1:16" hidden="1" x14ac:dyDescent="0.25">
      <c r="A13" s="432">
        <v>41000</v>
      </c>
      <c r="B13" s="439">
        <v>16558129.999999998</v>
      </c>
      <c r="C13" s="439">
        <v>541667</v>
      </c>
      <c r="D13" s="440">
        <v>41035875.808239833</v>
      </c>
      <c r="E13" s="439">
        <v>5641146.912423051</v>
      </c>
      <c r="F13" s="441">
        <v>1115231.0678326306</v>
      </c>
      <c r="G13" s="441">
        <v>1047990</v>
      </c>
      <c r="H13" s="435"/>
      <c r="I13" s="435"/>
      <c r="J13" s="435"/>
      <c r="K13" s="435"/>
      <c r="L13" s="440">
        <v>65940040.788495518</v>
      </c>
      <c r="M13" s="442">
        <v>-20220354.19850789</v>
      </c>
      <c r="N13" s="443">
        <v>86160394.987003416</v>
      </c>
      <c r="O13" s="444">
        <v>3329358079.333333</v>
      </c>
      <c r="P13" s="445">
        <v>2.588E-2</v>
      </c>
    </row>
    <row r="14" spans="1:16" hidden="1" x14ac:dyDescent="0.25">
      <c r="A14" s="432">
        <v>41030</v>
      </c>
      <c r="B14" s="446">
        <v>16558129.999999998</v>
      </c>
      <c r="C14" s="446">
        <v>541667</v>
      </c>
      <c r="D14" s="440">
        <v>40963255.390996918</v>
      </c>
      <c r="E14" s="446">
        <v>5626291.1181304548</v>
      </c>
      <c r="F14" s="446">
        <v>1242946.0678326306</v>
      </c>
      <c r="G14" s="446">
        <v>1052283</v>
      </c>
      <c r="L14" s="440">
        <v>65984572.576960005</v>
      </c>
      <c r="M14" s="447">
        <v>10895986.663877705</v>
      </c>
      <c r="N14" s="443">
        <v>55088585.913082302</v>
      </c>
      <c r="O14" s="448">
        <v>3305901090</v>
      </c>
      <c r="P14" s="445">
        <v>1.6660000000000001E-2</v>
      </c>
    </row>
    <row r="15" spans="1:16" hidden="1" x14ac:dyDescent="0.25">
      <c r="A15" s="432">
        <v>41061</v>
      </c>
      <c r="B15" s="446">
        <v>23980739.999999996</v>
      </c>
      <c r="C15" s="446">
        <v>541667</v>
      </c>
      <c r="D15" s="440">
        <v>43497490.861966453</v>
      </c>
      <c r="E15" s="446">
        <v>5609441.7174023855</v>
      </c>
      <c r="F15" s="446">
        <v>1975158.0230826305</v>
      </c>
      <c r="G15" s="446">
        <v>1229767</v>
      </c>
      <c r="L15" s="440">
        <v>76834264.602451459</v>
      </c>
      <c r="M15" s="447">
        <v>17546112.752816901</v>
      </c>
      <c r="N15" s="443">
        <v>59288151.849634558</v>
      </c>
      <c r="O15" s="448">
        <v>3870901090</v>
      </c>
      <c r="P15" s="445">
        <v>1.532E-2</v>
      </c>
    </row>
    <row r="16" spans="1:16" hidden="1" x14ac:dyDescent="0.25">
      <c r="A16" s="432">
        <v>41091</v>
      </c>
      <c r="B16" s="446">
        <v>23980739.999999996</v>
      </c>
      <c r="C16" s="446">
        <v>541667</v>
      </c>
      <c r="D16" s="440">
        <v>43442046.830977574</v>
      </c>
      <c r="E16" s="446">
        <v>5936821.6945329299</v>
      </c>
      <c r="F16" s="446">
        <v>1834891.3564159637</v>
      </c>
      <c r="G16" s="446">
        <v>1463579</v>
      </c>
      <c r="H16" s="446">
        <v>3354680</v>
      </c>
      <c r="L16" s="440">
        <v>80554425.881926462</v>
      </c>
      <c r="M16" s="447">
        <v>21448807.126047358</v>
      </c>
      <c r="N16" s="443">
        <v>59105618.755879104</v>
      </c>
      <c r="O16" s="448">
        <v>4550901090</v>
      </c>
      <c r="P16" s="445">
        <v>1.299E-2</v>
      </c>
    </row>
    <row r="17" spans="1:16" hidden="1" x14ac:dyDescent="0.25">
      <c r="A17" s="432">
        <v>41122</v>
      </c>
      <c r="B17" s="446">
        <v>23980739.999999996</v>
      </c>
      <c r="C17" s="446">
        <v>541667</v>
      </c>
      <c r="D17" s="440">
        <v>43422202.706229433</v>
      </c>
      <c r="E17" s="446">
        <v>5921965.9002403347</v>
      </c>
      <c r="F17" s="446">
        <v>2031823.3697147933</v>
      </c>
      <c r="G17" s="446">
        <v>1524943</v>
      </c>
      <c r="H17" s="446">
        <v>3500635</v>
      </c>
      <c r="L17" s="440">
        <v>80923976.976184562</v>
      </c>
      <c r="M17" s="447">
        <v>26953946.272905953</v>
      </c>
      <c r="N17" s="443">
        <v>53970030.703278609</v>
      </c>
      <c r="O17" s="448">
        <v>4748901090</v>
      </c>
      <c r="P17" s="445">
        <v>1.136E-2</v>
      </c>
    </row>
    <row r="18" spans="1:16" hidden="1" x14ac:dyDescent="0.25">
      <c r="A18" s="432">
        <v>41153</v>
      </c>
      <c r="B18" s="446">
        <v>23980739.999999996</v>
      </c>
      <c r="C18" s="446">
        <v>541666</v>
      </c>
      <c r="D18" s="440">
        <v>41571175.222962096</v>
      </c>
      <c r="E18" s="446">
        <v>5907110.1059477394</v>
      </c>
      <c r="F18" s="446">
        <v>2002708.3697147933</v>
      </c>
      <c r="G18" s="446">
        <v>1435257</v>
      </c>
      <c r="H18" s="446">
        <v>3295708</v>
      </c>
      <c r="L18" s="440">
        <v>78734364.698624626</v>
      </c>
      <c r="M18" s="447">
        <v>14530835.072753245</v>
      </c>
      <c r="N18" s="443">
        <v>64203529.625871383</v>
      </c>
      <c r="O18" s="448">
        <v>4470901090</v>
      </c>
      <c r="P18" s="445">
        <v>1.436E-2</v>
      </c>
    </row>
    <row r="19" spans="1:16" hidden="1" x14ac:dyDescent="0.25">
      <c r="A19" s="432">
        <v>41183</v>
      </c>
      <c r="B19" s="446">
        <v>16558129.999999998</v>
      </c>
      <c r="C19" s="446">
        <v>541666</v>
      </c>
      <c r="D19" s="449">
        <v>40323650.392421916</v>
      </c>
      <c r="E19" s="446">
        <v>5892254.3116551451</v>
      </c>
      <c r="F19" s="446">
        <v>1863308.3697147933</v>
      </c>
      <c r="G19" s="446">
        <v>1190431</v>
      </c>
      <c r="H19" s="446">
        <v>2736214</v>
      </c>
      <c r="L19" s="440">
        <v>69105654.073791862</v>
      </c>
      <c r="M19" s="447">
        <v>15866968.405970171</v>
      </c>
      <c r="N19" s="443">
        <v>53238685.66782169</v>
      </c>
      <c r="O19" s="448">
        <v>3711901090</v>
      </c>
      <c r="P19" s="445">
        <v>1.434E-2</v>
      </c>
    </row>
    <row r="20" spans="1:16" hidden="1" x14ac:dyDescent="0.25">
      <c r="A20" s="432">
        <v>41214</v>
      </c>
      <c r="B20" s="446">
        <v>16558129.999999998</v>
      </c>
      <c r="C20" s="446">
        <v>541666</v>
      </c>
      <c r="D20" s="449">
        <v>40835758.64496652</v>
      </c>
      <c r="E20" s="446">
        <v>5876739.8081438933</v>
      </c>
      <c r="F20" s="446">
        <v>1677707.0014243172</v>
      </c>
      <c r="G20" s="446">
        <v>1081234</v>
      </c>
      <c r="H20" s="446">
        <v>2484110</v>
      </c>
      <c r="L20" s="440">
        <v>69055345.454534739</v>
      </c>
      <c r="M20" s="447">
        <v>-627426.62776332721</v>
      </c>
      <c r="N20" s="443">
        <v>69682772.08229807</v>
      </c>
      <c r="O20" s="448">
        <v>3451901090</v>
      </c>
      <c r="P20" s="445">
        <v>2.019E-2</v>
      </c>
    </row>
    <row r="21" spans="1:16" hidden="1" x14ac:dyDescent="0.25">
      <c r="A21" s="432">
        <v>41244</v>
      </c>
      <c r="B21" s="446">
        <v>16558129.999999998</v>
      </c>
      <c r="C21" s="446">
        <v>541666</v>
      </c>
      <c r="D21" s="446">
        <v>40981430.713697203</v>
      </c>
      <c r="E21" s="446">
        <v>5911016.1793246465</v>
      </c>
      <c r="F21" s="446">
        <v>1136682.4314243174</v>
      </c>
      <c r="G21" s="446">
        <v>1170605</v>
      </c>
      <c r="H21" s="446">
        <v>2691248</v>
      </c>
      <c r="L21" s="440">
        <v>68990778.324446172</v>
      </c>
      <c r="M21" s="447">
        <v>3709043.2463084981</v>
      </c>
      <c r="N21" s="443">
        <v>65281735.078137673</v>
      </c>
      <c r="O21" s="448">
        <v>3743901090</v>
      </c>
      <c r="P21" s="445">
        <v>1.7440000000000001E-2</v>
      </c>
    </row>
    <row r="22" spans="1:16" hidden="1" x14ac:dyDescent="0.25">
      <c r="A22" s="432">
        <v>41275</v>
      </c>
      <c r="B22" s="446">
        <v>16558129.999999998</v>
      </c>
      <c r="C22" s="446">
        <v>541667</v>
      </c>
      <c r="D22" s="446">
        <v>40513320.039166659</v>
      </c>
      <c r="E22" s="446">
        <v>5601342.7496570805</v>
      </c>
      <c r="F22" s="446">
        <v>665429.14801958122</v>
      </c>
      <c r="G22" s="446">
        <v>1194836</v>
      </c>
      <c r="H22" s="446">
        <v>2766437</v>
      </c>
      <c r="I22" s="435"/>
      <c r="J22" s="435"/>
      <c r="K22" s="435"/>
      <c r="L22" s="440">
        <v>67841161.936843321</v>
      </c>
      <c r="M22" s="447">
        <v>14609915.259527355</v>
      </c>
      <c r="N22" s="443">
        <v>53231246.677315965</v>
      </c>
      <c r="O22" s="448">
        <v>3746901090</v>
      </c>
      <c r="P22" s="445">
        <v>1.421E-2</v>
      </c>
    </row>
    <row r="23" spans="1:16" hidden="1" x14ac:dyDescent="0.25">
      <c r="A23" s="432">
        <v>41306</v>
      </c>
      <c r="B23" s="446">
        <v>16558129.999999998</v>
      </c>
      <c r="C23" s="446">
        <v>541667</v>
      </c>
      <c r="D23" s="446">
        <v>40673917.356114037</v>
      </c>
      <c r="E23" s="446">
        <v>5584747.8767936975</v>
      </c>
      <c r="F23" s="446">
        <v>650429.14801958122</v>
      </c>
      <c r="G23" s="446">
        <v>1191060</v>
      </c>
      <c r="H23" s="446">
        <v>2758329</v>
      </c>
      <c r="I23" s="435"/>
      <c r="J23" s="435"/>
      <c r="K23" s="435"/>
      <c r="L23" s="440">
        <v>67958280.380927324</v>
      </c>
      <c r="M23" s="447">
        <v>9034563.27476478</v>
      </c>
      <c r="N23" s="443">
        <v>58923717.106162548</v>
      </c>
      <c r="O23" s="448">
        <v>3703901090</v>
      </c>
      <c r="P23" s="445">
        <v>1.5910000000000001E-2</v>
      </c>
    </row>
    <row r="24" spans="1:16" hidden="1" x14ac:dyDescent="0.25">
      <c r="A24" s="432">
        <v>41334</v>
      </c>
      <c r="B24" s="446">
        <v>16558129.999999998</v>
      </c>
      <c r="C24" s="446">
        <v>541667</v>
      </c>
      <c r="D24" s="446">
        <v>41436876.436906576</v>
      </c>
      <c r="E24" s="446">
        <v>5568153.0039303154</v>
      </c>
      <c r="F24" s="446">
        <v>650429.14801958122</v>
      </c>
      <c r="G24" s="446">
        <v>1132213</v>
      </c>
      <c r="H24" s="435"/>
      <c r="I24" s="435"/>
      <c r="J24" s="435"/>
      <c r="K24" s="435"/>
      <c r="L24" s="440">
        <v>65887468.588856474</v>
      </c>
      <c r="M24" s="447">
        <v>676511.48969718069</v>
      </c>
      <c r="N24" s="443">
        <v>65210957.099159293</v>
      </c>
      <c r="O24" s="448">
        <v>3559901090</v>
      </c>
      <c r="P24" s="445">
        <v>1.8319999999999999E-2</v>
      </c>
    </row>
    <row r="25" spans="1:16" hidden="1" x14ac:dyDescent="0.25">
      <c r="A25" s="432">
        <v>41365</v>
      </c>
      <c r="B25" s="446">
        <v>16558129.999999998</v>
      </c>
      <c r="C25" s="446">
        <v>541667</v>
      </c>
      <c r="D25" s="446">
        <v>41289913.603415288</v>
      </c>
      <c r="E25" s="446">
        <v>5551558.1310669333</v>
      </c>
      <c r="F25" s="446">
        <v>742871.67801958125</v>
      </c>
      <c r="G25" s="446">
        <v>559358</v>
      </c>
      <c r="H25" s="435"/>
      <c r="I25" s="435"/>
      <c r="J25" s="435"/>
      <c r="K25" s="435"/>
      <c r="L25" s="440">
        <v>65243498.412501805</v>
      </c>
      <c r="M25" s="447">
        <v>-6421341.3781935051</v>
      </c>
      <c r="N25" s="443">
        <v>71664839.79069531</v>
      </c>
      <c r="O25" s="448">
        <v>3322901090</v>
      </c>
      <c r="P25" s="445">
        <v>2.1569999999999999E-2</v>
      </c>
    </row>
    <row r="26" spans="1:16" hidden="1" x14ac:dyDescent="0.25">
      <c r="A26" s="432">
        <v>41395</v>
      </c>
      <c r="B26" s="446">
        <v>16558129.999999998</v>
      </c>
      <c r="C26" s="446">
        <v>541667</v>
      </c>
      <c r="D26" s="446">
        <v>42262855.902685717</v>
      </c>
      <c r="E26" s="446">
        <v>5534963.2582035502</v>
      </c>
      <c r="F26" s="446">
        <v>887904.13082690421</v>
      </c>
      <c r="G26" s="446">
        <v>565851</v>
      </c>
      <c r="H26" s="435"/>
      <c r="I26" s="435"/>
      <c r="J26" s="435"/>
      <c r="K26" s="435"/>
      <c r="L26" s="440">
        <v>66351371.291716173</v>
      </c>
      <c r="M26" s="447">
        <v>18762550.543355796</v>
      </c>
      <c r="N26" s="443">
        <v>47588820.748360381</v>
      </c>
      <c r="O26" s="448">
        <v>3362174288</v>
      </c>
      <c r="P26" s="445">
        <v>1.4149999999999999E-2</v>
      </c>
    </row>
    <row r="27" spans="1:16" hidden="1" x14ac:dyDescent="0.25">
      <c r="A27" s="432">
        <v>41426</v>
      </c>
      <c r="B27" s="446">
        <v>23980739.999999996</v>
      </c>
      <c r="C27" s="446">
        <v>541667</v>
      </c>
      <c r="D27" s="446">
        <v>42610381.490967855</v>
      </c>
      <c r="E27" s="446">
        <v>5518368.3853401672</v>
      </c>
      <c r="F27" s="446">
        <v>2493009.7008269043</v>
      </c>
      <c r="G27" s="446">
        <v>659949</v>
      </c>
      <c r="L27" s="440">
        <v>75804115.577134922</v>
      </c>
      <c r="M27" s="447">
        <v>29694565.821426407</v>
      </c>
      <c r="N27" s="443">
        <v>46109549.755708516</v>
      </c>
      <c r="O27" s="448">
        <v>3922130705</v>
      </c>
      <c r="P27" s="445">
        <v>1.176E-2</v>
      </c>
    </row>
    <row r="28" spans="1:16" hidden="1" x14ac:dyDescent="0.25">
      <c r="A28" s="432">
        <v>41456</v>
      </c>
      <c r="B28" s="446">
        <v>23980739.999999996</v>
      </c>
      <c r="C28" s="446">
        <v>541667</v>
      </c>
      <c r="D28" s="446">
        <v>44903259.002944291</v>
      </c>
      <c r="E28" s="446">
        <v>5837866.8344195541</v>
      </c>
      <c r="F28" s="446">
        <v>2077727.5593983328</v>
      </c>
      <c r="G28" s="446">
        <v>769703</v>
      </c>
      <c r="L28" s="440">
        <v>78110963.396762177</v>
      </c>
      <c r="M28" s="447">
        <v>40051619.596905798</v>
      </c>
      <c r="N28" s="443">
        <v>38059343.79985638</v>
      </c>
      <c r="O28" s="448">
        <v>4572080077</v>
      </c>
      <c r="P28" s="445">
        <v>8.3199999999999993E-3</v>
      </c>
    </row>
    <row r="29" spans="1:16" hidden="1" x14ac:dyDescent="0.25">
      <c r="A29" s="432">
        <v>41487</v>
      </c>
      <c r="B29" s="446">
        <v>23980739.999999996</v>
      </c>
      <c r="C29" s="446">
        <v>541667</v>
      </c>
      <c r="D29" s="446">
        <v>45923672.415640637</v>
      </c>
      <c r="E29" s="446">
        <v>5821271.9615561711</v>
      </c>
      <c r="F29" s="446">
        <v>2098160.56</v>
      </c>
      <c r="G29" s="446">
        <v>796132</v>
      </c>
      <c r="L29" s="440">
        <v>79161643.937196806</v>
      </c>
      <c r="M29" s="447">
        <v>34665454.291109741</v>
      </c>
      <c r="N29" s="443">
        <v>44496189.646087065</v>
      </c>
      <c r="O29" s="448">
        <v>4732122426</v>
      </c>
      <c r="P29" s="445">
        <v>9.4000000000000004E-3</v>
      </c>
    </row>
    <row r="30" spans="1:16" hidden="1" x14ac:dyDescent="0.25">
      <c r="A30" s="432">
        <v>41518</v>
      </c>
      <c r="B30" s="446">
        <v>23980739.999999996</v>
      </c>
      <c r="C30" s="446">
        <v>541666</v>
      </c>
      <c r="D30" s="446">
        <v>46194557.146703973</v>
      </c>
      <c r="E30" s="446">
        <v>6610510.355311038</v>
      </c>
      <c r="F30" s="446">
        <v>2136868.56</v>
      </c>
      <c r="G30" s="446">
        <v>753712</v>
      </c>
      <c r="L30" s="440">
        <v>80218054.062015012</v>
      </c>
      <c r="M30" s="447">
        <v>22233096.51030352</v>
      </c>
      <c r="N30" s="443">
        <v>57984957.551711492</v>
      </c>
      <c r="O30" s="448">
        <v>4478078205</v>
      </c>
      <c r="P30" s="445">
        <v>1.295E-2</v>
      </c>
    </row>
    <row r="31" spans="1:16" hidden="1" x14ac:dyDescent="0.25">
      <c r="A31" s="432">
        <v>41548</v>
      </c>
      <c r="B31" s="446">
        <v>16558129.999999998</v>
      </c>
      <c r="C31" s="446">
        <v>541666</v>
      </c>
      <c r="D31" s="446">
        <v>42289516.141476825</v>
      </c>
      <c r="E31" s="446">
        <v>6593256.7292338479</v>
      </c>
      <c r="F31" s="446">
        <v>2251932.81</v>
      </c>
      <c r="G31" s="446">
        <v>624094</v>
      </c>
      <c r="L31" s="440">
        <v>68858595.680710673</v>
      </c>
      <c r="M31" s="447">
        <v>17197211.493368022</v>
      </c>
      <c r="N31" s="443">
        <v>51661384.187342651</v>
      </c>
      <c r="O31" s="448">
        <v>3708193261</v>
      </c>
      <c r="P31" s="445">
        <v>1.393E-2</v>
      </c>
    </row>
    <row r="32" spans="1:16" hidden="1" x14ac:dyDescent="0.25">
      <c r="A32" s="432">
        <v>41579</v>
      </c>
      <c r="B32" s="411">
        <v>16558129.999999998</v>
      </c>
      <c r="C32" s="411">
        <v>541666</v>
      </c>
      <c r="D32" s="411">
        <v>41610879.954265498</v>
      </c>
      <c r="E32" s="411">
        <v>6576667.683019436</v>
      </c>
      <c r="F32" s="411">
        <v>2037120.83</v>
      </c>
      <c r="G32" s="411">
        <v>578981</v>
      </c>
      <c r="H32" s="435"/>
      <c r="I32" s="435"/>
      <c r="J32" s="435"/>
      <c r="K32" s="435"/>
      <c r="L32" s="396">
        <v>67903445.467284933</v>
      </c>
      <c r="M32" s="450">
        <v>6943231.4511667937</v>
      </c>
      <c r="N32" s="437">
        <v>60960214.016118139</v>
      </c>
      <c r="O32" s="451">
        <v>3440311207</v>
      </c>
      <c r="P32" s="413">
        <v>1.772E-2</v>
      </c>
    </row>
    <row r="33" spans="1:16" hidden="1" x14ac:dyDescent="0.25">
      <c r="A33" s="432">
        <v>41609</v>
      </c>
      <c r="B33" s="411">
        <v>16558129.999999998</v>
      </c>
      <c r="C33" s="411">
        <v>541666</v>
      </c>
      <c r="D33" s="411">
        <v>44270754.065955356</v>
      </c>
      <c r="E33" s="411">
        <v>6560078.6368050259</v>
      </c>
      <c r="F33" s="411">
        <v>680457.41</v>
      </c>
      <c r="G33" s="411">
        <v>641096</v>
      </c>
      <c r="L33" s="396">
        <v>69252182.11276038</v>
      </c>
      <c r="M33" s="450">
        <v>17960860.412258737</v>
      </c>
      <c r="N33" s="437">
        <v>51291321.700501643</v>
      </c>
      <c r="O33" s="451">
        <v>3809359669</v>
      </c>
      <c r="P33" s="413">
        <v>1.346E-2</v>
      </c>
    </row>
    <row r="34" spans="1:16" x14ac:dyDescent="0.25">
      <c r="A34" s="432">
        <v>41640</v>
      </c>
      <c r="B34" s="411">
        <v>16558129.999999998</v>
      </c>
      <c r="C34" s="411">
        <v>541667</v>
      </c>
      <c r="D34" s="411">
        <v>41579019.490314133</v>
      </c>
      <c r="E34" s="411">
        <v>6529028.1239643767</v>
      </c>
      <c r="F34" s="411">
        <v>492344.22</v>
      </c>
      <c r="G34" s="411">
        <v>633353</v>
      </c>
      <c r="H34" s="411"/>
      <c r="I34" s="411"/>
      <c r="J34" s="411"/>
      <c r="K34" s="411"/>
      <c r="L34" s="396">
        <v>66333541.834278509</v>
      </c>
      <c r="M34" s="450">
        <v>29868189.423589639</v>
      </c>
      <c r="N34" s="437">
        <v>36465352.41068887</v>
      </c>
      <c r="O34" s="451">
        <v>3763477011</v>
      </c>
      <c r="P34" s="413">
        <v>9.6900000000000007E-3</v>
      </c>
    </row>
    <row r="35" spans="1:16" x14ac:dyDescent="0.25">
      <c r="A35" s="432">
        <v>41671</v>
      </c>
      <c r="B35" s="411">
        <v>18212579.999999996</v>
      </c>
      <c r="C35" s="411">
        <v>416666.66666666669</v>
      </c>
      <c r="D35" s="411">
        <v>41801976.239269584</v>
      </c>
      <c r="E35" s="411">
        <v>6406508.9308497645</v>
      </c>
      <c r="F35" s="411">
        <v>470864.22</v>
      </c>
      <c r="G35" s="411">
        <v>627966</v>
      </c>
      <c r="H35" s="411"/>
      <c r="I35" s="411"/>
      <c r="J35" s="411"/>
      <c r="K35" s="411"/>
      <c r="L35" s="396">
        <v>67936562.056786016</v>
      </c>
      <c r="M35" s="450">
        <v>38559620.776741743</v>
      </c>
      <c r="N35" s="437">
        <v>29376941.280044273</v>
      </c>
      <c r="O35" s="451">
        <v>3731413639</v>
      </c>
      <c r="P35" s="413">
        <v>7.8700000000000003E-3</v>
      </c>
    </row>
    <row r="36" spans="1:16" x14ac:dyDescent="0.25">
      <c r="A36" s="432">
        <v>41699</v>
      </c>
      <c r="B36" s="411">
        <v>18212579.999999996</v>
      </c>
      <c r="C36" s="411">
        <v>416666.66666666669</v>
      </c>
      <c r="D36" s="411">
        <v>41432411.50737264</v>
      </c>
      <c r="E36" s="411">
        <v>6391671.0194239961</v>
      </c>
      <c r="F36" s="411">
        <v>565619.22</v>
      </c>
      <c r="G36" s="411">
        <v>-306842</v>
      </c>
      <c r="H36" s="411">
        <v>4584315.9113830952</v>
      </c>
      <c r="I36" s="411"/>
      <c r="J36" s="411"/>
      <c r="K36" s="411"/>
      <c r="L36" s="396">
        <v>71296422.324846402</v>
      </c>
      <c r="M36" s="450">
        <v>27478670.113622993</v>
      </c>
      <c r="N36" s="437">
        <v>43817752.211223409</v>
      </c>
      <c r="O36" s="451">
        <v>3554267573</v>
      </c>
      <c r="P36" s="413">
        <v>1.2330000000000001E-2</v>
      </c>
    </row>
    <row r="37" spans="1:16" x14ac:dyDescent="0.25">
      <c r="A37" s="432">
        <v>41730</v>
      </c>
      <c r="B37" s="411">
        <v>18212579.999999996</v>
      </c>
      <c r="C37" s="411">
        <v>416666.66666666669</v>
      </c>
      <c r="D37" s="411">
        <v>41264771.76265581</v>
      </c>
      <c r="E37" s="411">
        <v>6430972.0999999996</v>
      </c>
      <c r="F37" s="411">
        <v>1133376.6099999999</v>
      </c>
      <c r="G37" s="411">
        <v>-287719</v>
      </c>
      <c r="H37" s="411">
        <v>3132693</v>
      </c>
      <c r="I37" s="411">
        <v>2600000</v>
      </c>
      <c r="J37" s="411"/>
      <c r="K37" s="411"/>
      <c r="L37" s="396">
        <v>72903341.139322475</v>
      </c>
      <c r="M37" s="450">
        <v>12145578.201870831</v>
      </c>
      <c r="N37" s="437">
        <v>60757762.937451646</v>
      </c>
      <c r="O37" s="451">
        <v>3264466509</v>
      </c>
      <c r="P37" s="413">
        <v>1.8610000000000002E-2</v>
      </c>
    </row>
    <row r="38" spans="1:16" x14ac:dyDescent="0.25">
      <c r="A38" s="432">
        <v>41760</v>
      </c>
      <c r="B38" s="411">
        <v>18212579.999999996</v>
      </c>
      <c r="C38" s="411">
        <v>416666.66666666669</v>
      </c>
      <c r="D38" s="411">
        <v>42515836.055180416</v>
      </c>
      <c r="E38" s="411">
        <v>6415203.4199999999</v>
      </c>
      <c r="F38" s="411">
        <v>3291509.27</v>
      </c>
      <c r="G38" s="411">
        <v>-291407</v>
      </c>
      <c r="H38" s="411">
        <v>2478725</v>
      </c>
      <c r="I38" s="411">
        <v>2600000</v>
      </c>
      <c r="J38" s="411"/>
      <c r="K38" s="411"/>
      <c r="L38" s="396">
        <v>75639113.41184707</v>
      </c>
      <c r="M38" s="450">
        <v>26966435.300800428</v>
      </c>
      <c r="N38" s="437">
        <v>48672678.111046642</v>
      </c>
      <c r="O38" s="451">
        <v>3306315712</v>
      </c>
      <c r="P38" s="413">
        <v>1.472E-2</v>
      </c>
    </row>
    <row r="39" spans="1:16" x14ac:dyDescent="0.25">
      <c r="A39" s="432">
        <v>41791</v>
      </c>
      <c r="B39" s="411">
        <v>26376840</v>
      </c>
      <c r="C39" s="411">
        <v>416666.66666666669</v>
      </c>
      <c r="D39" s="411">
        <v>43026233.352289908</v>
      </c>
      <c r="E39" s="411">
        <v>6399434.7400000002</v>
      </c>
      <c r="F39" s="411">
        <v>3511081.61</v>
      </c>
      <c r="G39" s="411">
        <v>-338644</v>
      </c>
      <c r="H39" s="411">
        <v>4724712.9113830952</v>
      </c>
      <c r="I39" s="411">
        <v>2600000</v>
      </c>
      <c r="J39" s="411"/>
      <c r="K39" s="411"/>
      <c r="L39" s="396">
        <v>86716325.280339658</v>
      </c>
      <c r="M39" s="450">
        <v>31686757.413346037</v>
      </c>
      <c r="N39" s="437">
        <v>55029567.866993621</v>
      </c>
      <c r="O39" s="451">
        <v>3842266369</v>
      </c>
      <c r="P39" s="413">
        <v>1.4319999999999999E-2</v>
      </c>
    </row>
    <row r="40" spans="1:16" x14ac:dyDescent="0.25">
      <c r="A40" s="432">
        <v>41821</v>
      </c>
      <c r="B40" s="411">
        <v>26376840</v>
      </c>
      <c r="C40" s="411">
        <v>416666.66666666669</v>
      </c>
      <c r="D40" s="411">
        <v>43048954.479380257</v>
      </c>
      <c r="E40" s="411">
        <v>6341818.8499999996</v>
      </c>
      <c r="F40" s="411">
        <v>5346133.33</v>
      </c>
      <c r="G40" s="411">
        <v>-408884</v>
      </c>
      <c r="H40" s="411">
        <v>4910141.9113830952</v>
      </c>
      <c r="I40" s="411">
        <v>2600000</v>
      </c>
      <c r="J40" s="411"/>
      <c r="K40" s="411"/>
      <c r="L40" s="396">
        <v>88631671.237430006</v>
      </c>
      <c r="M40" s="450">
        <v>49000717.580504417</v>
      </c>
      <c r="N40" s="437">
        <v>39630953.656925589</v>
      </c>
      <c r="O40" s="451">
        <v>4639208230</v>
      </c>
      <c r="P40" s="413">
        <v>8.5400000000000007E-3</v>
      </c>
    </row>
    <row r="41" spans="1:16" x14ac:dyDescent="0.25">
      <c r="A41" s="410">
        <v>41852</v>
      </c>
      <c r="B41" s="411">
        <v>26376840</v>
      </c>
      <c r="C41" s="411">
        <v>416666.66666666669</v>
      </c>
      <c r="D41" s="411">
        <v>43464974.42797035</v>
      </c>
      <c r="E41" s="411">
        <v>6326120.4900000002</v>
      </c>
      <c r="F41" s="411">
        <v>5403693.3300000001</v>
      </c>
      <c r="G41" s="411">
        <v>-425280</v>
      </c>
      <c r="H41" s="411">
        <v>4610478.9113830952</v>
      </c>
      <c r="I41" s="411">
        <v>2600000</v>
      </c>
      <c r="J41" s="411"/>
      <c r="K41" s="411"/>
      <c r="L41" s="396">
        <v>88773493.826020107</v>
      </c>
      <c r="M41" s="452">
        <v>34221945.719756208</v>
      </c>
      <c r="N41" s="412">
        <v>54551548.106263898</v>
      </c>
      <c r="O41" s="415">
        <v>4825233421</v>
      </c>
      <c r="P41" s="413">
        <v>1.1310000000000001E-2</v>
      </c>
    </row>
    <row r="42" spans="1:16" x14ac:dyDescent="0.25">
      <c r="A42" s="410">
        <v>41883</v>
      </c>
      <c r="B42" s="411">
        <v>26376840</v>
      </c>
      <c r="C42" s="411">
        <v>416666.66666666669</v>
      </c>
      <c r="D42" s="411">
        <v>32145654.574339405</v>
      </c>
      <c r="E42" s="411">
        <v>6310422.1200000001</v>
      </c>
      <c r="F42" s="411">
        <v>2884013.76</v>
      </c>
      <c r="G42" s="411">
        <v>-404657</v>
      </c>
      <c r="H42" s="411">
        <v>5061661.9113830952</v>
      </c>
      <c r="I42" s="411">
        <v>2600000</v>
      </c>
      <c r="J42" s="411"/>
      <c r="K42" s="411"/>
      <c r="L42" s="396">
        <v>75390602.032389164</v>
      </c>
      <c r="M42" s="452">
        <v>27655576.512317128</v>
      </c>
      <c r="N42" s="412">
        <v>47735025.520072035</v>
      </c>
      <c r="O42" s="415">
        <v>4591244096</v>
      </c>
      <c r="P42" s="413">
        <v>1.04E-2</v>
      </c>
    </row>
    <row r="43" spans="1:16" x14ac:dyDescent="0.25">
      <c r="A43" s="410">
        <v>41913</v>
      </c>
      <c r="B43" s="411">
        <v>18212579.999999996</v>
      </c>
      <c r="C43" s="411">
        <v>416666.66666666669</v>
      </c>
      <c r="D43" s="411">
        <v>33348320.411604866</v>
      </c>
      <c r="E43" s="411">
        <v>6294723.7599999998</v>
      </c>
      <c r="F43" s="411">
        <v>870322.33000000007</v>
      </c>
      <c r="G43" s="411">
        <v>-322521</v>
      </c>
      <c r="H43" s="411">
        <v>4544613.9113830952</v>
      </c>
      <c r="I43" s="411">
        <v>2600000</v>
      </c>
      <c r="J43" s="411"/>
      <c r="K43" s="411"/>
      <c r="L43" s="396">
        <v>65964706.079654619</v>
      </c>
      <c r="M43" s="452">
        <v>26884097.559217535</v>
      </c>
      <c r="N43" s="412">
        <v>39080608.520437084</v>
      </c>
      <c r="O43" s="415">
        <v>3659328188</v>
      </c>
      <c r="P43" s="413">
        <v>1.068E-2</v>
      </c>
    </row>
    <row r="44" spans="1:16" x14ac:dyDescent="0.25">
      <c r="A44" s="410">
        <v>41944</v>
      </c>
      <c r="B44" s="411">
        <v>18212579.999999996</v>
      </c>
      <c r="C44" s="411">
        <v>416666.66666666669</v>
      </c>
      <c r="D44" s="411">
        <v>22202537.641368911</v>
      </c>
      <c r="E44" s="411">
        <v>6279025.4000000004</v>
      </c>
      <c r="F44" s="411">
        <v>973209.81</v>
      </c>
      <c r="G44" s="411">
        <v>-299176</v>
      </c>
      <c r="H44" s="411">
        <v>4715771.9113830952</v>
      </c>
      <c r="I44" s="411">
        <v>2600000</v>
      </c>
      <c r="J44" s="411"/>
      <c r="K44" s="411"/>
      <c r="L44" s="396">
        <v>55100615.429418668</v>
      </c>
      <c r="M44" s="452">
        <v>12904793.058906397</v>
      </c>
      <c r="N44" s="412">
        <v>42195822.370512269</v>
      </c>
      <c r="O44" s="415">
        <v>3477965152</v>
      </c>
      <c r="P44" s="413">
        <v>1.213E-2</v>
      </c>
    </row>
    <row r="45" spans="1:16" x14ac:dyDescent="0.25">
      <c r="A45" s="410">
        <v>41974</v>
      </c>
      <c r="B45" s="411">
        <v>18212579.999999996</v>
      </c>
      <c r="C45" s="411">
        <v>416666.66666666669</v>
      </c>
      <c r="D45" s="411">
        <v>23087582.952320989</v>
      </c>
      <c r="E45" s="411">
        <v>6267212.9199999999</v>
      </c>
      <c r="F45" s="411">
        <v>1157976.79</v>
      </c>
      <c r="G45" s="411">
        <v>-320072</v>
      </c>
      <c r="H45" s="411">
        <v>5167281.9113830952</v>
      </c>
      <c r="I45" s="411">
        <v>2600000</v>
      </c>
      <c r="J45" s="411"/>
      <c r="K45" s="411"/>
      <c r="L45" s="396">
        <v>56589229.240370743</v>
      </c>
      <c r="M45" s="452">
        <v>40119779.180726916</v>
      </c>
      <c r="N45" s="412">
        <v>16469450.059643827</v>
      </c>
      <c r="O45" s="415">
        <v>3739139065</v>
      </c>
      <c r="P45" s="413">
        <v>4.4000000000000003E-3</v>
      </c>
    </row>
    <row r="46" spans="1:16" x14ac:dyDescent="0.25">
      <c r="A46" s="410">
        <v>42005</v>
      </c>
      <c r="B46" s="411">
        <v>18212579.999999996</v>
      </c>
      <c r="C46" s="411">
        <v>416666.66666666669</v>
      </c>
      <c r="D46" s="411">
        <v>22844450.802861039</v>
      </c>
      <c r="E46" s="411">
        <v>6192868.7862007748</v>
      </c>
      <c r="F46" s="411">
        <v>3460225.8300000005</v>
      </c>
      <c r="G46" s="411">
        <v>0</v>
      </c>
      <c r="H46" s="411">
        <v>3036922</v>
      </c>
      <c r="I46" s="411">
        <v>2742000</v>
      </c>
      <c r="J46" s="411"/>
      <c r="K46" s="411"/>
      <c r="L46" s="396">
        <v>56905714.085728481</v>
      </c>
      <c r="M46" s="452">
        <v>54568901.657905884</v>
      </c>
      <c r="N46" s="412">
        <v>2336812.4278225973</v>
      </c>
      <c r="O46" s="415">
        <v>3743276057</v>
      </c>
      <c r="P46" s="413">
        <v>6.2E-4</v>
      </c>
    </row>
    <row r="47" spans="1:16" x14ac:dyDescent="0.25">
      <c r="A47" s="410">
        <v>42036</v>
      </c>
      <c r="B47" s="411">
        <v>18212579.999999996</v>
      </c>
      <c r="C47" s="411">
        <v>416666.66666666669</v>
      </c>
      <c r="D47" s="411">
        <v>22566029.391844649</v>
      </c>
      <c r="E47" s="411">
        <v>6178440.5809150217</v>
      </c>
      <c r="F47" s="411">
        <v>3389725.8300000005</v>
      </c>
      <c r="G47" s="411">
        <v>0</v>
      </c>
      <c r="H47" s="411">
        <v>3097277</v>
      </c>
      <c r="I47" s="411">
        <v>2742000</v>
      </c>
      <c r="J47" s="411"/>
      <c r="K47" s="411"/>
      <c r="L47" s="396">
        <v>56602719.469426334</v>
      </c>
      <c r="M47" s="452">
        <v>30278602.034145329</v>
      </c>
      <c r="N47" s="412">
        <v>26324117.435281005</v>
      </c>
      <c r="O47" s="415">
        <v>3712235816</v>
      </c>
      <c r="P47" s="413">
        <v>7.0899999999999999E-3</v>
      </c>
    </row>
    <row r="48" spans="1:16" x14ac:dyDescent="0.25">
      <c r="A48" s="410">
        <v>42064</v>
      </c>
      <c r="B48" s="411">
        <v>18212579.999999996</v>
      </c>
      <c r="C48" s="411">
        <v>416666.66666666669</v>
      </c>
      <c r="D48" s="411">
        <v>23011843.706537504</v>
      </c>
      <c r="E48" s="411">
        <v>6310082.29845923</v>
      </c>
      <c r="F48" s="411">
        <v>3427425.8300000005</v>
      </c>
      <c r="G48" s="411"/>
      <c r="H48" s="411">
        <v>4131631</v>
      </c>
      <c r="I48" s="411">
        <v>2742000</v>
      </c>
      <c r="J48" s="411"/>
      <c r="K48" s="411"/>
      <c r="L48" s="396">
        <v>58252229.501663402</v>
      </c>
      <c r="M48" s="452">
        <v>13536331.758269489</v>
      </c>
      <c r="N48" s="412">
        <v>44715897.743393913</v>
      </c>
      <c r="O48" s="415">
        <v>3522098594</v>
      </c>
      <c r="P48" s="413">
        <v>1.2699999999999999E-2</v>
      </c>
    </row>
    <row r="49" spans="1:16" x14ac:dyDescent="0.25">
      <c r="A49" s="410">
        <v>42095</v>
      </c>
      <c r="B49" s="411">
        <v>18212579.999999996</v>
      </c>
      <c r="C49" s="411">
        <v>416666.66666666669</v>
      </c>
      <c r="D49" s="411">
        <v>22436005.777362451</v>
      </c>
      <c r="E49" s="411">
        <v>6295211.943763827</v>
      </c>
      <c r="F49" s="411">
        <v>3420025.8300000005</v>
      </c>
      <c r="G49" s="411"/>
      <c r="H49" s="411">
        <v>5016096</v>
      </c>
      <c r="I49" s="411">
        <v>2742000</v>
      </c>
      <c r="J49" s="411"/>
      <c r="K49" s="411"/>
      <c r="L49" s="396">
        <v>58538586.217792943</v>
      </c>
      <c r="M49" s="452">
        <v>9614772.5112211592</v>
      </c>
      <c r="N49" s="412">
        <v>48923813.706571788</v>
      </c>
      <c r="O49" s="415">
        <v>3290088673</v>
      </c>
      <c r="P49" s="413">
        <v>1.487E-2</v>
      </c>
    </row>
    <row r="50" spans="1:16" x14ac:dyDescent="0.25">
      <c r="A50" s="410">
        <v>42125</v>
      </c>
      <c r="B50" s="411">
        <v>18212579.999999996</v>
      </c>
      <c r="C50" s="411">
        <v>416666.66666666669</v>
      </c>
      <c r="D50" s="411">
        <v>22854650.632689331</v>
      </c>
      <c r="E50" s="411">
        <v>6280335.4451113408</v>
      </c>
      <c r="F50" s="411">
        <v>3504010.5800000005</v>
      </c>
      <c r="G50" s="411"/>
      <c r="H50" s="411">
        <v>2385955</v>
      </c>
      <c r="I50" s="411">
        <v>2742000</v>
      </c>
      <c r="J50" s="411"/>
      <c r="K50" s="411"/>
      <c r="L50" s="396">
        <v>56396198.324467339</v>
      </c>
      <c r="M50" s="452">
        <v>27093980.500001699</v>
      </c>
      <c r="N50" s="412">
        <v>29302217.82446564</v>
      </c>
      <c r="O50" s="415">
        <v>3343909962</v>
      </c>
      <c r="P50" s="413">
        <v>8.7600000000000004E-3</v>
      </c>
    </row>
    <row r="51" spans="1:16" x14ac:dyDescent="0.25">
      <c r="A51" s="410">
        <v>42156</v>
      </c>
      <c r="B51" s="411">
        <v>26376840</v>
      </c>
      <c r="C51" s="411">
        <v>416666.66666666669</v>
      </c>
      <c r="D51" s="411">
        <v>24320426.315567333</v>
      </c>
      <c r="E51" s="411">
        <v>6266130.5440716343</v>
      </c>
      <c r="F51" s="411">
        <v>3064212.67</v>
      </c>
      <c r="G51" s="411"/>
      <c r="H51" s="411">
        <v>3261783</v>
      </c>
      <c r="I51" s="411">
        <v>2742000</v>
      </c>
      <c r="J51" s="411"/>
      <c r="K51" s="411"/>
      <c r="L51" s="396">
        <v>66448059.19630564</v>
      </c>
      <c r="M51" s="452">
        <v>25899729.356892452</v>
      </c>
      <c r="N51" s="412">
        <v>40548329.839413188</v>
      </c>
      <c r="O51" s="415">
        <v>3870937910</v>
      </c>
      <c r="P51" s="413">
        <v>1.048E-2</v>
      </c>
    </row>
    <row r="52" spans="1:16" x14ac:dyDescent="0.25">
      <c r="A52" s="410">
        <v>42186</v>
      </c>
      <c r="B52" s="411">
        <v>26376840</v>
      </c>
      <c r="C52" s="411">
        <v>416666.66666666669</v>
      </c>
      <c r="D52" s="411">
        <v>19412364.933483336</v>
      </c>
      <c r="E52" s="411">
        <v>6561801.0917781945</v>
      </c>
      <c r="F52" s="411">
        <v>2965590.76</v>
      </c>
      <c r="G52" s="411"/>
      <c r="H52" s="411">
        <v>3219493</v>
      </c>
      <c r="I52" s="411">
        <v>2742000</v>
      </c>
      <c r="J52" s="411">
        <v>49171.02</v>
      </c>
      <c r="K52" s="411"/>
      <c r="L52" s="396">
        <v>61743927.471928202</v>
      </c>
      <c r="M52" s="452">
        <v>32550332.850594651</v>
      </c>
      <c r="N52" s="412">
        <v>29193594.621333551</v>
      </c>
      <c r="O52" s="415">
        <v>4616805888</v>
      </c>
      <c r="P52" s="413">
        <v>6.3200000000000001E-3</v>
      </c>
    </row>
    <row r="53" spans="1:16" x14ac:dyDescent="0.25">
      <c r="A53" s="410">
        <v>42217</v>
      </c>
      <c r="B53" s="411">
        <v>26376840</v>
      </c>
      <c r="C53" s="411">
        <v>416666.66666666669</v>
      </c>
      <c r="D53" s="411">
        <v>19390372.933483332</v>
      </c>
      <c r="E53" s="411">
        <v>6546906.2726133764</v>
      </c>
      <c r="F53" s="411">
        <v>2751882.28</v>
      </c>
      <c r="G53" s="411"/>
      <c r="H53" s="411">
        <v>2854192</v>
      </c>
      <c r="I53" s="411">
        <v>2742000</v>
      </c>
      <c r="J53" s="411">
        <v>49016.74</v>
      </c>
      <c r="K53" s="411"/>
      <c r="L53" s="396">
        <v>61127876.892763384</v>
      </c>
      <c r="M53" s="452">
        <v>20352895.259914592</v>
      </c>
      <c r="N53" s="412">
        <v>40774981.632848792</v>
      </c>
      <c r="O53" s="415">
        <v>4849811595</v>
      </c>
      <c r="P53" s="413">
        <v>8.4100000000000008E-3</v>
      </c>
    </row>
    <row r="54" spans="1:16" x14ac:dyDescent="0.25">
      <c r="A54" s="410">
        <v>42248</v>
      </c>
      <c r="B54" s="411">
        <v>26376840</v>
      </c>
      <c r="C54" s="411">
        <v>416666.66666666669</v>
      </c>
      <c r="D54" s="411">
        <v>19356322.933483332</v>
      </c>
      <c r="E54" s="411">
        <v>6532005.5322089549</v>
      </c>
      <c r="F54" s="411">
        <v>3782481.68</v>
      </c>
      <c r="G54" s="411"/>
      <c r="H54" s="411">
        <v>2909774</v>
      </c>
      <c r="I54" s="411">
        <v>2742000</v>
      </c>
      <c r="J54" s="411">
        <v>48862.45</v>
      </c>
      <c r="K54" s="411"/>
      <c r="L54" s="396">
        <v>62164953.262358963</v>
      </c>
      <c r="M54" s="452">
        <v>16357215.935513895</v>
      </c>
      <c r="N54" s="412">
        <v>45807737.326845065</v>
      </c>
      <c r="O54" s="415">
        <v>4527842027</v>
      </c>
      <c r="P54" s="413">
        <v>1.0120000000000001E-2</v>
      </c>
    </row>
    <row r="55" spans="1:16" x14ac:dyDescent="0.25">
      <c r="A55" s="410">
        <v>42278</v>
      </c>
      <c r="B55" s="411">
        <v>18212579.999999996</v>
      </c>
      <c r="C55" s="411">
        <v>416666.66666666669</v>
      </c>
      <c r="D55" s="411">
        <v>19356691.933483332</v>
      </c>
      <c r="E55" s="411">
        <v>6517105.5156359607</v>
      </c>
      <c r="F55" s="411">
        <v>3908981.68</v>
      </c>
      <c r="G55" s="411"/>
      <c r="H55" s="411">
        <v>2794774</v>
      </c>
      <c r="I55" s="411">
        <v>2742000</v>
      </c>
      <c r="J55" s="411">
        <v>48708.180000000008</v>
      </c>
      <c r="K55" s="411"/>
      <c r="L55" s="396">
        <v>53997507.975785956</v>
      </c>
      <c r="M55" s="452">
        <v>25228570.3610202</v>
      </c>
      <c r="N55" s="412">
        <v>28768937.614765756</v>
      </c>
      <c r="O55" s="415">
        <v>3815006345</v>
      </c>
      <c r="P55" s="413">
        <v>7.5399999999999998E-3</v>
      </c>
    </row>
    <row r="56" spans="1:16" x14ac:dyDescent="0.25">
      <c r="A56" s="410">
        <v>42309</v>
      </c>
      <c r="B56" s="411">
        <v>18212579.999999996</v>
      </c>
      <c r="C56" s="411">
        <v>416666.66666666669</v>
      </c>
      <c r="D56" s="411">
        <v>16794897.109039996</v>
      </c>
      <c r="E56" s="411">
        <v>6502206.2228943929</v>
      </c>
      <c r="F56" s="411">
        <v>1307833.08</v>
      </c>
      <c r="G56" s="411"/>
      <c r="H56" s="411">
        <v>3261157.1</v>
      </c>
      <c r="I56" s="411">
        <v>2742000</v>
      </c>
      <c r="J56" s="411">
        <v>48553.900000000009</v>
      </c>
      <c r="K56" s="411"/>
      <c r="L56" s="396">
        <v>49285894.078601055</v>
      </c>
      <c r="M56" s="452">
        <v>11027159.611058347</v>
      </c>
      <c r="N56" s="412">
        <v>38258734.467542708</v>
      </c>
      <c r="O56" s="415">
        <v>3423943396</v>
      </c>
      <c r="P56" s="413">
        <v>1.1169999999999999E-2</v>
      </c>
    </row>
    <row r="57" spans="1:16" x14ac:dyDescent="0.25">
      <c r="A57" s="410">
        <v>42339</v>
      </c>
      <c r="B57" s="411">
        <v>18212579.999999996</v>
      </c>
      <c r="C57" s="411">
        <v>416666.66666666669</v>
      </c>
      <c r="D57" s="411">
        <v>16795784.661448348</v>
      </c>
      <c r="E57" s="411">
        <v>6488643.2575899111</v>
      </c>
      <c r="F57" s="411">
        <v>1374333.08</v>
      </c>
      <c r="G57" s="411"/>
      <c r="H57" s="411">
        <v>3232972</v>
      </c>
      <c r="I57" s="411">
        <v>2742000</v>
      </c>
      <c r="J57" s="411">
        <v>48399.62</v>
      </c>
      <c r="K57" s="411"/>
      <c r="L57" s="396">
        <v>49311379.285704926</v>
      </c>
      <c r="M57" s="452">
        <v>12889387.878826365</v>
      </c>
      <c r="N57" s="412">
        <v>36421991.406878561</v>
      </c>
      <c r="O57" s="415">
        <v>3659035643</v>
      </c>
      <c r="P57" s="413">
        <v>9.9500000000000005E-3</v>
      </c>
    </row>
    <row r="58" spans="1:16" x14ac:dyDescent="0.25">
      <c r="A58" s="410">
        <v>42370</v>
      </c>
      <c r="B58" s="411">
        <v>18212579.999999996</v>
      </c>
      <c r="C58" s="411">
        <v>416666.66666666669</v>
      </c>
      <c r="D58" s="411">
        <v>16802760.633666169</v>
      </c>
      <c r="E58" s="411">
        <v>6497465.811852253</v>
      </c>
      <c r="F58" s="411">
        <v>1390617.41</v>
      </c>
      <c r="G58" s="411"/>
      <c r="H58" s="411">
        <v>5839684</v>
      </c>
      <c r="I58" s="411">
        <v>3092000</v>
      </c>
      <c r="J58" s="411">
        <v>142385.29999999999</v>
      </c>
      <c r="K58" s="411"/>
      <c r="L58" s="396">
        <v>52394159.822185077</v>
      </c>
      <c r="M58" s="452">
        <v>16573170.737742973</v>
      </c>
      <c r="N58" s="412">
        <v>35820989.084442101</v>
      </c>
      <c r="O58" s="415">
        <v>3751306129</v>
      </c>
      <c r="P58" s="413">
        <v>9.5499999999999995E-3</v>
      </c>
    </row>
    <row r="59" spans="1:16" x14ac:dyDescent="0.25">
      <c r="A59" s="410">
        <v>42401</v>
      </c>
      <c r="B59" s="411">
        <v>18212579.999999996</v>
      </c>
      <c r="C59" s="411">
        <v>416666.66666666669</v>
      </c>
      <c r="D59" s="411">
        <v>16799749.537762102</v>
      </c>
      <c r="E59" s="411">
        <v>6482465.7529693702</v>
      </c>
      <c r="F59" s="411">
        <v>1390617.41</v>
      </c>
      <c r="G59" s="411"/>
      <c r="H59" s="411">
        <v>5063781</v>
      </c>
      <c r="I59" s="411">
        <v>3092000</v>
      </c>
      <c r="J59" s="411">
        <v>163497.53</v>
      </c>
      <c r="K59" s="411"/>
      <c r="L59" s="396">
        <v>51621357.897398129</v>
      </c>
      <c r="M59" s="452">
        <v>25851733.521726057</v>
      </c>
      <c r="N59" s="412">
        <v>25769624.375672072</v>
      </c>
      <c r="O59" s="415">
        <v>3700161697</v>
      </c>
      <c r="P59" s="413">
        <v>6.96E-3</v>
      </c>
    </row>
    <row r="60" spans="1:16" x14ac:dyDescent="0.25">
      <c r="A60" s="410">
        <v>42430</v>
      </c>
      <c r="B60" s="411">
        <v>18212579.999999996</v>
      </c>
      <c r="C60" s="411">
        <v>416666.66666666669</v>
      </c>
      <c r="D60" s="411">
        <v>16806749.385524973</v>
      </c>
      <c r="E60" s="411">
        <v>3885281.1639649617</v>
      </c>
      <c r="F60" s="411">
        <v>12780730.41</v>
      </c>
      <c r="G60" s="411"/>
      <c r="H60" s="411">
        <v>4256365</v>
      </c>
      <c r="I60" s="411">
        <v>3092000</v>
      </c>
      <c r="J60" s="411">
        <v>162987.10999999999</v>
      </c>
      <c r="K60" s="411"/>
      <c r="L60" s="396">
        <v>59613359.736156598</v>
      </c>
      <c r="M60" s="452">
        <v>-1144160.316180639</v>
      </c>
      <c r="N60" s="412">
        <v>60757520.052337237</v>
      </c>
      <c r="O60" s="415">
        <v>3487036781</v>
      </c>
      <c r="P60" s="413">
        <v>1.7420000000000001E-2</v>
      </c>
    </row>
    <row r="61" spans="1:16" x14ac:dyDescent="0.25">
      <c r="A61" s="410">
        <v>42461</v>
      </c>
      <c r="B61" s="411">
        <v>18212579.999999996</v>
      </c>
      <c r="C61" s="411">
        <v>416666.66666666669</v>
      </c>
      <c r="D61" s="411">
        <v>16813761.188763667</v>
      </c>
      <c r="E61" s="411">
        <v>3870500.2969303504</v>
      </c>
      <c r="F61" s="411">
        <v>1232251.67</v>
      </c>
      <c r="G61" s="411"/>
      <c r="H61" s="411">
        <v>3923196</v>
      </c>
      <c r="I61" s="411">
        <v>3092000</v>
      </c>
      <c r="J61" s="411">
        <v>162476.69999999998</v>
      </c>
      <c r="K61" s="411"/>
      <c r="L61" s="396">
        <v>47723432.52236069</v>
      </c>
      <c r="M61" s="452">
        <v>156049.72017060965</v>
      </c>
      <c r="N61" s="412">
        <v>47567382.80219008</v>
      </c>
      <c r="O61" s="415">
        <v>3209012851</v>
      </c>
      <c r="P61" s="413">
        <v>1.482E-2</v>
      </c>
    </row>
    <row r="62" spans="1:16" x14ac:dyDescent="0.25">
      <c r="A62" s="410">
        <v>42491</v>
      </c>
      <c r="B62" s="411">
        <v>18212579.999999996</v>
      </c>
      <c r="C62" s="411">
        <v>416666.66666666669</v>
      </c>
      <c r="D62" s="411">
        <v>14588647.600150002</v>
      </c>
      <c r="E62" s="411">
        <v>3855720.2024989892</v>
      </c>
      <c r="F62" s="411">
        <v>1332551.67</v>
      </c>
      <c r="G62" s="411"/>
      <c r="H62" s="411">
        <v>2773091</v>
      </c>
      <c r="I62" s="411">
        <v>3092000</v>
      </c>
      <c r="J62" s="411">
        <v>161966.28</v>
      </c>
      <c r="K62" s="411"/>
      <c r="L62" s="396">
        <v>44433223.419315659</v>
      </c>
      <c r="M62" s="452">
        <v>10130850.237130083</v>
      </c>
      <c r="N62" s="412">
        <v>34302373.182185575</v>
      </c>
      <c r="O62" s="415">
        <v>3204368324</v>
      </c>
      <c r="P62" s="413">
        <v>1.0699999999999999E-2</v>
      </c>
    </row>
    <row r="63" spans="1:16" x14ac:dyDescent="0.25">
      <c r="A63" s="410">
        <v>42522</v>
      </c>
      <c r="B63" s="411">
        <v>26376840</v>
      </c>
      <c r="C63" s="411">
        <v>416666.66666666669</v>
      </c>
      <c r="D63" s="411">
        <v>14591572.60015</v>
      </c>
      <c r="E63" s="411">
        <v>3842269.9048506934</v>
      </c>
      <c r="F63" s="411">
        <v>6996614.2999999998</v>
      </c>
      <c r="G63" s="411"/>
      <c r="H63" s="411">
        <v>2993263</v>
      </c>
      <c r="I63" s="411">
        <v>3092000</v>
      </c>
      <c r="J63" s="411">
        <v>161455.86000000002</v>
      </c>
      <c r="K63" s="411"/>
      <c r="L63" s="396">
        <v>58470682.331667356</v>
      </c>
      <c r="M63" s="452">
        <v>13577409.949227162</v>
      </c>
      <c r="N63" s="412">
        <v>44893272.382440194</v>
      </c>
      <c r="O63" s="415">
        <v>3859382406</v>
      </c>
      <c r="P63" s="413">
        <v>1.163E-2</v>
      </c>
    </row>
    <row r="64" spans="1:16" x14ac:dyDescent="0.25">
      <c r="A64" s="410">
        <v>42552</v>
      </c>
      <c r="B64" s="411">
        <v>26376840</v>
      </c>
      <c r="C64" s="411">
        <v>416666.66666666669</v>
      </c>
      <c r="D64" s="411">
        <v>14594502.60015</v>
      </c>
      <c r="E64" s="411">
        <v>4129503.13976085</v>
      </c>
      <c r="F64" s="411">
        <v>8376200</v>
      </c>
      <c r="G64" s="411"/>
      <c r="H64" s="411">
        <v>3071448</v>
      </c>
      <c r="I64" s="411">
        <v>3092000</v>
      </c>
      <c r="J64" s="411">
        <v>232807.79</v>
      </c>
      <c r="K64" s="411"/>
      <c r="L64" s="396">
        <v>60289968.196577519</v>
      </c>
      <c r="M64" s="452">
        <v>15159468.19327268</v>
      </c>
      <c r="N64" s="412">
        <v>45130500.003304839</v>
      </c>
      <c r="O64" s="415">
        <v>4541232623</v>
      </c>
      <c r="P64" s="413">
        <v>9.9399999999999992E-3</v>
      </c>
    </row>
    <row r="65" spans="1:16" x14ac:dyDescent="0.25">
      <c r="A65" s="410">
        <v>42583</v>
      </c>
      <c r="B65" s="411">
        <v>26376840</v>
      </c>
      <c r="C65" s="411">
        <v>416666.66666666669</v>
      </c>
      <c r="D65" s="411">
        <v>14672437.600150002</v>
      </c>
      <c r="E65" s="411">
        <v>4100112.7938196026</v>
      </c>
      <c r="F65" s="411">
        <v>6507616.4199999999</v>
      </c>
      <c r="G65" s="411"/>
      <c r="H65" s="411">
        <v>3586389.02</v>
      </c>
      <c r="I65" s="411">
        <v>3092000</v>
      </c>
      <c r="J65" s="411">
        <v>248412.69</v>
      </c>
      <c r="K65" s="411"/>
      <c r="L65" s="396">
        <v>59000475.19063627</v>
      </c>
      <c r="M65" s="452">
        <v>15752331.061425857</v>
      </c>
      <c r="N65" s="412">
        <v>43248144.129210413</v>
      </c>
      <c r="O65" s="415">
        <v>4797262767</v>
      </c>
      <c r="P65" s="413">
        <v>9.0200000000000002E-3</v>
      </c>
    </row>
    <row r="66" spans="1:16" x14ac:dyDescent="0.25">
      <c r="A66" s="410">
        <v>42614</v>
      </c>
      <c r="B66" s="411">
        <v>26376840</v>
      </c>
      <c r="C66" s="411">
        <v>416666.66666666669</v>
      </c>
      <c r="D66" s="411">
        <v>14675378.60015</v>
      </c>
      <c r="E66" s="411">
        <v>4085290.8290206548</v>
      </c>
      <c r="F66" s="411">
        <v>6314838.3099999996</v>
      </c>
      <c r="G66" s="411"/>
      <c r="H66" s="411">
        <v>3727016</v>
      </c>
      <c r="I66" s="411">
        <v>3092000</v>
      </c>
      <c r="J66" s="411">
        <v>247629.14</v>
      </c>
      <c r="K66" s="411"/>
      <c r="L66" s="396">
        <v>58935659.545837328</v>
      </c>
      <c r="M66" s="452">
        <v>10186350.841514125</v>
      </c>
      <c r="N66" s="412">
        <v>48749308.704323202</v>
      </c>
      <c r="O66" s="415">
        <v>4502319777</v>
      </c>
      <c r="P66" s="413">
        <v>1.0829999999999999E-2</v>
      </c>
    </row>
    <row r="67" spans="1:16" x14ac:dyDescent="0.25">
      <c r="A67" s="410">
        <v>42644</v>
      </c>
      <c r="B67" s="411">
        <v>18212579.999999996</v>
      </c>
      <c r="C67" s="411">
        <v>416666.66666666669</v>
      </c>
      <c r="D67" s="411">
        <v>14678323.60015</v>
      </c>
      <c r="E67" s="411">
        <v>4070470.0231418312</v>
      </c>
      <c r="F67" s="411">
        <v>6434838.3099999996</v>
      </c>
      <c r="G67" s="411"/>
      <c r="H67" s="411">
        <v>3221959</v>
      </c>
      <c r="I67" s="411">
        <v>3092000</v>
      </c>
      <c r="J67" s="411">
        <v>246845.58000000005</v>
      </c>
      <c r="K67" s="411"/>
      <c r="L67" s="396">
        <v>50373683.179958493</v>
      </c>
      <c r="M67" s="452">
        <v>11449366.802608315</v>
      </c>
      <c r="N67" s="412">
        <v>38924316.377350181</v>
      </c>
      <c r="O67" s="415">
        <v>3736364679</v>
      </c>
      <c r="P67" s="413">
        <v>1.042E-2</v>
      </c>
    </row>
    <row r="68" spans="1:16" x14ac:dyDescent="0.25">
      <c r="A68" s="410">
        <v>42675</v>
      </c>
      <c r="B68" s="411">
        <v>18212579.999999996</v>
      </c>
      <c r="C68" s="411">
        <v>416666.66666666669</v>
      </c>
      <c r="D68" s="411">
        <v>12581273.600150002</v>
      </c>
      <c r="E68" s="411">
        <v>4055650.3761831243</v>
      </c>
      <c r="F68" s="411">
        <v>1257551.67</v>
      </c>
      <c r="G68" s="411"/>
      <c r="H68" s="411">
        <v>3321717</v>
      </c>
      <c r="I68" s="411">
        <v>3092000</v>
      </c>
      <c r="J68" s="411">
        <v>246062.02000000002</v>
      </c>
      <c r="K68" s="411"/>
      <c r="L68" s="396">
        <v>43183501.332999796</v>
      </c>
      <c r="M68" s="452">
        <v>-7108657.0491425842</v>
      </c>
      <c r="N68" s="412">
        <v>50292158.38214238</v>
      </c>
      <c r="O68" s="415">
        <v>3430478316</v>
      </c>
      <c r="P68" s="413">
        <v>1.4659999999999999E-2</v>
      </c>
    </row>
    <row r="69" spans="1:16" x14ac:dyDescent="0.25">
      <c r="A69" s="410">
        <v>42705</v>
      </c>
      <c r="B69" s="411">
        <v>18212579.999999996</v>
      </c>
      <c r="C69" s="411">
        <v>416666.66666666669</v>
      </c>
      <c r="D69" s="411">
        <v>12584228.600150002</v>
      </c>
      <c r="E69" s="411">
        <v>4040831.8881446188</v>
      </c>
      <c r="F69" s="411">
        <v>1257551.67</v>
      </c>
      <c r="G69" s="411"/>
      <c r="H69" s="411">
        <v>3345954</v>
      </c>
      <c r="I69" s="411">
        <v>3092000</v>
      </c>
      <c r="J69" s="411">
        <v>245278.46999999997</v>
      </c>
      <c r="K69" s="411"/>
      <c r="L69" s="396">
        <v>43195091.294961289</v>
      </c>
      <c r="M69" s="452">
        <v>-1108698.7558244467</v>
      </c>
      <c r="N69" s="412">
        <v>44303790.050785735</v>
      </c>
      <c r="O69" s="415">
        <v>3632532603</v>
      </c>
      <c r="P69" s="413">
        <v>1.2200000000000001E-2</v>
      </c>
    </row>
    <row r="70" spans="1:16" x14ac:dyDescent="0.25">
      <c r="A70" s="410">
        <v>42736</v>
      </c>
      <c r="B70" s="411">
        <v>16781140</v>
      </c>
      <c r="C70" s="411">
        <v>416666.66666666669</v>
      </c>
      <c r="D70" s="411">
        <v>12689924.600150002</v>
      </c>
      <c r="E70" s="411">
        <v>4410257.5313381143</v>
      </c>
      <c r="F70" s="411">
        <v>1449433.33</v>
      </c>
      <c r="G70" s="411"/>
      <c r="H70" s="411">
        <v>5706290</v>
      </c>
      <c r="I70" s="411">
        <v>3223100</v>
      </c>
      <c r="J70" s="411">
        <v>0</v>
      </c>
      <c r="K70" s="411"/>
      <c r="L70" s="396">
        <v>44676812.128154784</v>
      </c>
      <c r="M70" s="452">
        <v>18053725.794631064</v>
      </c>
      <c r="N70" s="412">
        <v>26623086.333523721</v>
      </c>
      <c r="O70" s="415">
        <v>3681738130</v>
      </c>
      <c r="P70" s="413">
        <v>7.2300000000000003E-3</v>
      </c>
    </row>
    <row r="71" spans="1:16" x14ac:dyDescent="0.25">
      <c r="A71" s="410">
        <v>42767</v>
      </c>
      <c r="B71" s="411">
        <v>16781140</v>
      </c>
      <c r="C71" s="411">
        <v>416666.66666666669</v>
      </c>
      <c r="D71" s="411">
        <v>12418233.60015</v>
      </c>
      <c r="E71" s="411">
        <v>5489677.5531809032</v>
      </c>
      <c r="F71" s="411">
        <v>1449433.33</v>
      </c>
      <c r="G71" s="411"/>
      <c r="H71" s="411">
        <v>4958746</v>
      </c>
      <c r="I71" s="411">
        <v>3223100</v>
      </c>
      <c r="J71" s="411">
        <v>0</v>
      </c>
      <c r="K71" s="411"/>
      <c r="L71" s="396">
        <v>44736997.14999757</v>
      </c>
      <c r="M71" s="452">
        <v>4889905.2399754003</v>
      </c>
      <c r="N71" s="412">
        <v>39847091.910022169</v>
      </c>
      <c r="O71" s="415">
        <v>3608610319</v>
      </c>
      <c r="P71" s="413">
        <v>1.1039999999999999E-2</v>
      </c>
    </row>
    <row r="72" spans="1:16" x14ac:dyDescent="0.25">
      <c r="A72" s="410">
        <v>42795</v>
      </c>
      <c r="B72" s="411">
        <v>16781140</v>
      </c>
      <c r="C72" s="411">
        <v>416666.66666666669</v>
      </c>
      <c r="D72" s="411">
        <v>12421548.60015</v>
      </c>
      <c r="E72" s="411">
        <v>5269704.2796176141</v>
      </c>
      <c r="F72" s="411">
        <v>1549433.33</v>
      </c>
      <c r="G72" s="411"/>
      <c r="H72" s="411">
        <v>4782129.3499999996</v>
      </c>
      <c r="I72" s="411">
        <v>3223100</v>
      </c>
      <c r="J72" s="411">
        <v>0</v>
      </c>
      <c r="K72" s="411"/>
      <c r="L72" s="396">
        <v>44443722.226434283</v>
      </c>
      <c r="M72" s="452">
        <v>-4462786.8917981908</v>
      </c>
      <c r="N72" s="412">
        <v>48906509.118232474</v>
      </c>
      <c r="O72" s="415">
        <v>3480495314</v>
      </c>
      <c r="P72" s="413">
        <v>1.405E-2</v>
      </c>
    </row>
    <row r="73" spans="1:16" x14ac:dyDescent="0.25">
      <c r="A73" s="410">
        <v>42826</v>
      </c>
      <c r="B73" s="411">
        <v>16781140</v>
      </c>
      <c r="C73" s="411">
        <v>416666.66666666669</v>
      </c>
      <c r="D73" s="411">
        <v>12424869.60015</v>
      </c>
      <c r="E73" s="411">
        <v>5256472.473694847</v>
      </c>
      <c r="F73" s="411">
        <v>1449433.33</v>
      </c>
      <c r="G73" s="411"/>
      <c r="H73" s="411">
        <v>4700130</v>
      </c>
      <c r="I73" s="411">
        <v>3194000</v>
      </c>
      <c r="J73" s="411">
        <v>0</v>
      </c>
      <c r="K73" s="411"/>
      <c r="L73" s="396">
        <v>44222712.070511512</v>
      </c>
      <c r="M73" s="452">
        <v>6521081.8598428573</v>
      </c>
      <c r="N73" s="412">
        <v>37701630.210668653</v>
      </c>
      <c r="O73" s="415">
        <v>3122437214</v>
      </c>
      <c r="P73" s="413">
        <v>1.2070000000000001E-2</v>
      </c>
    </row>
    <row r="74" spans="1:16" x14ac:dyDescent="0.25">
      <c r="A74" s="410">
        <v>42856</v>
      </c>
      <c r="B74" s="411">
        <v>16781140</v>
      </c>
      <c r="C74" s="411">
        <v>416666.66666666669</v>
      </c>
      <c r="D74" s="411">
        <v>9339738.0000000019</v>
      </c>
      <c r="E74" s="411">
        <v>5243240.667772158</v>
      </c>
      <c r="F74" s="411">
        <v>1769433.33</v>
      </c>
      <c r="G74" s="411"/>
      <c r="H74" s="411">
        <v>0</v>
      </c>
      <c r="I74" s="411">
        <v>3194000</v>
      </c>
      <c r="J74" s="411">
        <v>0</v>
      </c>
      <c r="K74" s="411"/>
      <c r="L74" s="396">
        <v>36744218.664438829</v>
      </c>
      <c r="M74" s="452">
        <v>25954277.416178096</v>
      </c>
      <c r="N74" s="412">
        <v>10789941.248260733</v>
      </c>
      <c r="O74" s="415">
        <v>3107158683</v>
      </c>
      <c r="P74" s="413">
        <v>3.47E-3</v>
      </c>
    </row>
    <row r="75" spans="1:16" x14ac:dyDescent="0.25">
      <c r="A75" s="410">
        <v>42887</v>
      </c>
      <c r="B75" s="411">
        <v>24303719.999999996</v>
      </c>
      <c r="C75" s="411">
        <v>416666.66666666669</v>
      </c>
      <c r="D75" s="411">
        <v>9343072</v>
      </c>
      <c r="E75" s="411">
        <v>4979774.892732298</v>
      </c>
      <c r="F75" s="411">
        <v>7539433.3300000001</v>
      </c>
      <c r="G75" s="411"/>
      <c r="H75" s="411">
        <v>0</v>
      </c>
      <c r="I75" s="411">
        <v>3194000</v>
      </c>
      <c r="J75" s="411">
        <v>0</v>
      </c>
      <c r="K75" s="411"/>
      <c r="L75" s="396">
        <v>49776666.889398962</v>
      </c>
      <c r="M75" s="452">
        <v>26360996.847159237</v>
      </c>
      <c r="N75" s="412">
        <v>23415670.042239726</v>
      </c>
      <c r="O75" s="415">
        <v>3804164923</v>
      </c>
      <c r="P75" s="413">
        <v>6.1599999999999997E-3</v>
      </c>
    </row>
    <row r="76" spans="1:16" x14ac:dyDescent="0.25">
      <c r="A76" s="410">
        <v>42917</v>
      </c>
      <c r="B76" s="411">
        <v>24303719.999999996</v>
      </c>
      <c r="C76" s="411">
        <v>416666.66666666669</v>
      </c>
      <c r="D76" s="411">
        <v>9346413</v>
      </c>
      <c r="E76" s="411">
        <v>5517293.4754897477</v>
      </c>
      <c r="F76" s="411">
        <v>7539433.3300000001</v>
      </c>
      <c r="G76" s="411"/>
      <c r="H76" s="411">
        <v>0</v>
      </c>
      <c r="I76" s="411">
        <v>3194000</v>
      </c>
      <c r="J76" s="411">
        <v>0</v>
      </c>
      <c r="K76" s="411"/>
      <c r="L76" s="396">
        <v>50317526.472156413</v>
      </c>
      <c r="M76" s="452">
        <v>26809430.3188425</v>
      </c>
      <c r="N76" s="412">
        <v>23508096.153313912</v>
      </c>
      <c r="O76" s="415">
        <v>4490021684</v>
      </c>
      <c r="P76" s="413">
        <v>5.2399999999999999E-3</v>
      </c>
    </row>
    <row r="77" spans="1:16" x14ac:dyDescent="0.25">
      <c r="A77" s="410">
        <v>42948</v>
      </c>
      <c r="B77" s="411">
        <v>24303719.999999996</v>
      </c>
      <c r="C77" s="411">
        <v>416666.66666666669</v>
      </c>
      <c r="D77" s="411">
        <v>9449761</v>
      </c>
      <c r="E77" s="411">
        <v>5504068.0996344956</v>
      </c>
      <c r="F77" s="411">
        <v>7539433.3300000001</v>
      </c>
      <c r="G77" s="411"/>
      <c r="H77" s="411">
        <v>0</v>
      </c>
      <c r="I77" s="411">
        <v>3194000</v>
      </c>
      <c r="J77" s="411">
        <v>0</v>
      </c>
      <c r="K77" s="411"/>
      <c r="L77" s="396">
        <v>50407649.096301161</v>
      </c>
      <c r="M77" s="452">
        <v>24646633.022231609</v>
      </c>
      <c r="N77" s="412">
        <v>25761016.074069552</v>
      </c>
      <c r="O77" s="415">
        <v>4743050651</v>
      </c>
      <c r="P77" s="413">
        <v>5.4299999999999999E-3</v>
      </c>
    </row>
    <row r="78" spans="1:16" x14ac:dyDescent="0.25">
      <c r="A78" s="410">
        <v>42979</v>
      </c>
      <c r="B78" s="411">
        <v>24303719.999999996</v>
      </c>
      <c r="C78" s="411">
        <v>416666.66666666669</v>
      </c>
      <c r="D78" s="411">
        <v>9453115</v>
      </c>
      <c r="E78" s="411">
        <v>5490842.7237793235</v>
      </c>
      <c r="F78" s="411">
        <v>7539433.3300000001</v>
      </c>
      <c r="G78" s="411"/>
      <c r="H78" s="411">
        <v>0</v>
      </c>
      <c r="I78" s="411">
        <v>3194000</v>
      </c>
      <c r="J78" s="411">
        <v>0</v>
      </c>
      <c r="K78" s="411"/>
      <c r="L78" s="396">
        <v>50397777.720445983</v>
      </c>
      <c r="M78" s="452">
        <v>21790394.415123332</v>
      </c>
      <c r="N78" s="412">
        <v>28607383.305322651</v>
      </c>
      <c r="O78" s="415">
        <v>4340104651</v>
      </c>
      <c r="P78" s="413">
        <v>6.5900000000000004E-3</v>
      </c>
    </row>
    <row r="79" spans="1:16" x14ac:dyDescent="0.25">
      <c r="A79" s="432">
        <v>43009</v>
      </c>
      <c r="B79" s="411">
        <v>16781140</v>
      </c>
      <c r="C79" s="411">
        <v>416666.66666666669</v>
      </c>
      <c r="D79" s="411">
        <v>9456475</v>
      </c>
      <c r="E79" s="411">
        <v>5477617.3479240723</v>
      </c>
      <c r="F79" s="411">
        <v>7539433.3300000001</v>
      </c>
      <c r="G79" s="411"/>
      <c r="H79" s="411">
        <v>0</v>
      </c>
      <c r="I79" s="411">
        <v>3194000</v>
      </c>
      <c r="J79" s="411">
        <v>0</v>
      </c>
      <c r="K79" s="411"/>
      <c r="L79" s="396">
        <v>42865332.344590738</v>
      </c>
      <c r="M79" s="452">
        <v>21514651.692653336</v>
      </c>
      <c r="N79" s="412">
        <v>21350680.651937403</v>
      </c>
      <c r="O79" s="415">
        <v>3649142448</v>
      </c>
      <c r="P79" s="413">
        <v>5.8500000000000002E-3</v>
      </c>
    </row>
    <row r="80" spans="1:16" x14ac:dyDescent="0.25">
      <c r="A80" s="432">
        <v>43040</v>
      </c>
      <c r="B80" s="411">
        <v>16781140</v>
      </c>
      <c r="C80" s="411">
        <v>416666.66666666669</v>
      </c>
      <c r="D80" s="411">
        <v>6069842</v>
      </c>
      <c r="E80" s="411">
        <v>5464391.9720688593</v>
      </c>
      <c r="F80" s="411">
        <v>1549433.33</v>
      </c>
      <c r="G80" s="411"/>
      <c r="H80" s="411">
        <v>0</v>
      </c>
      <c r="I80" s="411">
        <v>3194000</v>
      </c>
      <c r="J80" s="411">
        <v>0</v>
      </c>
      <c r="K80" s="411"/>
      <c r="L80" s="396">
        <v>33475473.968735524</v>
      </c>
      <c r="M80" s="452">
        <v>-2721014.5764452554</v>
      </c>
      <c r="N80" s="412">
        <v>36196488.545180783</v>
      </c>
      <c r="O80" s="415">
        <v>3316232793</v>
      </c>
      <c r="P80" s="413">
        <v>1.091E-2</v>
      </c>
    </row>
    <row r="81" spans="1:1023 1033:2045 2055:3067 3077:4089 4099:5111 5121:8191 8201:9213 9223:10235 10245:11257 11267:12279 12289:15359 15369:16381" x14ac:dyDescent="0.25">
      <c r="A81" s="410">
        <v>43070</v>
      </c>
      <c r="B81" s="411">
        <v>16781140</v>
      </c>
      <c r="C81" s="411">
        <v>416666.66666666669</v>
      </c>
      <c r="D81" s="411">
        <v>6073216</v>
      </c>
      <c r="E81" s="411">
        <v>5451166.5962136872</v>
      </c>
      <c r="F81" s="411">
        <v>1449433.33</v>
      </c>
      <c r="G81" s="411"/>
      <c r="H81" s="411">
        <v>0</v>
      </c>
      <c r="I81" s="411">
        <v>3194000</v>
      </c>
      <c r="J81" s="411">
        <v>0</v>
      </c>
      <c r="K81" s="411"/>
      <c r="L81" s="396">
        <v>33365622.592880353</v>
      </c>
      <c r="M81" s="452">
        <v>2953510.4280097149</v>
      </c>
      <c r="N81" s="412">
        <v>30412112.164870638</v>
      </c>
      <c r="O81" s="415">
        <v>3621291478</v>
      </c>
      <c r="P81" s="413">
        <v>8.3999999999999995E-3</v>
      </c>
    </row>
    <row r="82" spans="1:1023 1033:2045 2055:3067 3077:4089 4099:5111 5121:8191 8201:9213 9223:10235 10245:11257 11267:12279 12289:15359 15369:16381" x14ac:dyDescent="0.25">
      <c r="A82" s="432">
        <v>43101</v>
      </c>
      <c r="B82" s="411">
        <v>16781140</v>
      </c>
      <c r="C82" s="411">
        <v>416666.66666666669</v>
      </c>
      <c r="D82" s="411">
        <v>5926738</v>
      </c>
      <c r="E82" s="411">
        <v>5393670.9269936299</v>
      </c>
      <c r="F82" s="411">
        <v>764369.07</v>
      </c>
      <c r="G82" s="411"/>
      <c r="H82" s="411">
        <v>0</v>
      </c>
      <c r="I82" s="411">
        <v>3087600</v>
      </c>
      <c r="J82" s="411">
        <v>0</v>
      </c>
      <c r="K82" s="411"/>
      <c r="L82" s="396">
        <v>32370184.663660299</v>
      </c>
      <c r="M82" s="452">
        <v>13516047.338114038</v>
      </c>
      <c r="N82" s="412">
        <v>18854137.325546261</v>
      </c>
      <c r="O82" s="415">
        <v>3666484364</v>
      </c>
      <c r="P82" s="413">
        <v>5.1399999999999996E-3</v>
      </c>
    </row>
    <row r="83" spans="1:1023 1033:2045 2055:3067 3077:4089 4099:5111 5121:8191 8201:9213 9223:10235 10245:11257 11267:12279 12289:15359 15369:16381" x14ac:dyDescent="0.25">
      <c r="A83" s="432">
        <v>43132</v>
      </c>
      <c r="B83" s="411">
        <v>16781140</v>
      </c>
      <c r="C83" s="411">
        <v>416666.66666666669</v>
      </c>
      <c r="D83" s="411">
        <v>6246302.9685505889</v>
      </c>
      <c r="E83" s="411">
        <v>5391370.8885219581</v>
      </c>
      <c r="F83" s="411">
        <v>764369.07</v>
      </c>
      <c r="G83" s="411"/>
      <c r="H83" s="411">
        <v>0</v>
      </c>
      <c r="I83" s="411">
        <v>3087600</v>
      </c>
      <c r="J83" s="411">
        <v>0</v>
      </c>
      <c r="K83" s="411"/>
      <c r="L83" s="396">
        <v>32687449.593739215</v>
      </c>
      <c r="M83" s="452">
        <v>12310187.936988808</v>
      </c>
      <c r="N83" s="412">
        <v>20377261.656750407</v>
      </c>
      <c r="O83" s="415">
        <v>3606346649</v>
      </c>
      <c r="P83" s="413">
        <v>5.6499999999999996E-3</v>
      </c>
    </row>
    <row r="84" spans="1:1023 1033:2045 2055:3067 3077:4089 4099:5111 5121:8191 8201:9213 9223:10235 10245:11257 11267:12279 12289:15359 15369:16381" x14ac:dyDescent="0.25">
      <c r="A84" s="432">
        <v>43160</v>
      </c>
      <c r="B84" s="411">
        <v>16781140</v>
      </c>
      <c r="C84" s="411">
        <v>416666.66666666669</v>
      </c>
      <c r="D84" s="411">
        <v>6227184.3836386874</v>
      </c>
      <c r="E84" s="411">
        <v>5411255.692171366</v>
      </c>
      <c r="F84" s="411">
        <v>834369.07</v>
      </c>
      <c r="G84" s="411"/>
      <c r="H84" s="411">
        <v>0</v>
      </c>
      <c r="I84" s="411">
        <v>3087600</v>
      </c>
      <c r="J84" s="411">
        <v>0</v>
      </c>
      <c r="K84" s="411"/>
      <c r="L84" s="396">
        <v>32758215.812476721</v>
      </c>
      <c r="M84" s="452">
        <v>1754112.1488061436</v>
      </c>
      <c r="N84" s="412">
        <v>31004103.663670577</v>
      </c>
      <c r="O84" s="415">
        <v>3469223338</v>
      </c>
      <c r="P84" s="413">
        <v>8.94E-3</v>
      </c>
    </row>
    <row r="85" spans="1:1023 1033:2045 2055:3067 3077:4089 4099:5111 5121:8191 8201:9213 9223:10235 10245:11257 11267:12279 12289:15359 15369:16381" s="411" customFormat="1" x14ac:dyDescent="0.25">
      <c r="A85" s="432">
        <v>43191</v>
      </c>
      <c r="B85" s="411">
        <v>16781140</v>
      </c>
      <c r="C85" s="411">
        <v>416666.66666666669</v>
      </c>
      <c r="D85" s="411">
        <v>6232425.3156415271</v>
      </c>
      <c r="E85" s="411">
        <v>5211542.5001490023</v>
      </c>
      <c r="F85" s="411">
        <v>942369.07</v>
      </c>
      <c r="H85" s="411">
        <v>0</v>
      </c>
      <c r="I85" s="411">
        <v>3087600</v>
      </c>
      <c r="J85" s="396">
        <v>0</v>
      </c>
      <c r="K85" s="396"/>
      <c r="L85" s="453">
        <v>32671743.552457199</v>
      </c>
      <c r="M85" s="452">
        <v>-2087709.3712400012</v>
      </c>
      <c r="N85" s="412">
        <v>34759452.923697203</v>
      </c>
      <c r="O85" s="415">
        <v>3155208775</v>
      </c>
      <c r="P85" s="413">
        <v>1.102E-2</v>
      </c>
      <c r="Q85" s="454"/>
      <c r="Y85" s="396"/>
      <c r="Z85" s="452"/>
      <c r="AA85" s="412"/>
      <c r="AB85" s="415"/>
      <c r="AC85" s="413"/>
      <c r="AM85" s="396"/>
      <c r="AN85" s="452"/>
      <c r="AO85" s="412"/>
      <c r="AP85" s="415"/>
      <c r="AQ85" s="413"/>
      <c r="BA85" s="396"/>
      <c r="BB85" s="452"/>
      <c r="BC85" s="412"/>
      <c r="BD85" s="415"/>
      <c r="BE85" s="413"/>
      <c r="BO85" s="396"/>
      <c r="BP85" s="452"/>
      <c r="BQ85" s="412"/>
      <c r="BR85" s="415"/>
      <c r="BS85" s="413"/>
      <c r="CC85" s="396"/>
      <c r="CD85" s="452"/>
      <c r="CE85" s="412"/>
      <c r="CF85" s="415"/>
      <c r="CG85" s="413"/>
      <c r="CQ85" s="396"/>
      <c r="CR85" s="452"/>
      <c r="CS85" s="412"/>
      <c r="CT85" s="415"/>
      <c r="CU85" s="413"/>
      <c r="DE85" s="396"/>
      <c r="DF85" s="452"/>
      <c r="DG85" s="412"/>
      <c r="DH85" s="415"/>
      <c r="DI85" s="413"/>
      <c r="DS85" s="396"/>
      <c r="DT85" s="452"/>
      <c r="DU85" s="412"/>
      <c r="DV85" s="415"/>
      <c r="DW85" s="413"/>
      <c r="EG85" s="396"/>
      <c r="EH85" s="452"/>
      <c r="EI85" s="412"/>
      <c r="EJ85" s="415"/>
      <c r="EK85" s="413"/>
      <c r="EU85" s="396"/>
      <c r="EV85" s="452"/>
      <c r="EW85" s="412"/>
      <c r="EX85" s="415"/>
      <c r="EY85" s="413"/>
      <c r="FI85" s="396"/>
      <c r="FJ85" s="452"/>
      <c r="FK85" s="412"/>
      <c r="FL85" s="415"/>
      <c r="FM85" s="413"/>
      <c r="FW85" s="396"/>
      <c r="FX85" s="452"/>
      <c r="FY85" s="412"/>
      <c r="FZ85" s="415"/>
      <c r="GA85" s="413"/>
      <c r="GK85" s="396"/>
      <c r="GL85" s="452"/>
      <c r="GM85" s="412"/>
      <c r="GN85" s="415"/>
      <c r="GO85" s="413"/>
      <c r="GY85" s="396"/>
      <c r="GZ85" s="452"/>
      <c r="HA85" s="412"/>
      <c r="HB85" s="415"/>
      <c r="HC85" s="413"/>
      <c r="HM85" s="396"/>
      <c r="HN85" s="452"/>
      <c r="HO85" s="412"/>
      <c r="HP85" s="415"/>
      <c r="HQ85" s="413"/>
      <c r="IA85" s="396"/>
      <c r="IB85" s="452"/>
      <c r="IC85" s="412"/>
      <c r="ID85" s="415"/>
      <c r="IE85" s="413"/>
      <c r="IO85" s="396"/>
      <c r="IP85" s="452"/>
      <c r="IQ85" s="412"/>
      <c r="IR85" s="415"/>
      <c r="IS85" s="413"/>
      <c r="JC85" s="396"/>
      <c r="JD85" s="452"/>
      <c r="JE85" s="412"/>
      <c r="JF85" s="415"/>
      <c r="JG85" s="413"/>
      <c r="JQ85" s="396"/>
      <c r="JR85" s="452"/>
      <c r="JS85" s="412"/>
      <c r="JT85" s="415"/>
      <c r="JU85" s="413"/>
      <c r="KE85" s="396"/>
      <c r="KF85" s="452"/>
      <c r="KG85" s="412"/>
      <c r="KH85" s="415"/>
      <c r="KI85" s="413"/>
      <c r="KS85" s="396"/>
      <c r="KT85" s="452"/>
      <c r="KU85" s="412"/>
      <c r="KV85" s="415"/>
      <c r="KW85" s="413"/>
      <c r="LG85" s="396"/>
      <c r="LH85" s="452"/>
      <c r="LI85" s="412"/>
      <c r="LJ85" s="415"/>
      <c r="LK85" s="413"/>
      <c r="LU85" s="396"/>
      <c r="LV85" s="452"/>
      <c r="LW85" s="412"/>
      <c r="LX85" s="415"/>
      <c r="LY85" s="413"/>
      <c r="MI85" s="396"/>
      <c r="MJ85" s="452"/>
      <c r="MK85" s="412"/>
      <c r="ML85" s="415"/>
      <c r="MM85" s="413"/>
      <c r="MW85" s="396"/>
      <c r="MX85" s="452"/>
      <c r="MY85" s="412"/>
      <c r="MZ85" s="415"/>
      <c r="NA85" s="413"/>
      <c r="NK85" s="396"/>
      <c r="NL85" s="452"/>
      <c r="NM85" s="412"/>
      <c r="NN85" s="415"/>
      <c r="NO85" s="413"/>
      <c r="NY85" s="396"/>
      <c r="NZ85" s="452"/>
      <c r="OA85" s="412"/>
      <c r="OB85" s="415"/>
      <c r="OC85" s="413"/>
      <c r="OM85" s="396"/>
      <c r="ON85" s="452"/>
      <c r="OO85" s="412"/>
      <c r="OP85" s="415"/>
      <c r="OQ85" s="413"/>
      <c r="PA85" s="396"/>
      <c r="PB85" s="452"/>
      <c r="PC85" s="412"/>
      <c r="PD85" s="415"/>
      <c r="PE85" s="413"/>
      <c r="PO85" s="396"/>
      <c r="PP85" s="452"/>
      <c r="PQ85" s="412"/>
      <c r="PR85" s="415"/>
      <c r="PS85" s="413"/>
      <c r="QC85" s="396"/>
      <c r="QD85" s="452"/>
      <c r="QE85" s="412"/>
      <c r="QF85" s="415"/>
      <c r="QG85" s="413"/>
      <c r="QQ85" s="396"/>
      <c r="QR85" s="452"/>
      <c r="QS85" s="412"/>
      <c r="QT85" s="415"/>
      <c r="QU85" s="413"/>
      <c r="RE85" s="396"/>
      <c r="RF85" s="452"/>
      <c r="RG85" s="412"/>
      <c r="RH85" s="415"/>
      <c r="RI85" s="413"/>
      <c r="RS85" s="396"/>
      <c r="RT85" s="452"/>
      <c r="RU85" s="412"/>
      <c r="RV85" s="415"/>
      <c r="RW85" s="413"/>
      <c r="SG85" s="396"/>
      <c r="SH85" s="452"/>
      <c r="SI85" s="412"/>
      <c r="SJ85" s="415"/>
      <c r="SK85" s="413"/>
      <c r="SU85" s="396"/>
      <c r="SV85" s="452"/>
      <c r="SW85" s="412"/>
      <c r="SX85" s="415"/>
      <c r="SY85" s="413"/>
      <c r="TI85" s="396"/>
      <c r="TJ85" s="452"/>
      <c r="TK85" s="412"/>
      <c r="TL85" s="415"/>
      <c r="TM85" s="413"/>
      <c r="TW85" s="396"/>
      <c r="TX85" s="452"/>
      <c r="TY85" s="412"/>
      <c r="TZ85" s="415"/>
      <c r="UA85" s="413"/>
      <c r="UK85" s="396"/>
      <c r="UL85" s="452"/>
      <c r="UM85" s="412"/>
      <c r="UN85" s="415"/>
      <c r="UO85" s="413"/>
      <c r="UY85" s="396"/>
      <c r="UZ85" s="452"/>
      <c r="VA85" s="412"/>
      <c r="VB85" s="415"/>
      <c r="VC85" s="413"/>
      <c r="VM85" s="396"/>
      <c r="VN85" s="452"/>
      <c r="VO85" s="412"/>
      <c r="VP85" s="415"/>
      <c r="VQ85" s="413"/>
      <c r="WA85" s="396"/>
      <c r="WB85" s="452"/>
      <c r="WC85" s="412"/>
      <c r="WD85" s="415"/>
      <c r="WE85" s="413"/>
      <c r="WO85" s="396"/>
      <c r="WP85" s="452"/>
      <c r="WQ85" s="412"/>
      <c r="WR85" s="415"/>
      <c r="WS85" s="413"/>
      <c r="XC85" s="396"/>
      <c r="XD85" s="452"/>
      <c r="XE85" s="412"/>
      <c r="XF85" s="415"/>
      <c r="XG85" s="413"/>
      <c r="XQ85" s="396"/>
      <c r="XR85" s="452"/>
      <c r="XS85" s="412"/>
      <c r="XT85" s="415"/>
      <c r="XU85" s="413"/>
      <c r="YE85" s="396"/>
      <c r="YF85" s="452"/>
      <c r="YG85" s="412"/>
      <c r="YH85" s="415"/>
      <c r="YI85" s="413"/>
      <c r="YS85" s="396"/>
      <c r="YT85" s="452"/>
      <c r="YU85" s="412"/>
      <c r="YV85" s="415"/>
      <c r="YW85" s="413"/>
      <c r="ZG85" s="396"/>
      <c r="ZH85" s="452"/>
      <c r="ZI85" s="412"/>
      <c r="ZJ85" s="415"/>
      <c r="ZK85" s="413"/>
      <c r="ZU85" s="396"/>
      <c r="ZV85" s="452"/>
      <c r="ZW85" s="412"/>
      <c r="ZX85" s="415"/>
      <c r="ZY85" s="413"/>
      <c r="AAI85" s="396"/>
      <c r="AAJ85" s="452"/>
      <c r="AAK85" s="412"/>
      <c r="AAL85" s="415"/>
      <c r="AAM85" s="413"/>
      <c r="AAW85" s="396"/>
      <c r="AAX85" s="452"/>
      <c r="AAY85" s="412"/>
      <c r="AAZ85" s="415"/>
      <c r="ABA85" s="413"/>
      <c r="ABK85" s="396"/>
      <c r="ABL85" s="452"/>
      <c r="ABM85" s="412"/>
      <c r="ABN85" s="415"/>
      <c r="ABO85" s="413"/>
      <c r="ABY85" s="396"/>
      <c r="ABZ85" s="452"/>
      <c r="ACA85" s="412"/>
      <c r="ACB85" s="415"/>
      <c r="ACC85" s="413"/>
      <c r="ACM85" s="396"/>
      <c r="ACN85" s="452"/>
      <c r="ACO85" s="412"/>
      <c r="ACP85" s="415"/>
      <c r="ACQ85" s="413"/>
      <c r="ADA85" s="396"/>
      <c r="ADB85" s="452"/>
      <c r="ADC85" s="412"/>
      <c r="ADD85" s="415"/>
      <c r="ADE85" s="413"/>
      <c r="ADO85" s="396"/>
      <c r="ADP85" s="452"/>
      <c r="ADQ85" s="412"/>
      <c r="ADR85" s="415"/>
      <c r="ADS85" s="413"/>
      <c r="AEC85" s="396"/>
      <c r="AED85" s="452"/>
      <c r="AEE85" s="412"/>
      <c r="AEF85" s="415"/>
      <c r="AEG85" s="413"/>
      <c r="AEQ85" s="396"/>
      <c r="AER85" s="452"/>
      <c r="AES85" s="412"/>
      <c r="AET85" s="415"/>
      <c r="AEU85" s="413"/>
      <c r="AFE85" s="396"/>
      <c r="AFF85" s="452"/>
      <c r="AFG85" s="412"/>
      <c r="AFH85" s="415"/>
      <c r="AFI85" s="413"/>
      <c r="AFS85" s="396"/>
      <c r="AFT85" s="452"/>
      <c r="AFU85" s="412"/>
      <c r="AFV85" s="415"/>
      <c r="AFW85" s="413"/>
      <c r="AGG85" s="396"/>
      <c r="AGH85" s="452"/>
      <c r="AGI85" s="412"/>
      <c r="AGJ85" s="415"/>
      <c r="AGK85" s="413"/>
      <c r="AGU85" s="396"/>
      <c r="AGV85" s="452"/>
      <c r="AGW85" s="412"/>
      <c r="AGX85" s="415"/>
      <c r="AGY85" s="413"/>
      <c r="AHI85" s="396"/>
      <c r="AHJ85" s="452"/>
      <c r="AHK85" s="412"/>
      <c r="AHL85" s="415"/>
      <c r="AHM85" s="413"/>
      <c r="AHW85" s="396"/>
      <c r="AHX85" s="452"/>
      <c r="AHY85" s="412"/>
      <c r="AHZ85" s="415"/>
      <c r="AIA85" s="413"/>
      <c r="AIK85" s="396"/>
      <c r="AIL85" s="452"/>
      <c r="AIM85" s="412"/>
      <c r="AIN85" s="415"/>
      <c r="AIO85" s="413"/>
      <c r="AIY85" s="396"/>
      <c r="AIZ85" s="452"/>
      <c r="AJA85" s="412"/>
      <c r="AJB85" s="415"/>
      <c r="AJC85" s="413"/>
      <c r="AJM85" s="396"/>
      <c r="AJN85" s="452"/>
      <c r="AJO85" s="412"/>
      <c r="AJP85" s="415"/>
      <c r="AJQ85" s="413"/>
      <c r="AKA85" s="396"/>
      <c r="AKB85" s="452"/>
      <c r="AKC85" s="412"/>
      <c r="AKD85" s="415"/>
      <c r="AKE85" s="413"/>
      <c r="AKO85" s="396"/>
      <c r="AKP85" s="452"/>
      <c r="AKQ85" s="412"/>
      <c r="AKR85" s="415"/>
      <c r="AKS85" s="413"/>
      <c r="ALC85" s="396"/>
      <c r="ALD85" s="452"/>
      <c r="ALE85" s="412"/>
      <c r="ALF85" s="415"/>
      <c r="ALG85" s="413"/>
      <c r="ALQ85" s="396"/>
      <c r="ALR85" s="452"/>
      <c r="ALS85" s="412"/>
      <c r="ALT85" s="415"/>
      <c r="ALU85" s="413"/>
      <c r="AME85" s="396"/>
      <c r="AMF85" s="452"/>
      <c r="AMG85" s="412"/>
      <c r="AMH85" s="415"/>
      <c r="AMI85" s="413"/>
      <c r="AMS85" s="396"/>
      <c r="AMT85" s="452"/>
      <c r="AMU85" s="412"/>
      <c r="AMV85" s="415"/>
      <c r="AMW85" s="413"/>
      <c r="ANG85" s="396"/>
      <c r="ANH85" s="452"/>
      <c r="ANI85" s="412"/>
      <c r="ANJ85" s="415"/>
      <c r="ANK85" s="413"/>
      <c r="ANU85" s="396"/>
      <c r="ANV85" s="452"/>
      <c r="ANW85" s="412"/>
      <c r="ANX85" s="415"/>
      <c r="ANY85" s="413"/>
      <c r="AOI85" s="396"/>
      <c r="AOJ85" s="452"/>
      <c r="AOK85" s="412"/>
      <c r="AOL85" s="415"/>
      <c r="AOM85" s="413"/>
      <c r="AOW85" s="396"/>
      <c r="AOX85" s="452"/>
      <c r="AOY85" s="412"/>
      <c r="AOZ85" s="415"/>
      <c r="APA85" s="413"/>
      <c r="APK85" s="396"/>
      <c r="APL85" s="452"/>
      <c r="APM85" s="412"/>
      <c r="APN85" s="415"/>
      <c r="APO85" s="413"/>
      <c r="APY85" s="396"/>
      <c r="APZ85" s="452"/>
      <c r="AQA85" s="412"/>
      <c r="AQB85" s="415"/>
      <c r="AQC85" s="413"/>
      <c r="AQM85" s="396"/>
      <c r="AQN85" s="452"/>
      <c r="AQO85" s="412"/>
      <c r="AQP85" s="415"/>
      <c r="AQQ85" s="413"/>
      <c r="ARA85" s="396"/>
      <c r="ARB85" s="452"/>
      <c r="ARC85" s="412"/>
      <c r="ARD85" s="415"/>
      <c r="ARE85" s="413"/>
      <c r="ARO85" s="396"/>
      <c r="ARP85" s="452"/>
      <c r="ARQ85" s="412"/>
      <c r="ARR85" s="415"/>
      <c r="ARS85" s="413"/>
      <c r="ASC85" s="396"/>
      <c r="ASD85" s="452"/>
      <c r="ASE85" s="412"/>
      <c r="ASF85" s="415"/>
      <c r="ASG85" s="413"/>
      <c r="ASQ85" s="396"/>
      <c r="ASR85" s="452"/>
      <c r="ASS85" s="412"/>
      <c r="AST85" s="415"/>
      <c r="ASU85" s="413"/>
      <c r="ATE85" s="396"/>
      <c r="ATF85" s="452"/>
      <c r="ATG85" s="412"/>
      <c r="ATH85" s="415"/>
      <c r="ATI85" s="413"/>
      <c r="ATS85" s="396"/>
      <c r="ATT85" s="452"/>
      <c r="ATU85" s="412"/>
      <c r="ATV85" s="415"/>
      <c r="ATW85" s="413"/>
      <c r="AUG85" s="396"/>
      <c r="AUH85" s="452"/>
      <c r="AUI85" s="412"/>
      <c r="AUJ85" s="415"/>
      <c r="AUK85" s="413"/>
      <c r="AUU85" s="396"/>
      <c r="AUV85" s="452"/>
      <c r="AUW85" s="412"/>
      <c r="AUX85" s="415"/>
      <c r="AUY85" s="413"/>
      <c r="AVI85" s="396"/>
      <c r="AVJ85" s="452"/>
      <c r="AVK85" s="412"/>
      <c r="AVL85" s="415"/>
      <c r="AVM85" s="413"/>
      <c r="AVW85" s="396"/>
      <c r="AVX85" s="452"/>
      <c r="AVY85" s="412"/>
      <c r="AVZ85" s="415"/>
      <c r="AWA85" s="413"/>
      <c r="AWK85" s="396"/>
      <c r="AWL85" s="452"/>
      <c r="AWM85" s="412"/>
      <c r="AWN85" s="415"/>
      <c r="AWO85" s="413"/>
      <c r="AWY85" s="396"/>
      <c r="AWZ85" s="452"/>
      <c r="AXA85" s="412"/>
      <c r="AXB85" s="415"/>
      <c r="AXC85" s="413"/>
      <c r="AXM85" s="396"/>
      <c r="AXN85" s="452"/>
      <c r="AXO85" s="412"/>
      <c r="AXP85" s="415"/>
      <c r="AXQ85" s="413"/>
      <c r="AYA85" s="396"/>
      <c r="AYB85" s="452"/>
      <c r="AYC85" s="412"/>
      <c r="AYD85" s="415"/>
      <c r="AYE85" s="413"/>
      <c r="AYO85" s="396"/>
      <c r="AYP85" s="452"/>
      <c r="AYQ85" s="412"/>
      <c r="AYR85" s="415"/>
      <c r="AYS85" s="413"/>
      <c r="AZC85" s="396"/>
      <c r="AZD85" s="452"/>
      <c r="AZE85" s="412"/>
      <c r="AZF85" s="415"/>
      <c r="AZG85" s="413"/>
      <c r="AZQ85" s="396"/>
      <c r="AZR85" s="452"/>
      <c r="AZS85" s="412"/>
      <c r="AZT85" s="415"/>
      <c r="AZU85" s="413"/>
      <c r="BAE85" s="396"/>
      <c r="BAF85" s="452"/>
      <c r="BAG85" s="412"/>
      <c r="BAH85" s="415"/>
      <c r="BAI85" s="413"/>
      <c r="BAS85" s="396"/>
      <c r="BAT85" s="452"/>
      <c r="BAU85" s="412"/>
      <c r="BAV85" s="415"/>
      <c r="BAW85" s="413"/>
      <c r="BBG85" s="396"/>
      <c r="BBH85" s="452"/>
      <c r="BBI85" s="412"/>
      <c r="BBJ85" s="415"/>
      <c r="BBK85" s="413"/>
      <c r="BBU85" s="396"/>
      <c r="BBV85" s="452"/>
      <c r="BBW85" s="412"/>
      <c r="BBX85" s="415"/>
      <c r="BBY85" s="413"/>
      <c r="BCI85" s="396"/>
      <c r="BCJ85" s="452"/>
      <c r="BCK85" s="412"/>
      <c r="BCL85" s="415"/>
      <c r="BCM85" s="413"/>
      <c r="BCW85" s="396"/>
      <c r="BCX85" s="452"/>
      <c r="BCY85" s="412"/>
      <c r="BCZ85" s="415"/>
      <c r="BDA85" s="413"/>
      <c r="BDK85" s="396"/>
      <c r="BDL85" s="452"/>
      <c r="BDM85" s="412"/>
      <c r="BDN85" s="415"/>
      <c r="BDO85" s="413"/>
      <c r="BDY85" s="396"/>
      <c r="BDZ85" s="452"/>
      <c r="BEA85" s="412"/>
      <c r="BEB85" s="415"/>
      <c r="BEC85" s="413"/>
      <c r="BEM85" s="396"/>
      <c r="BEN85" s="452"/>
      <c r="BEO85" s="412"/>
      <c r="BEP85" s="415"/>
      <c r="BEQ85" s="413"/>
      <c r="BFA85" s="396"/>
      <c r="BFB85" s="452"/>
      <c r="BFC85" s="412"/>
      <c r="BFD85" s="415"/>
      <c r="BFE85" s="413"/>
      <c r="BFO85" s="396"/>
      <c r="BFP85" s="452"/>
      <c r="BFQ85" s="412"/>
      <c r="BFR85" s="415"/>
      <c r="BFS85" s="413"/>
      <c r="BGC85" s="396"/>
      <c r="BGD85" s="452"/>
      <c r="BGE85" s="412"/>
      <c r="BGF85" s="415"/>
      <c r="BGG85" s="413"/>
      <c r="BGQ85" s="396"/>
      <c r="BGR85" s="452"/>
      <c r="BGS85" s="412"/>
      <c r="BGT85" s="415"/>
      <c r="BGU85" s="413"/>
      <c r="BHE85" s="396"/>
      <c r="BHF85" s="452"/>
      <c r="BHG85" s="412"/>
      <c r="BHH85" s="415"/>
      <c r="BHI85" s="413"/>
      <c r="BHS85" s="396"/>
      <c r="BHT85" s="452"/>
      <c r="BHU85" s="412"/>
      <c r="BHV85" s="415"/>
      <c r="BHW85" s="413"/>
      <c r="BIG85" s="396"/>
      <c r="BIH85" s="452"/>
      <c r="BII85" s="412"/>
      <c r="BIJ85" s="415"/>
      <c r="BIK85" s="413"/>
      <c r="BIU85" s="396"/>
      <c r="BIV85" s="452"/>
      <c r="BIW85" s="412"/>
      <c r="BIX85" s="415"/>
      <c r="BIY85" s="413"/>
      <c r="BJI85" s="396"/>
      <c r="BJJ85" s="452"/>
      <c r="BJK85" s="412"/>
      <c r="BJL85" s="415"/>
      <c r="BJM85" s="413"/>
      <c r="BJW85" s="396"/>
      <c r="BJX85" s="452"/>
      <c r="BJY85" s="412"/>
      <c r="BJZ85" s="415"/>
      <c r="BKA85" s="413"/>
      <c r="BKK85" s="396"/>
      <c r="BKL85" s="452"/>
      <c r="BKM85" s="412"/>
      <c r="BKN85" s="415"/>
      <c r="BKO85" s="413"/>
      <c r="BKY85" s="396"/>
      <c r="BKZ85" s="452"/>
      <c r="BLA85" s="412"/>
      <c r="BLB85" s="415"/>
      <c r="BLC85" s="413"/>
      <c r="BLM85" s="396"/>
      <c r="BLN85" s="452"/>
      <c r="BLO85" s="412"/>
      <c r="BLP85" s="415"/>
      <c r="BLQ85" s="413"/>
      <c r="BMA85" s="396"/>
      <c r="BMB85" s="452"/>
      <c r="BMC85" s="412"/>
      <c r="BMD85" s="415"/>
      <c r="BME85" s="413"/>
      <c r="BMO85" s="396"/>
      <c r="BMP85" s="452"/>
      <c r="BMQ85" s="412"/>
      <c r="BMR85" s="415"/>
      <c r="BMS85" s="413"/>
      <c r="BNC85" s="396"/>
      <c r="BND85" s="452"/>
      <c r="BNE85" s="412"/>
      <c r="BNF85" s="415"/>
      <c r="BNG85" s="413"/>
      <c r="BNQ85" s="396"/>
      <c r="BNR85" s="452"/>
      <c r="BNS85" s="412"/>
      <c r="BNT85" s="415"/>
      <c r="BNU85" s="413"/>
      <c r="BOE85" s="396"/>
      <c r="BOF85" s="452"/>
      <c r="BOG85" s="412"/>
      <c r="BOH85" s="415"/>
      <c r="BOI85" s="413"/>
      <c r="BOS85" s="396"/>
      <c r="BOT85" s="452"/>
      <c r="BOU85" s="412"/>
      <c r="BOV85" s="415"/>
      <c r="BOW85" s="413"/>
      <c r="BPG85" s="396"/>
      <c r="BPH85" s="452"/>
      <c r="BPI85" s="412"/>
      <c r="BPJ85" s="415"/>
      <c r="BPK85" s="413"/>
      <c r="BPU85" s="396"/>
      <c r="BPV85" s="452"/>
      <c r="BPW85" s="412"/>
      <c r="BPX85" s="415"/>
      <c r="BPY85" s="413"/>
      <c r="BQI85" s="396"/>
      <c r="BQJ85" s="452"/>
      <c r="BQK85" s="412"/>
      <c r="BQL85" s="415"/>
      <c r="BQM85" s="413"/>
      <c r="BQW85" s="396"/>
      <c r="BQX85" s="452"/>
      <c r="BQY85" s="412"/>
      <c r="BQZ85" s="415"/>
      <c r="BRA85" s="413"/>
      <c r="BRK85" s="396"/>
      <c r="BRL85" s="452"/>
      <c r="BRM85" s="412"/>
      <c r="BRN85" s="415"/>
      <c r="BRO85" s="413"/>
      <c r="BRY85" s="396"/>
      <c r="BRZ85" s="452"/>
      <c r="BSA85" s="412"/>
      <c r="BSB85" s="415"/>
      <c r="BSC85" s="413"/>
      <c r="BSM85" s="396"/>
      <c r="BSN85" s="452"/>
      <c r="BSO85" s="412"/>
      <c r="BSP85" s="415"/>
      <c r="BSQ85" s="413"/>
      <c r="BTA85" s="396"/>
      <c r="BTB85" s="452"/>
      <c r="BTC85" s="412"/>
      <c r="BTD85" s="415"/>
      <c r="BTE85" s="413"/>
      <c r="BTO85" s="396"/>
      <c r="BTP85" s="452"/>
      <c r="BTQ85" s="412"/>
      <c r="BTR85" s="415"/>
      <c r="BTS85" s="413"/>
      <c r="BUC85" s="396"/>
      <c r="BUD85" s="452"/>
      <c r="BUE85" s="412"/>
      <c r="BUF85" s="415"/>
      <c r="BUG85" s="413"/>
      <c r="BUQ85" s="396"/>
      <c r="BUR85" s="452"/>
      <c r="BUS85" s="412"/>
      <c r="BUT85" s="415"/>
      <c r="BUU85" s="413"/>
      <c r="BVE85" s="396"/>
      <c r="BVF85" s="452"/>
      <c r="BVG85" s="412"/>
      <c r="BVH85" s="415"/>
      <c r="BVI85" s="413"/>
      <c r="BVS85" s="396"/>
      <c r="BVT85" s="452"/>
      <c r="BVU85" s="412"/>
      <c r="BVV85" s="415"/>
      <c r="BVW85" s="413"/>
      <c r="BWG85" s="396"/>
      <c r="BWH85" s="452"/>
      <c r="BWI85" s="412"/>
      <c r="BWJ85" s="415"/>
      <c r="BWK85" s="413"/>
      <c r="BWU85" s="396"/>
      <c r="BWV85" s="452"/>
      <c r="BWW85" s="412"/>
      <c r="BWX85" s="415"/>
      <c r="BWY85" s="413"/>
      <c r="BXI85" s="396"/>
      <c r="BXJ85" s="452"/>
      <c r="BXK85" s="412"/>
      <c r="BXL85" s="415"/>
      <c r="BXM85" s="413"/>
      <c r="BXW85" s="396"/>
      <c r="BXX85" s="452"/>
      <c r="BXY85" s="412"/>
      <c r="BXZ85" s="415"/>
      <c r="BYA85" s="413"/>
      <c r="BYK85" s="396"/>
      <c r="BYL85" s="452"/>
      <c r="BYM85" s="412"/>
      <c r="BYN85" s="415"/>
      <c r="BYO85" s="413"/>
      <c r="BYY85" s="396"/>
      <c r="BYZ85" s="452"/>
      <c r="BZA85" s="412"/>
      <c r="BZB85" s="415"/>
      <c r="BZC85" s="413"/>
      <c r="BZM85" s="396"/>
      <c r="BZN85" s="452"/>
      <c r="BZO85" s="412"/>
      <c r="BZP85" s="415"/>
      <c r="BZQ85" s="413"/>
      <c r="CAA85" s="396"/>
      <c r="CAB85" s="452"/>
      <c r="CAC85" s="412"/>
      <c r="CAD85" s="415"/>
      <c r="CAE85" s="413"/>
      <c r="CAO85" s="396"/>
      <c r="CAP85" s="452"/>
      <c r="CAQ85" s="412"/>
      <c r="CAR85" s="415"/>
      <c r="CAS85" s="413"/>
      <c r="CBC85" s="396"/>
      <c r="CBD85" s="452"/>
      <c r="CBE85" s="412"/>
      <c r="CBF85" s="415"/>
      <c r="CBG85" s="413"/>
      <c r="CBQ85" s="396"/>
      <c r="CBR85" s="452"/>
      <c r="CBS85" s="412"/>
      <c r="CBT85" s="415"/>
      <c r="CBU85" s="413"/>
      <c r="CCE85" s="396"/>
      <c r="CCF85" s="452"/>
      <c r="CCG85" s="412"/>
      <c r="CCH85" s="415"/>
      <c r="CCI85" s="413"/>
      <c r="CCS85" s="396"/>
      <c r="CCT85" s="452"/>
      <c r="CCU85" s="412"/>
      <c r="CCV85" s="415"/>
      <c r="CCW85" s="413"/>
      <c r="CDG85" s="396"/>
      <c r="CDH85" s="452"/>
      <c r="CDI85" s="412"/>
      <c r="CDJ85" s="415"/>
      <c r="CDK85" s="413"/>
      <c r="CDU85" s="396"/>
      <c r="CDV85" s="452"/>
      <c r="CDW85" s="412"/>
      <c r="CDX85" s="415"/>
      <c r="CDY85" s="413"/>
      <c r="CEI85" s="396"/>
      <c r="CEJ85" s="452"/>
      <c r="CEK85" s="412"/>
      <c r="CEL85" s="415"/>
      <c r="CEM85" s="413"/>
      <c r="CEW85" s="396"/>
      <c r="CEX85" s="452"/>
      <c r="CEY85" s="412"/>
      <c r="CEZ85" s="415"/>
      <c r="CFA85" s="413"/>
      <c r="CFK85" s="396"/>
      <c r="CFL85" s="452"/>
      <c r="CFM85" s="412"/>
      <c r="CFN85" s="415"/>
      <c r="CFO85" s="413"/>
      <c r="CFY85" s="396"/>
      <c r="CFZ85" s="452"/>
      <c r="CGA85" s="412"/>
      <c r="CGB85" s="415"/>
      <c r="CGC85" s="413"/>
      <c r="CGM85" s="396"/>
      <c r="CGN85" s="452"/>
      <c r="CGO85" s="412"/>
      <c r="CGP85" s="415"/>
      <c r="CGQ85" s="413"/>
      <c r="CHA85" s="396"/>
      <c r="CHB85" s="452"/>
      <c r="CHC85" s="412"/>
      <c r="CHD85" s="415"/>
      <c r="CHE85" s="413"/>
      <c r="CHO85" s="396"/>
      <c r="CHP85" s="452"/>
      <c r="CHQ85" s="412"/>
      <c r="CHR85" s="415"/>
      <c r="CHS85" s="413"/>
      <c r="CIC85" s="396"/>
      <c r="CID85" s="452"/>
      <c r="CIE85" s="412"/>
      <c r="CIF85" s="415"/>
      <c r="CIG85" s="413"/>
      <c r="CIQ85" s="396"/>
      <c r="CIR85" s="452"/>
      <c r="CIS85" s="412"/>
      <c r="CIT85" s="415"/>
      <c r="CIU85" s="413"/>
      <c r="CJE85" s="396"/>
      <c r="CJF85" s="452"/>
      <c r="CJG85" s="412"/>
      <c r="CJH85" s="415"/>
      <c r="CJI85" s="413"/>
      <c r="CJS85" s="396"/>
      <c r="CJT85" s="452"/>
      <c r="CJU85" s="412"/>
      <c r="CJV85" s="415"/>
      <c r="CJW85" s="413"/>
      <c r="CKG85" s="396"/>
      <c r="CKH85" s="452"/>
      <c r="CKI85" s="412"/>
      <c r="CKJ85" s="415"/>
      <c r="CKK85" s="413"/>
      <c r="CKU85" s="396"/>
      <c r="CKV85" s="452"/>
      <c r="CKW85" s="412"/>
      <c r="CKX85" s="415"/>
      <c r="CKY85" s="413"/>
      <c r="CLI85" s="396"/>
      <c r="CLJ85" s="452"/>
      <c r="CLK85" s="412"/>
      <c r="CLL85" s="415"/>
      <c r="CLM85" s="413"/>
      <c r="CLW85" s="396"/>
      <c r="CLX85" s="452"/>
      <c r="CLY85" s="412"/>
      <c r="CLZ85" s="415"/>
      <c r="CMA85" s="413"/>
      <c r="CMK85" s="396"/>
      <c r="CML85" s="452"/>
      <c r="CMM85" s="412"/>
      <c r="CMN85" s="415"/>
      <c r="CMO85" s="413"/>
      <c r="CMY85" s="396"/>
      <c r="CMZ85" s="452"/>
      <c r="CNA85" s="412"/>
      <c r="CNB85" s="415"/>
      <c r="CNC85" s="413"/>
      <c r="CNM85" s="396"/>
      <c r="CNN85" s="452"/>
      <c r="CNO85" s="412"/>
      <c r="CNP85" s="415"/>
      <c r="CNQ85" s="413"/>
      <c r="COA85" s="396"/>
      <c r="COB85" s="452"/>
      <c r="COC85" s="412"/>
      <c r="COD85" s="415"/>
      <c r="COE85" s="413"/>
      <c r="COO85" s="396"/>
      <c r="COP85" s="452"/>
      <c r="COQ85" s="412"/>
      <c r="COR85" s="415"/>
      <c r="COS85" s="413"/>
      <c r="CPC85" s="396"/>
      <c r="CPD85" s="452"/>
      <c r="CPE85" s="412"/>
      <c r="CPF85" s="415"/>
      <c r="CPG85" s="413"/>
      <c r="CPQ85" s="396"/>
      <c r="CPR85" s="452"/>
      <c r="CPS85" s="412"/>
      <c r="CPT85" s="415"/>
      <c r="CPU85" s="413"/>
      <c r="CQE85" s="396"/>
      <c r="CQF85" s="452"/>
      <c r="CQG85" s="412"/>
      <c r="CQH85" s="415"/>
      <c r="CQI85" s="413"/>
      <c r="CQS85" s="396"/>
      <c r="CQT85" s="452"/>
      <c r="CQU85" s="412"/>
      <c r="CQV85" s="415"/>
      <c r="CQW85" s="413"/>
      <c r="CRG85" s="396"/>
      <c r="CRH85" s="452"/>
      <c r="CRI85" s="412"/>
      <c r="CRJ85" s="415"/>
      <c r="CRK85" s="413"/>
      <c r="CRU85" s="396"/>
      <c r="CRV85" s="452"/>
      <c r="CRW85" s="412"/>
      <c r="CRX85" s="415"/>
      <c r="CRY85" s="413"/>
      <c r="CSI85" s="396"/>
      <c r="CSJ85" s="452"/>
      <c r="CSK85" s="412"/>
      <c r="CSL85" s="415"/>
      <c r="CSM85" s="413"/>
      <c r="CSW85" s="396"/>
      <c r="CSX85" s="452"/>
      <c r="CSY85" s="412"/>
      <c r="CSZ85" s="415"/>
      <c r="CTA85" s="413"/>
      <c r="CTK85" s="396"/>
      <c r="CTL85" s="452"/>
      <c r="CTM85" s="412"/>
      <c r="CTN85" s="415"/>
      <c r="CTO85" s="413"/>
      <c r="CTY85" s="396"/>
      <c r="CTZ85" s="452"/>
      <c r="CUA85" s="412"/>
      <c r="CUB85" s="415"/>
      <c r="CUC85" s="413"/>
      <c r="CUM85" s="396"/>
      <c r="CUN85" s="452"/>
      <c r="CUO85" s="412"/>
      <c r="CUP85" s="415"/>
      <c r="CUQ85" s="413"/>
      <c r="CVA85" s="396"/>
      <c r="CVB85" s="452"/>
      <c r="CVC85" s="412"/>
      <c r="CVD85" s="415"/>
      <c r="CVE85" s="413"/>
      <c r="CVO85" s="396"/>
      <c r="CVP85" s="452"/>
      <c r="CVQ85" s="412"/>
      <c r="CVR85" s="415"/>
      <c r="CVS85" s="413"/>
      <c r="CWC85" s="396"/>
      <c r="CWD85" s="452"/>
      <c r="CWE85" s="412"/>
      <c r="CWF85" s="415"/>
      <c r="CWG85" s="413"/>
      <c r="CWQ85" s="396"/>
      <c r="CWR85" s="452"/>
      <c r="CWS85" s="412"/>
      <c r="CWT85" s="415"/>
      <c r="CWU85" s="413"/>
      <c r="CXE85" s="396"/>
      <c r="CXF85" s="452"/>
      <c r="CXG85" s="412"/>
      <c r="CXH85" s="415"/>
      <c r="CXI85" s="413"/>
      <c r="CXS85" s="396"/>
      <c r="CXT85" s="452"/>
      <c r="CXU85" s="412"/>
      <c r="CXV85" s="415"/>
      <c r="CXW85" s="413"/>
      <c r="CYG85" s="396"/>
      <c r="CYH85" s="452"/>
      <c r="CYI85" s="412"/>
      <c r="CYJ85" s="415"/>
      <c r="CYK85" s="413"/>
      <c r="CYU85" s="396"/>
      <c r="CYV85" s="452"/>
      <c r="CYW85" s="412"/>
      <c r="CYX85" s="415"/>
      <c r="CYY85" s="413"/>
      <c r="CZI85" s="396"/>
      <c r="CZJ85" s="452"/>
      <c r="CZK85" s="412"/>
      <c r="CZL85" s="415"/>
      <c r="CZM85" s="413"/>
      <c r="CZW85" s="396"/>
      <c r="CZX85" s="452"/>
      <c r="CZY85" s="412"/>
      <c r="CZZ85" s="415"/>
      <c r="DAA85" s="413"/>
      <c r="DAK85" s="396"/>
      <c r="DAL85" s="452"/>
      <c r="DAM85" s="412"/>
      <c r="DAN85" s="415"/>
      <c r="DAO85" s="413"/>
      <c r="DAY85" s="396"/>
      <c r="DAZ85" s="452"/>
      <c r="DBA85" s="412"/>
      <c r="DBB85" s="415"/>
      <c r="DBC85" s="413"/>
      <c r="DBM85" s="396"/>
      <c r="DBN85" s="452"/>
      <c r="DBO85" s="412"/>
      <c r="DBP85" s="415"/>
      <c r="DBQ85" s="413"/>
      <c r="DCA85" s="396"/>
      <c r="DCB85" s="452"/>
      <c r="DCC85" s="412"/>
      <c r="DCD85" s="415"/>
      <c r="DCE85" s="413"/>
      <c r="DCO85" s="396"/>
      <c r="DCP85" s="452"/>
      <c r="DCQ85" s="412"/>
      <c r="DCR85" s="415"/>
      <c r="DCS85" s="413"/>
      <c r="DDC85" s="396"/>
      <c r="DDD85" s="452"/>
      <c r="DDE85" s="412"/>
      <c r="DDF85" s="415"/>
      <c r="DDG85" s="413"/>
      <c r="DDQ85" s="396"/>
      <c r="DDR85" s="452"/>
      <c r="DDS85" s="412"/>
      <c r="DDT85" s="415"/>
      <c r="DDU85" s="413"/>
      <c r="DEE85" s="396"/>
      <c r="DEF85" s="452"/>
      <c r="DEG85" s="412"/>
      <c r="DEH85" s="415"/>
      <c r="DEI85" s="413"/>
      <c r="DES85" s="396"/>
      <c r="DET85" s="452"/>
      <c r="DEU85" s="412"/>
      <c r="DEV85" s="415"/>
      <c r="DEW85" s="413"/>
      <c r="DFG85" s="396"/>
      <c r="DFH85" s="452"/>
      <c r="DFI85" s="412"/>
      <c r="DFJ85" s="415"/>
      <c r="DFK85" s="413"/>
      <c r="DFU85" s="396"/>
      <c r="DFV85" s="452"/>
      <c r="DFW85" s="412"/>
      <c r="DFX85" s="415"/>
      <c r="DFY85" s="413"/>
      <c r="DGI85" s="396"/>
      <c r="DGJ85" s="452"/>
      <c r="DGK85" s="412"/>
      <c r="DGL85" s="415"/>
      <c r="DGM85" s="413"/>
      <c r="DGW85" s="396"/>
      <c r="DGX85" s="452"/>
      <c r="DGY85" s="412"/>
      <c r="DGZ85" s="415"/>
      <c r="DHA85" s="413"/>
      <c r="DHK85" s="396"/>
      <c r="DHL85" s="452"/>
      <c r="DHM85" s="412"/>
      <c r="DHN85" s="415"/>
      <c r="DHO85" s="413"/>
      <c r="DHY85" s="396"/>
      <c r="DHZ85" s="452"/>
      <c r="DIA85" s="412"/>
      <c r="DIB85" s="415"/>
      <c r="DIC85" s="413"/>
      <c r="DIM85" s="396"/>
      <c r="DIN85" s="452"/>
      <c r="DIO85" s="412"/>
      <c r="DIP85" s="415"/>
      <c r="DIQ85" s="413"/>
      <c r="DJA85" s="396"/>
      <c r="DJB85" s="452"/>
      <c r="DJC85" s="412"/>
      <c r="DJD85" s="415"/>
      <c r="DJE85" s="413"/>
      <c r="DJO85" s="396"/>
      <c r="DJP85" s="452"/>
      <c r="DJQ85" s="412"/>
      <c r="DJR85" s="415"/>
      <c r="DJS85" s="413"/>
      <c r="DKC85" s="396"/>
      <c r="DKD85" s="452"/>
      <c r="DKE85" s="412"/>
      <c r="DKF85" s="415"/>
      <c r="DKG85" s="413"/>
      <c r="DKQ85" s="396"/>
      <c r="DKR85" s="452"/>
      <c r="DKS85" s="412"/>
      <c r="DKT85" s="415"/>
      <c r="DKU85" s="413"/>
      <c r="DLE85" s="396"/>
      <c r="DLF85" s="452"/>
      <c r="DLG85" s="412"/>
      <c r="DLH85" s="415"/>
      <c r="DLI85" s="413"/>
      <c r="DLS85" s="396"/>
      <c r="DLT85" s="452"/>
      <c r="DLU85" s="412"/>
      <c r="DLV85" s="415"/>
      <c r="DLW85" s="413"/>
      <c r="DMG85" s="396"/>
      <c r="DMH85" s="452"/>
      <c r="DMI85" s="412"/>
      <c r="DMJ85" s="415"/>
      <c r="DMK85" s="413"/>
      <c r="DMU85" s="396"/>
      <c r="DMV85" s="452"/>
      <c r="DMW85" s="412"/>
      <c r="DMX85" s="415"/>
      <c r="DMY85" s="413"/>
      <c r="DNI85" s="396"/>
      <c r="DNJ85" s="452"/>
      <c r="DNK85" s="412"/>
      <c r="DNL85" s="415"/>
      <c r="DNM85" s="413"/>
      <c r="DNW85" s="396"/>
      <c r="DNX85" s="452"/>
      <c r="DNY85" s="412"/>
      <c r="DNZ85" s="415"/>
      <c r="DOA85" s="413"/>
      <c r="DOK85" s="396"/>
      <c r="DOL85" s="452"/>
      <c r="DOM85" s="412"/>
      <c r="DON85" s="415"/>
      <c r="DOO85" s="413"/>
      <c r="DOY85" s="396"/>
      <c r="DOZ85" s="452"/>
      <c r="DPA85" s="412"/>
      <c r="DPB85" s="415"/>
      <c r="DPC85" s="413"/>
      <c r="DPM85" s="396"/>
      <c r="DPN85" s="452"/>
      <c r="DPO85" s="412"/>
      <c r="DPP85" s="415"/>
      <c r="DPQ85" s="413"/>
      <c r="DQA85" s="396"/>
      <c r="DQB85" s="452"/>
      <c r="DQC85" s="412"/>
      <c r="DQD85" s="415"/>
      <c r="DQE85" s="413"/>
      <c r="DQO85" s="396"/>
      <c r="DQP85" s="452"/>
      <c r="DQQ85" s="412"/>
      <c r="DQR85" s="415"/>
      <c r="DQS85" s="413"/>
      <c r="DRC85" s="396"/>
      <c r="DRD85" s="452"/>
      <c r="DRE85" s="412"/>
      <c r="DRF85" s="415"/>
      <c r="DRG85" s="413"/>
      <c r="DRQ85" s="396"/>
      <c r="DRR85" s="452"/>
      <c r="DRS85" s="412"/>
      <c r="DRT85" s="415"/>
      <c r="DRU85" s="413"/>
      <c r="DSE85" s="396"/>
      <c r="DSF85" s="452"/>
      <c r="DSG85" s="412"/>
      <c r="DSH85" s="415"/>
      <c r="DSI85" s="413"/>
      <c r="DSS85" s="396"/>
      <c r="DST85" s="452"/>
      <c r="DSU85" s="412"/>
      <c r="DSV85" s="415"/>
      <c r="DSW85" s="413"/>
      <c r="DTG85" s="396"/>
      <c r="DTH85" s="452"/>
      <c r="DTI85" s="412"/>
      <c r="DTJ85" s="415"/>
      <c r="DTK85" s="413"/>
      <c r="DTU85" s="396"/>
      <c r="DTV85" s="452"/>
      <c r="DTW85" s="412"/>
      <c r="DTX85" s="415"/>
      <c r="DTY85" s="413"/>
      <c r="DUI85" s="396"/>
      <c r="DUJ85" s="452"/>
      <c r="DUK85" s="412"/>
      <c r="DUL85" s="415"/>
      <c r="DUM85" s="413"/>
      <c r="DUW85" s="396"/>
      <c r="DUX85" s="452"/>
      <c r="DUY85" s="412"/>
      <c r="DUZ85" s="415"/>
      <c r="DVA85" s="413"/>
      <c r="DVK85" s="396"/>
      <c r="DVL85" s="452"/>
      <c r="DVM85" s="412"/>
      <c r="DVN85" s="415"/>
      <c r="DVO85" s="413"/>
      <c r="DVY85" s="396"/>
      <c r="DVZ85" s="452"/>
      <c r="DWA85" s="412"/>
      <c r="DWB85" s="415"/>
      <c r="DWC85" s="413"/>
      <c r="DWM85" s="396"/>
      <c r="DWN85" s="452"/>
      <c r="DWO85" s="412"/>
      <c r="DWP85" s="415"/>
      <c r="DWQ85" s="413"/>
      <c r="DXA85" s="396"/>
      <c r="DXB85" s="452"/>
      <c r="DXC85" s="412"/>
      <c r="DXD85" s="415"/>
      <c r="DXE85" s="413"/>
      <c r="DXO85" s="396"/>
      <c r="DXP85" s="452"/>
      <c r="DXQ85" s="412"/>
      <c r="DXR85" s="415"/>
      <c r="DXS85" s="413"/>
      <c r="DYC85" s="396"/>
      <c r="DYD85" s="452"/>
      <c r="DYE85" s="412"/>
      <c r="DYF85" s="415"/>
      <c r="DYG85" s="413"/>
      <c r="DYQ85" s="396"/>
      <c r="DYR85" s="452"/>
      <c r="DYS85" s="412"/>
      <c r="DYT85" s="415"/>
      <c r="DYU85" s="413"/>
      <c r="DZE85" s="396"/>
      <c r="DZF85" s="452"/>
      <c r="DZG85" s="412"/>
      <c r="DZH85" s="415"/>
      <c r="DZI85" s="413"/>
      <c r="DZS85" s="396"/>
      <c r="DZT85" s="452"/>
      <c r="DZU85" s="412"/>
      <c r="DZV85" s="415"/>
      <c r="DZW85" s="413"/>
      <c r="EAG85" s="396"/>
      <c r="EAH85" s="452"/>
      <c r="EAI85" s="412"/>
      <c r="EAJ85" s="415"/>
      <c r="EAK85" s="413"/>
      <c r="EAU85" s="396"/>
      <c r="EAV85" s="452"/>
      <c r="EAW85" s="412"/>
      <c r="EAX85" s="415"/>
      <c r="EAY85" s="413"/>
      <c r="EBI85" s="396"/>
      <c r="EBJ85" s="452"/>
      <c r="EBK85" s="412"/>
      <c r="EBL85" s="415"/>
      <c r="EBM85" s="413"/>
      <c r="EBW85" s="396"/>
      <c r="EBX85" s="452"/>
      <c r="EBY85" s="412"/>
      <c r="EBZ85" s="415"/>
      <c r="ECA85" s="413"/>
      <c r="ECK85" s="396"/>
      <c r="ECL85" s="452"/>
      <c r="ECM85" s="412"/>
      <c r="ECN85" s="415"/>
      <c r="ECO85" s="413"/>
      <c r="ECY85" s="396"/>
      <c r="ECZ85" s="452"/>
      <c r="EDA85" s="412"/>
      <c r="EDB85" s="415"/>
      <c r="EDC85" s="413"/>
      <c r="EDM85" s="396"/>
      <c r="EDN85" s="452"/>
      <c r="EDO85" s="412"/>
      <c r="EDP85" s="415"/>
      <c r="EDQ85" s="413"/>
      <c r="EEA85" s="396"/>
      <c r="EEB85" s="452"/>
      <c r="EEC85" s="412"/>
      <c r="EED85" s="415"/>
      <c r="EEE85" s="413"/>
      <c r="EEO85" s="396"/>
      <c r="EEP85" s="452"/>
      <c r="EEQ85" s="412"/>
      <c r="EER85" s="415"/>
      <c r="EES85" s="413"/>
      <c r="EFC85" s="396"/>
      <c r="EFD85" s="452"/>
      <c r="EFE85" s="412"/>
      <c r="EFF85" s="415"/>
      <c r="EFG85" s="413"/>
      <c r="EFQ85" s="396"/>
      <c r="EFR85" s="452"/>
      <c r="EFS85" s="412"/>
      <c r="EFT85" s="415"/>
      <c r="EFU85" s="413"/>
      <c r="EGE85" s="396"/>
      <c r="EGF85" s="452"/>
      <c r="EGG85" s="412"/>
      <c r="EGH85" s="415"/>
      <c r="EGI85" s="413"/>
      <c r="EGS85" s="396"/>
      <c r="EGT85" s="452"/>
      <c r="EGU85" s="412"/>
      <c r="EGV85" s="415"/>
      <c r="EGW85" s="413"/>
      <c r="EHG85" s="396"/>
      <c r="EHH85" s="452"/>
      <c r="EHI85" s="412"/>
      <c r="EHJ85" s="415"/>
      <c r="EHK85" s="413"/>
      <c r="EHU85" s="396"/>
      <c r="EHV85" s="452"/>
      <c r="EHW85" s="412"/>
      <c r="EHX85" s="415"/>
      <c r="EHY85" s="413"/>
      <c r="EII85" s="396"/>
      <c r="EIJ85" s="452"/>
      <c r="EIK85" s="412"/>
      <c r="EIL85" s="415"/>
      <c r="EIM85" s="413"/>
      <c r="EIW85" s="396"/>
      <c r="EIX85" s="452"/>
      <c r="EIY85" s="412"/>
      <c r="EIZ85" s="415"/>
      <c r="EJA85" s="413"/>
      <c r="EJK85" s="396"/>
      <c r="EJL85" s="452"/>
      <c r="EJM85" s="412"/>
      <c r="EJN85" s="415"/>
      <c r="EJO85" s="413"/>
      <c r="EJY85" s="396"/>
      <c r="EJZ85" s="452"/>
      <c r="EKA85" s="412"/>
      <c r="EKB85" s="415"/>
      <c r="EKC85" s="413"/>
      <c r="EKM85" s="396"/>
      <c r="EKN85" s="452"/>
      <c r="EKO85" s="412"/>
      <c r="EKP85" s="415"/>
      <c r="EKQ85" s="413"/>
      <c r="ELA85" s="396"/>
      <c r="ELB85" s="452"/>
      <c r="ELC85" s="412"/>
      <c r="ELD85" s="415"/>
      <c r="ELE85" s="413"/>
      <c r="ELO85" s="396"/>
      <c r="ELP85" s="452"/>
      <c r="ELQ85" s="412"/>
      <c r="ELR85" s="415"/>
      <c r="ELS85" s="413"/>
      <c r="EMC85" s="396"/>
      <c r="EMD85" s="452"/>
      <c r="EME85" s="412"/>
      <c r="EMF85" s="415"/>
      <c r="EMG85" s="413"/>
      <c r="EMQ85" s="396"/>
      <c r="EMR85" s="452"/>
      <c r="EMS85" s="412"/>
      <c r="EMT85" s="415"/>
      <c r="EMU85" s="413"/>
      <c r="ENE85" s="396"/>
      <c r="ENF85" s="452"/>
      <c r="ENG85" s="412"/>
      <c r="ENH85" s="415"/>
      <c r="ENI85" s="413"/>
      <c r="ENS85" s="396"/>
      <c r="ENT85" s="452"/>
      <c r="ENU85" s="412"/>
      <c r="ENV85" s="415"/>
      <c r="ENW85" s="413"/>
      <c r="EOG85" s="396"/>
      <c r="EOH85" s="452"/>
      <c r="EOI85" s="412"/>
      <c r="EOJ85" s="415"/>
      <c r="EOK85" s="413"/>
      <c r="EOU85" s="396"/>
      <c r="EOV85" s="452"/>
      <c r="EOW85" s="412"/>
      <c r="EOX85" s="415"/>
      <c r="EOY85" s="413"/>
      <c r="EPI85" s="396"/>
      <c r="EPJ85" s="452"/>
      <c r="EPK85" s="412"/>
      <c r="EPL85" s="415"/>
      <c r="EPM85" s="413"/>
      <c r="EPW85" s="396"/>
      <c r="EPX85" s="452"/>
      <c r="EPY85" s="412"/>
      <c r="EPZ85" s="415"/>
      <c r="EQA85" s="413"/>
      <c r="EQK85" s="396"/>
      <c r="EQL85" s="452"/>
      <c r="EQM85" s="412"/>
      <c r="EQN85" s="415"/>
      <c r="EQO85" s="413"/>
      <c r="EQY85" s="396"/>
      <c r="EQZ85" s="452"/>
      <c r="ERA85" s="412"/>
      <c r="ERB85" s="415"/>
      <c r="ERC85" s="413"/>
      <c r="ERM85" s="396"/>
      <c r="ERN85" s="452"/>
      <c r="ERO85" s="412"/>
      <c r="ERP85" s="415"/>
      <c r="ERQ85" s="413"/>
      <c r="ESA85" s="396"/>
      <c r="ESB85" s="452"/>
      <c r="ESC85" s="412"/>
      <c r="ESD85" s="415"/>
      <c r="ESE85" s="413"/>
      <c r="ESO85" s="396"/>
      <c r="ESP85" s="452"/>
      <c r="ESQ85" s="412"/>
      <c r="ESR85" s="415"/>
      <c r="ESS85" s="413"/>
      <c r="ETC85" s="396"/>
      <c r="ETD85" s="452"/>
      <c r="ETE85" s="412"/>
      <c r="ETF85" s="415"/>
      <c r="ETG85" s="413"/>
      <c r="ETQ85" s="396"/>
      <c r="ETR85" s="452"/>
      <c r="ETS85" s="412"/>
      <c r="ETT85" s="415"/>
      <c r="ETU85" s="413"/>
      <c r="EUE85" s="396"/>
      <c r="EUF85" s="452"/>
      <c r="EUG85" s="412"/>
      <c r="EUH85" s="415"/>
      <c r="EUI85" s="413"/>
      <c r="EUS85" s="396"/>
      <c r="EUT85" s="452"/>
      <c r="EUU85" s="412"/>
      <c r="EUV85" s="415"/>
      <c r="EUW85" s="413"/>
      <c r="EVG85" s="396"/>
      <c r="EVH85" s="452"/>
      <c r="EVI85" s="412"/>
      <c r="EVJ85" s="415"/>
      <c r="EVK85" s="413"/>
      <c r="EVU85" s="396"/>
      <c r="EVV85" s="452"/>
      <c r="EVW85" s="412"/>
      <c r="EVX85" s="415"/>
      <c r="EVY85" s="413"/>
      <c r="EWI85" s="396"/>
      <c r="EWJ85" s="452"/>
      <c r="EWK85" s="412"/>
      <c r="EWL85" s="415"/>
      <c r="EWM85" s="413"/>
      <c r="EWW85" s="396"/>
      <c r="EWX85" s="452"/>
      <c r="EWY85" s="412"/>
      <c r="EWZ85" s="415"/>
      <c r="EXA85" s="413"/>
      <c r="EXK85" s="396"/>
      <c r="EXL85" s="452"/>
      <c r="EXM85" s="412"/>
      <c r="EXN85" s="415"/>
      <c r="EXO85" s="413"/>
      <c r="EXY85" s="396"/>
      <c r="EXZ85" s="452"/>
      <c r="EYA85" s="412"/>
      <c r="EYB85" s="415"/>
      <c r="EYC85" s="413"/>
      <c r="EYM85" s="396"/>
      <c r="EYN85" s="452"/>
      <c r="EYO85" s="412"/>
      <c r="EYP85" s="415"/>
      <c r="EYQ85" s="413"/>
      <c r="EZA85" s="396"/>
      <c r="EZB85" s="452"/>
      <c r="EZC85" s="412"/>
      <c r="EZD85" s="415"/>
      <c r="EZE85" s="413"/>
      <c r="EZO85" s="396"/>
      <c r="EZP85" s="452"/>
      <c r="EZQ85" s="412"/>
      <c r="EZR85" s="415"/>
      <c r="EZS85" s="413"/>
      <c r="FAC85" s="396"/>
      <c r="FAD85" s="452"/>
      <c r="FAE85" s="412"/>
      <c r="FAF85" s="415"/>
      <c r="FAG85" s="413"/>
      <c r="FAQ85" s="396"/>
      <c r="FAR85" s="452"/>
      <c r="FAS85" s="412"/>
      <c r="FAT85" s="415"/>
      <c r="FAU85" s="413"/>
      <c r="FBE85" s="396"/>
      <c r="FBF85" s="452"/>
      <c r="FBG85" s="412"/>
      <c r="FBH85" s="415"/>
      <c r="FBI85" s="413"/>
      <c r="FBS85" s="396"/>
      <c r="FBT85" s="452"/>
      <c r="FBU85" s="412"/>
      <c r="FBV85" s="415"/>
      <c r="FBW85" s="413"/>
      <c r="FCG85" s="396"/>
      <c r="FCH85" s="452"/>
      <c r="FCI85" s="412"/>
      <c r="FCJ85" s="415"/>
      <c r="FCK85" s="413"/>
      <c r="FCU85" s="396"/>
      <c r="FCV85" s="452"/>
      <c r="FCW85" s="412"/>
      <c r="FCX85" s="415"/>
      <c r="FCY85" s="413"/>
      <c r="FDI85" s="396"/>
      <c r="FDJ85" s="452"/>
      <c r="FDK85" s="412"/>
      <c r="FDL85" s="415"/>
      <c r="FDM85" s="413"/>
      <c r="FDW85" s="396"/>
      <c r="FDX85" s="452"/>
      <c r="FDY85" s="412"/>
      <c r="FDZ85" s="415"/>
      <c r="FEA85" s="413"/>
      <c r="FEK85" s="396"/>
      <c r="FEL85" s="452"/>
      <c r="FEM85" s="412"/>
      <c r="FEN85" s="415"/>
      <c r="FEO85" s="413"/>
      <c r="FEY85" s="396"/>
      <c r="FEZ85" s="452"/>
      <c r="FFA85" s="412"/>
      <c r="FFB85" s="415"/>
      <c r="FFC85" s="413"/>
      <c r="FFM85" s="396"/>
      <c r="FFN85" s="452"/>
      <c r="FFO85" s="412"/>
      <c r="FFP85" s="415"/>
      <c r="FFQ85" s="413"/>
      <c r="FGA85" s="396"/>
      <c r="FGB85" s="452"/>
      <c r="FGC85" s="412"/>
      <c r="FGD85" s="415"/>
      <c r="FGE85" s="413"/>
      <c r="FGO85" s="396"/>
      <c r="FGP85" s="452"/>
      <c r="FGQ85" s="412"/>
      <c r="FGR85" s="415"/>
      <c r="FGS85" s="413"/>
      <c r="FHC85" s="396"/>
      <c r="FHD85" s="452"/>
      <c r="FHE85" s="412"/>
      <c r="FHF85" s="415"/>
      <c r="FHG85" s="413"/>
      <c r="FHQ85" s="396"/>
      <c r="FHR85" s="452"/>
      <c r="FHS85" s="412"/>
      <c r="FHT85" s="415"/>
      <c r="FHU85" s="413"/>
      <c r="FIE85" s="396"/>
      <c r="FIF85" s="452"/>
      <c r="FIG85" s="412"/>
      <c r="FIH85" s="415"/>
      <c r="FII85" s="413"/>
      <c r="FIS85" s="396"/>
      <c r="FIT85" s="452"/>
      <c r="FIU85" s="412"/>
      <c r="FIV85" s="415"/>
      <c r="FIW85" s="413"/>
      <c r="FJG85" s="396"/>
      <c r="FJH85" s="452"/>
      <c r="FJI85" s="412"/>
      <c r="FJJ85" s="415"/>
      <c r="FJK85" s="413"/>
      <c r="FJU85" s="396"/>
      <c r="FJV85" s="452"/>
      <c r="FJW85" s="412"/>
      <c r="FJX85" s="415"/>
      <c r="FJY85" s="413"/>
      <c r="FKI85" s="396"/>
      <c r="FKJ85" s="452"/>
      <c r="FKK85" s="412"/>
      <c r="FKL85" s="415"/>
      <c r="FKM85" s="413"/>
      <c r="FKW85" s="396"/>
      <c r="FKX85" s="452"/>
      <c r="FKY85" s="412"/>
      <c r="FKZ85" s="415"/>
      <c r="FLA85" s="413"/>
      <c r="FLK85" s="396"/>
      <c r="FLL85" s="452"/>
      <c r="FLM85" s="412"/>
      <c r="FLN85" s="415"/>
      <c r="FLO85" s="413"/>
      <c r="FLY85" s="396"/>
      <c r="FLZ85" s="452"/>
      <c r="FMA85" s="412"/>
      <c r="FMB85" s="415"/>
      <c r="FMC85" s="413"/>
      <c r="FMM85" s="396"/>
      <c r="FMN85" s="452"/>
      <c r="FMO85" s="412"/>
      <c r="FMP85" s="415"/>
      <c r="FMQ85" s="413"/>
      <c r="FNA85" s="396"/>
      <c r="FNB85" s="452"/>
      <c r="FNC85" s="412"/>
      <c r="FND85" s="415"/>
      <c r="FNE85" s="413"/>
      <c r="FNO85" s="396"/>
      <c r="FNP85" s="452"/>
      <c r="FNQ85" s="412"/>
      <c r="FNR85" s="415"/>
      <c r="FNS85" s="413"/>
      <c r="FOC85" s="396"/>
      <c r="FOD85" s="452"/>
      <c r="FOE85" s="412"/>
      <c r="FOF85" s="415"/>
      <c r="FOG85" s="413"/>
      <c r="FOQ85" s="396"/>
      <c r="FOR85" s="452"/>
      <c r="FOS85" s="412"/>
      <c r="FOT85" s="415"/>
      <c r="FOU85" s="413"/>
      <c r="FPE85" s="396"/>
      <c r="FPF85" s="452"/>
      <c r="FPG85" s="412"/>
      <c r="FPH85" s="415"/>
      <c r="FPI85" s="413"/>
      <c r="FPS85" s="396"/>
      <c r="FPT85" s="452"/>
      <c r="FPU85" s="412"/>
      <c r="FPV85" s="415"/>
      <c r="FPW85" s="413"/>
      <c r="FQG85" s="396"/>
      <c r="FQH85" s="452"/>
      <c r="FQI85" s="412"/>
      <c r="FQJ85" s="415"/>
      <c r="FQK85" s="413"/>
      <c r="FQU85" s="396"/>
      <c r="FQV85" s="452"/>
      <c r="FQW85" s="412"/>
      <c r="FQX85" s="415"/>
      <c r="FQY85" s="413"/>
      <c r="FRI85" s="396"/>
      <c r="FRJ85" s="452"/>
      <c r="FRK85" s="412"/>
      <c r="FRL85" s="415"/>
      <c r="FRM85" s="413"/>
      <c r="FRW85" s="396"/>
      <c r="FRX85" s="452"/>
      <c r="FRY85" s="412"/>
      <c r="FRZ85" s="415"/>
      <c r="FSA85" s="413"/>
      <c r="FSK85" s="396"/>
      <c r="FSL85" s="452"/>
      <c r="FSM85" s="412"/>
      <c r="FSN85" s="415"/>
      <c r="FSO85" s="413"/>
      <c r="FSY85" s="396"/>
      <c r="FSZ85" s="452"/>
      <c r="FTA85" s="412"/>
      <c r="FTB85" s="415"/>
      <c r="FTC85" s="413"/>
      <c r="FTM85" s="396"/>
      <c r="FTN85" s="452"/>
      <c r="FTO85" s="412"/>
      <c r="FTP85" s="415"/>
      <c r="FTQ85" s="413"/>
      <c r="FUA85" s="396"/>
      <c r="FUB85" s="452"/>
      <c r="FUC85" s="412"/>
      <c r="FUD85" s="415"/>
      <c r="FUE85" s="413"/>
      <c r="FUO85" s="396"/>
      <c r="FUP85" s="452"/>
      <c r="FUQ85" s="412"/>
      <c r="FUR85" s="415"/>
      <c r="FUS85" s="413"/>
      <c r="FVC85" s="396"/>
      <c r="FVD85" s="452"/>
      <c r="FVE85" s="412"/>
      <c r="FVF85" s="415"/>
      <c r="FVG85" s="413"/>
      <c r="FVQ85" s="396"/>
      <c r="FVR85" s="452"/>
      <c r="FVS85" s="412"/>
      <c r="FVT85" s="415"/>
      <c r="FVU85" s="413"/>
      <c r="FWE85" s="396"/>
      <c r="FWF85" s="452"/>
      <c r="FWG85" s="412"/>
      <c r="FWH85" s="415"/>
      <c r="FWI85" s="413"/>
      <c r="FWS85" s="396"/>
      <c r="FWT85" s="452"/>
      <c r="FWU85" s="412"/>
      <c r="FWV85" s="415"/>
      <c r="FWW85" s="413"/>
      <c r="FXG85" s="396"/>
      <c r="FXH85" s="452"/>
      <c r="FXI85" s="412"/>
      <c r="FXJ85" s="415"/>
      <c r="FXK85" s="413"/>
      <c r="FXU85" s="396"/>
      <c r="FXV85" s="452"/>
      <c r="FXW85" s="412"/>
      <c r="FXX85" s="415"/>
      <c r="FXY85" s="413"/>
      <c r="FYI85" s="396"/>
      <c r="FYJ85" s="452"/>
      <c r="FYK85" s="412"/>
      <c r="FYL85" s="415"/>
      <c r="FYM85" s="413"/>
      <c r="FYW85" s="396"/>
      <c r="FYX85" s="452"/>
      <c r="FYY85" s="412"/>
      <c r="FYZ85" s="415"/>
      <c r="FZA85" s="413"/>
      <c r="FZK85" s="396"/>
      <c r="FZL85" s="452"/>
      <c r="FZM85" s="412"/>
      <c r="FZN85" s="415"/>
      <c r="FZO85" s="413"/>
      <c r="FZY85" s="396"/>
      <c r="FZZ85" s="452"/>
      <c r="GAA85" s="412"/>
      <c r="GAB85" s="415"/>
      <c r="GAC85" s="413"/>
      <c r="GAM85" s="396"/>
      <c r="GAN85" s="452"/>
      <c r="GAO85" s="412"/>
      <c r="GAP85" s="415"/>
      <c r="GAQ85" s="413"/>
      <c r="GBA85" s="396"/>
      <c r="GBB85" s="452"/>
      <c r="GBC85" s="412"/>
      <c r="GBD85" s="415"/>
      <c r="GBE85" s="413"/>
      <c r="GBO85" s="396"/>
      <c r="GBP85" s="452"/>
      <c r="GBQ85" s="412"/>
      <c r="GBR85" s="415"/>
      <c r="GBS85" s="413"/>
      <c r="GCC85" s="396"/>
      <c r="GCD85" s="452"/>
      <c r="GCE85" s="412"/>
      <c r="GCF85" s="415"/>
      <c r="GCG85" s="413"/>
      <c r="GCQ85" s="396"/>
      <c r="GCR85" s="452"/>
      <c r="GCS85" s="412"/>
      <c r="GCT85" s="415"/>
      <c r="GCU85" s="413"/>
      <c r="GDE85" s="396"/>
      <c r="GDF85" s="452"/>
      <c r="GDG85" s="412"/>
      <c r="GDH85" s="415"/>
      <c r="GDI85" s="413"/>
      <c r="GDS85" s="396"/>
      <c r="GDT85" s="452"/>
      <c r="GDU85" s="412"/>
      <c r="GDV85" s="415"/>
      <c r="GDW85" s="413"/>
      <c r="GEG85" s="396"/>
      <c r="GEH85" s="452"/>
      <c r="GEI85" s="412"/>
      <c r="GEJ85" s="415"/>
      <c r="GEK85" s="413"/>
      <c r="GEU85" s="396"/>
      <c r="GEV85" s="452"/>
      <c r="GEW85" s="412"/>
      <c r="GEX85" s="415"/>
      <c r="GEY85" s="413"/>
      <c r="GFI85" s="396"/>
      <c r="GFJ85" s="452"/>
      <c r="GFK85" s="412"/>
      <c r="GFL85" s="415"/>
      <c r="GFM85" s="413"/>
      <c r="GFW85" s="396"/>
      <c r="GFX85" s="452"/>
      <c r="GFY85" s="412"/>
      <c r="GFZ85" s="415"/>
      <c r="GGA85" s="413"/>
      <c r="GGK85" s="396"/>
      <c r="GGL85" s="452"/>
      <c r="GGM85" s="412"/>
      <c r="GGN85" s="415"/>
      <c r="GGO85" s="413"/>
      <c r="GGY85" s="396"/>
      <c r="GGZ85" s="452"/>
      <c r="GHA85" s="412"/>
      <c r="GHB85" s="415"/>
      <c r="GHC85" s="413"/>
      <c r="GHM85" s="396"/>
      <c r="GHN85" s="452"/>
      <c r="GHO85" s="412"/>
      <c r="GHP85" s="415"/>
      <c r="GHQ85" s="413"/>
      <c r="GIA85" s="396"/>
      <c r="GIB85" s="452"/>
      <c r="GIC85" s="412"/>
      <c r="GID85" s="415"/>
      <c r="GIE85" s="413"/>
      <c r="GIO85" s="396"/>
      <c r="GIP85" s="452"/>
      <c r="GIQ85" s="412"/>
      <c r="GIR85" s="415"/>
      <c r="GIS85" s="413"/>
      <c r="GJC85" s="396"/>
      <c r="GJD85" s="452"/>
      <c r="GJE85" s="412"/>
      <c r="GJF85" s="415"/>
      <c r="GJG85" s="413"/>
      <c r="GJQ85" s="396"/>
      <c r="GJR85" s="452"/>
      <c r="GJS85" s="412"/>
      <c r="GJT85" s="415"/>
      <c r="GJU85" s="413"/>
      <c r="GKE85" s="396"/>
      <c r="GKF85" s="452"/>
      <c r="GKG85" s="412"/>
      <c r="GKH85" s="415"/>
      <c r="GKI85" s="413"/>
      <c r="GKS85" s="396"/>
      <c r="GKT85" s="452"/>
      <c r="GKU85" s="412"/>
      <c r="GKV85" s="415"/>
      <c r="GKW85" s="413"/>
      <c r="GLG85" s="396"/>
      <c r="GLH85" s="452"/>
      <c r="GLI85" s="412"/>
      <c r="GLJ85" s="415"/>
      <c r="GLK85" s="413"/>
      <c r="GLU85" s="396"/>
      <c r="GLV85" s="452"/>
      <c r="GLW85" s="412"/>
      <c r="GLX85" s="415"/>
      <c r="GLY85" s="413"/>
      <c r="GMI85" s="396"/>
      <c r="GMJ85" s="452"/>
      <c r="GMK85" s="412"/>
      <c r="GML85" s="415"/>
      <c r="GMM85" s="413"/>
      <c r="GMW85" s="396"/>
      <c r="GMX85" s="452"/>
      <c r="GMY85" s="412"/>
      <c r="GMZ85" s="415"/>
      <c r="GNA85" s="413"/>
      <c r="GNK85" s="396"/>
      <c r="GNL85" s="452"/>
      <c r="GNM85" s="412"/>
      <c r="GNN85" s="415"/>
      <c r="GNO85" s="413"/>
      <c r="GNY85" s="396"/>
      <c r="GNZ85" s="452"/>
      <c r="GOA85" s="412"/>
      <c r="GOB85" s="415"/>
      <c r="GOC85" s="413"/>
      <c r="GOM85" s="396"/>
      <c r="GON85" s="452"/>
      <c r="GOO85" s="412"/>
      <c r="GOP85" s="415"/>
      <c r="GOQ85" s="413"/>
      <c r="GPA85" s="396"/>
      <c r="GPB85" s="452"/>
      <c r="GPC85" s="412"/>
      <c r="GPD85" s="415"/>
      <c r="GPE85" s="413"/>
      <c r="GPO85" s="396"/>
      <c r="GPP85" s="452"/>
      <c r="GPQ85" s="412"/>
      <c r="GPR85" s="415"/>
      <c r="GPS85" s="413"/>
      <c r="GQC85" s="396"/>
      <c r="GQD85" s="452"/>
      <c r="GQE85" s="412"/>
      <c r="GQF85" s="415"/>
      <c r="GQG85" s="413"/>
      <c r="GQQ85" s="396"/>
      <c r="GQR85" s="452"/>
      <c r="GQS85" s="412"/>
      <c r="GQT85" s="415"/>
      <c r="GQU85" s="413"/>
      <c r="GRE85" s="396"/>
      <c r="GRF85" s="452"/>
      <c r="GRG85" s="412"/>
      <c r="GRH85" s="415"/>
      <c r="GRI85" s="413"/>
      <c r="GRS85" s="396"/>
      <c r="GRT85" s="452"/>
      <c r="GRU85" s="412"/>
      <c r="GRV85" s="415"/>
      <c r="GRW85" s="413"/>
      <c r="GSG85" s="396"/>
      <c r="GSH85" s="452"/>
      <c r="GSI85" s="412"/>
      <c r="GSJ85" s="415"/>
      <c r="GSK85" s="413"/>
      <c r="GSU85" s="396"/>
      <c r="GSV85" s="452"/>
      <c r="GSW85" s="412"/>
      <c r="GSX85" s="415"/>
      <c r="GSY85" s="413"/>
      <c r="GTI85" s="396"/>
      <c r="GTJ85" s="452"/>
      <c r="GTK85" s="412"/>
      <c r="GTL85" s="415"/>
      <c r="GTM85" s="413"/>
      <c r="GTW85" s="396"/>
      <c r="GTX85" s="452"/>
      <c r="GTY85" s="412"/>
      <c r="GTZ85" s="415"/>
      <c r="GUA85" s="413"/>
      <c r="GUK85" s="396"/>
      <c r="GUL85" s="452"/>
      <c r="GUM85" s="412"/>
      <c r="GUN85" s="415"/>
      <c r="GUO85" s="413"/>
      <c r="GUY85" s="396"/>
      <c r="GUZ85" s="452"/>
      <c r="GVA85" s="412"/>
      <c r="GVB85" s="415"/>
      <c r="GVC85" s="413"/>
      <c r="GVM85" s="396"/>
      <c r="GVN85" s="452"/>
      <c r="GVO85" s="412"/>
      <c r="GVP85" s="415"/>
      <c r="GVQ85" s="413"/>
      <c r="GWA85" s="396"/>
      <c r="GWB85" s="452"/>
      <c r="GWC85" s="412"/>
      <c r="GWD85" s="415"/>
      <c r="GWE85" s="413"/>
      <c r="GWO85" s="396"/>
      <c r="GWP85" s="452"/>
      <c r="GWQ85" s="412"/>
      <c r="GWR85" s="415"/>
      <c r="GWS85" s="413"/>
      <c r="GXC85" s="396"/>
      <c r="GXD85" s="452"/>
      <c r="GXE85" s="412"/>
      <c r="GXF85" s="415"/>
      <c r="GXG85" s="413"/>
      <c r="GXQ85" s="396"/>
      <c r="GXR85" s="452"/>
      <c r="GXS85" s="412"/>
      <c r="GXT85" s="415"/>
      <c r="GXU85" s="413"/>
      <c r="GYE85" s="396"/>
      <c r="GYF85" s="452"/>
      <c r="GYG85" s="412"/>
      <c r="GYH85" s="415"/>
      <c r="GYI85" s="413"/>
      <c r="GYS85" s="396"/>
      <c r="GYT85" s="452"/>
      <c r="GYU85" s="412"/>
      <c r="GYV85" s="415"/>
      <c r="GYW85" s="413"/>
      <c r="GZG85" s="396"/>
      <c r="GZH85" s="452"/>
      <c r="GZI85" s="412"/>
      <c r="GZJ85" s="415"/>
      <c r="GZK85" s="413"/>
      <c r="GZU85" s="396"/>
      <c r="GZV85" s="452"/>
      <c r="GZW85" s="412"/>
      <c r="GZX85" s="415"/>
      <c r="GZY85" s="413"/>
      <c r="HAI85" s="396"/>
      <c r="HAJ85" s="452"/>
      <c r="HAK85" s="412"/>
      <c r="HAL85" s="415"/>
      <c r="HAM85" s="413"/>
      <c r="HAW85" s="396"/>
      <c r="HAX85" s="452"/>
      <c r="HAY85" s="412"/>
      <c r="HAZ85" s="415"/>
      <c r="HBA85" s="413"/>
      <c r="HBK85" s="396"/>
      <c r="HBL85" s="452"/>
      <c r="HBM85" s="412"/>
      <c r="HBN85" s="415"/>
      <c r="HBO85" s="413"/>
      <c r="HBY85" s="396"/>
      <c r="HBZ85" s="452"/>
      <c r="HCA85" s="412"/>
      <c r="HCB85" s="415"/>
      <c r="HCC85" s="413"/>
      <c r="HCM85" s="396"/>
      <c r="HCN85" s="452"/>
      <c r="HCO85" s="412"/>
      <c r="HCP85" s="415"/>
      <c r="HCQ85" s="413"/>
      <c r="HDA85" s="396"/>
      <c r="HDB85" s="452"/>
      <c r="HDC85" s="412"/>
      <c r="HDD85" s="415"/>
      <c r="HDE85" s="413"/>
      <c r="HDO85" s="396"/>
      <c r="HDP85" s="452"/>
      <c r="HDQ85" s="412"/>
      <c r="HDR85" s="415"/>
      <c r="HDS85" s="413"/>
      <c r="HEC85" s="396"/>
      <c r="HED85" s="452"/>
      <c r="HEE85" s="412"/>
      <c r="HEF85" s="415"/>
      <c r="HEG85" s="413"/>
      <c r="HEQ85" s="396"/>
      <c r="HER85" s="452"/>
      <c r="HES85" s="412"/>
      <c r="HET85" s="415"/>
      <c r="HEU85" s="413"/>
      <c r="HFE85" s="396"/>
      <c r="HFF85" s="452"/>
      <c r="HFG85" s="412"/>
      <c r="HFH85" s="415"/>
      <c r="HFI85" s="413"/>
      <c r="HFS85" s="396"/>
      <c r="HFT85" s="452"/>
      <c r="HFU85" s="412"/>
      <c r="HFV85" s="415"/>
      <c r="HFW85" s="413"/>
      <c r="HGG85" s="396"/>
      <c r="HGH85" s="452"/>
      <c r="HGI85" s="412"/>
      <c r="HGJ85" s="415"/>
      <c r="HGK85" s="413"/>
      <c r="HGU85" s="396"/>
      <c r="HGV85" s="452"/>
      <c r="HGW85" s="412"/>
      <c r="HGX85" s="415"/>
      <c r="HGY85" s="413"/>
      <c r="HHI85" s="396"/>
      <c r="HHJ85" s="452"/>
      <c r="HHK85" s="412"/>
      <c r="HHL85" s="415"/>
      <c r="HHM85" s="413"/>
      <c r="HHW85" s="396"/>
      <c r="HHX85" s="452"/>
      <c r="HHY85" s="412"/>
      <c r="HHZ85" s="415"/>
      <c r="HIA85" s="413"/>
      <c r="HIK85" s="396"/>
      <c r="HIL85" s="452"/>
      <c r="HIM85" s="412"/>
      <c r="HIN85" s="415"/>
      <c r="HIO85" s="413"/>
      <c r="HIY85" s="396"/>
      <c r="HIZ85" s="452"/>
      <c r="HJA85" s="412"/>
      <c r="HJB85" s="415"/>
      <c r="HJC85" s="413"/>
      <c r="HJM85" s="396"/>
      <c r="HJN85" s="452"/>
      <c r="HJO85" s="412"/>
      <c r="HJP85" s="415"/>
      <c r="HJQ85" s="413"/>
      <c r="HKA85" s="396"/>
      <c r="HKB85" s="452"/>
      <c r="HKC85" s="412"/>
      <c r="HKD85" s="415"/>
      <c r="HKE85" s="413"/>
      <c r="HKO85" s="396"/>
      <c r="HKP85" s="452"/>
      <c r="HKQ85" s="412"/>
      <c r="HKR85" s="415"/>
      <c r="HKS85" s="413"/>
      <c r="HLC85" s="396"/>
      <c r="HLD85" s="452"/>
      <c r="HLE85" s="412"/>
      <c r="HLF85" s="415"/>
      <c r="HLG85" s="413"/>
      <c r="HLQ85" s="396"/>
      <c r="HLR85" s="452"/>
      <c r="HLS85" s="412"/>
      <c r="HLT85" s="415"/>
      <c r="HLU85" s="413"/>
      <c r="HME85" s="396"/>
      <c r="HMF85" s="452"/>
      <c r="HMG85" s="412"/>
      <c r="HMH85" s="415"/>
      <c r="HMI85" s="413"/>
      <c r="HMS85" s="396"/>
      <c r="HMT85" s="452"/>
      <c r="HMU85" s="412"/>
      <c r="HMV85" s="415"/>
      <c r="HMW85" s="413"/>
      <c r="HNG85" s="396"/>
      <c r="HNH85" s="452"/>
      <c r="HNI85" s="412"/>
      <c r="HNJ85" s="415"/>
      <c r="HNK85" s="413"/>
      <c r="HNU85" s="396"/>
      <c r="HNV85" s="452"/>
      <c r="HNW85" s="412"/>
      <c r="HNX85" s="415"/>
      <c r="HNY85" s="413"/>
      <c r="HOI85" s="396"/>
      <c r="HOJ85" s="452"/>
      <c r="HOK85" s="412"/>
      <c r="HOL85" s="415"/>
      <c r="HOM85" s="413"/>
      <c r="HOW85" s="396"/>
      <c r="HOX85" s="452"/>
      <c r="HOY85" s="412"/>
      <c r="HOZ85" s="415"/>
      <c r="HPA85" s="413"/>
      <c r="HPK85" s="396"/>
      <c r="HPL85" s="452"/>
      <c r="HPM85" s="412"/>
      <c r="HPN85" s="415"/>
      <c r="HPO85" s="413"/>
      <c r="HPY85" s="396"/>
      <c r="HPZ85" s="452"/>
      <c r="HQA85" s="412"/>
      <c r="HQB85" s="415"/>
      <c r="HQC85" s="413"/>
      <c r="HQM85" s="396"/>
      <c r="HQN85" s="452"/>
      <c r="HQO85" s="412"/>
      <c r="HQP85" s="415"/>
      <c r="HQQ85" s="413"/>
      <c r="HRA85" s="396"/>
      <c r="HRB85" s="452"/>
      <c r="HRC85" s="412"/>
      <c r="HRD85" s="415"/>
      <c r="HRE85" s="413"/>
      <c r="HRO85" s="396"/>
      <c r="HRP85" s="452"/>
      <c r="HRQ85" s="412"/>
      <c r="HRR85" s="415"/>
      <c r="HRS85" s="413"/>
      <c r="HSC85" s="396"/>
      <c r="HSD85" s="452"/>
      <c r="HSE85" s="412"/>
      <c r="HSF85" s="415"/>
      <c r="HSG85" s="413"/>
      <c r="HSQ85" s="396"/>
      <c r="HSR85" s="452"/>
      <c r="HSS85" s="412"/>
      <c r="HST85" s="415"/>
      <c r="HSU85" s="413"/>
      <c r="HTE85" s="396"/>
      <c r="HTF85" s="452"/>
      <c r="HTG85" s="412"/>
      <c r="HTH85" s="415"/>
      <c r="HTI85" s="413"/>
      <c r="HTS85" s="396"/>
      <c r="HTT85" s="452"/>
      <c r="HTU85" s="412"/>
      <c r="HTV85" s="415"/>
      <c r="HTW85" s="413"/>
      <c r="HUG85" s="396"/>
      <c r="HUH85" s="452"/>
      <c r="HUI85" s="412"/>
      <c r="HUJ85" s="415"/>
      <c r="HUK85" s="413"/>
      <c r="HUU85" s="396"/>
      <c r="HUV85" s="452"/>
      <c r="HUW85" s="412"/>
      <c r="HUX85" s="415"/>
      <c r="HUY85" s="413"/>
      <c r="HVI85" s="396"/>
      <c r="HVJ85" s="452"/>
      <c r="HVK85" s="412"/>
      <c r="HVL85" s="415"/>
      <c r="HVM85" s="413"/>
      <c r="HVW85" s="396"/>
      <c r="HVX85" s="452"/>
      <c r="HVY85" s="412"/>
      <c r="HVZ85" s="415"/>
      <c r="HWA85" s="413"/>
      <c r="HWK85" s="396"/>
      <c r="HWL85" s="452"/>
      <c r="HWM85" s="412"/>
      <c r="HWN85" s="415"/>
      <c r="HWO85" s="413"/>
      <c r="HWY85" s="396"/>
      <c r="HWZ85" s="452"/>
      <c r="HXA85" s="412"/>
      <c r="HXB85" s="415"/>
      <c r="HXC85" s="413"/>
      <c r="HXM85" s="396"/>
      <c r="HXN85" s="452"/>
      <c r="HXO85" s="412"/>
      <c r="HXP85" s="415"/>
      <c r="HXQ85" s="413"/>
      <c r="HYA85" s="396"/>
      <c r="HYB85" s="452"/>
      <c r="HYC85" s="412"/>
      <c r="HYD85" s="415"/>
      <c r="HYE85" s="413"/>
      <c r="HYO85" s="396"/>
      <c r="HYP85" s="452"/>
      <c r="HYQ85" s="412"/>
      <c r="HYR85" s="415"/>
      <c r="HYS85" s="413"/>
      <c r="HZC85" s="396"/>
      <c r="HZD85" s="452"/>
      <c r="HZE85" s="412"/>
      <c r="HZF85" s="415"/>
      <c r="HZG85" s="413"/>
      <c r="HZQ85" s="396"/>
      <c r="HZR85" s="452"/>
      <c r="HZS85" s="412"/>
      <c r="HZT85" s="415"/>
      <c r="HZU85" s="413"/>
      <c r="IAE85" s="396"/>
      <c r="IAF85" s="452"/>
      <c r="IAG85" s="412"/>
      <c r="IAH85" s="415"/>
      <c r="IAI85" s="413"/>
      <c r="IAS85" s="396"/>
      <c r="IAT85" s="452"/>
      <c r="IAU85" s="412"/>
      <c r="IAV85" s="415"/>
      <c r="IAW85" s="413"/>
      <c r="IBG85" s="396"/>
      <c r="IBH85" s="452"/>
      <c r="IBI85" s="412"/>
      <c r="IBJ85" s="415"/>
      <c r="IBK85" s="413"/>
      <c r="IBU85" s="396"/>
      <c r="IBV85" s="452"/>
      <c r="IBW85" s="412"/>
      <c r="IBX85" s="415"/>
      <c r="IBY85" s="413"/>
      <c r="ICI85" s="396"/>
      <c r="ICJ85" s="452"/>
      <c r="ICK85" s="412"/>
      <c r="ICL85" s="415"/>
      <c r="ICM85" s="413"/>
      <c r="ICW85" s="396"/>
      <c r="ICX85" s="452"/>
      <c r="ICY85" s="412"/>
      <c r="ICZ85" s="415"/>
      <c r="IDA85" s="413"/>
      <c r="IDK85" s="396"/>
      <c r="IDL85" s="452"/>
      <c r="IDM85" s="412"/>
      <c r="IDN85" s="415"/>
      <c r="IDO85" s="413"/>
      <c r="IDY85" s="396"/>
      <c r="IDZ85" s="452"/>
      <c r="IEA85" s="412"/>
      <c r="IEB85" s="415"/>
      <c r="IEC85" s="413"/>
      <c r="IEM85" s="396"/>
      <c r="IEN85" s="452"/>
      <c r="IEO85" s="412"/>
      <c r="IEP85" s="415"/>
      <c r="IEQ85" s="413"/>
      <c r="IFA85" s="396"/>
      <c r="IFB85" s="452"/>
      <c r="IFC85" s="412"/>
      <c r="IFD85" s="415"/>
      <c r="IFE85" s="413"/>
      <c r="IFO85" s="396"/>
      <c r="IFP85" s="452"/>
      <c r="IFQ85" s="412"/>
      <c r="IFR85" s="415"/>
      <c r="IFS85" s="413"/>
      <c r="IGC85" s="396"/>
      <c r="IGD85" s="452"/>
      <c r="IGE85" s="412"/>
      <c r="IGF85" s="415"/>
      <c r="IGG85" s="413"/>
      <c r="IGQ85" s="396"/>
      <c r="IGR85" s="452"/>
      <c r="IGS85" s="412"/>
      <c r="IGT85" s="415"/>
      <c r="IGU85" s="413"/>
      <c r="IHE85" s="396"/>
      <c r="IHF85" s="452"/>
      <c r="IHG85" s="412"/>
      <c r="IHH85" s="415"/>
      <c r="IHI85" s="413"/>
      <c r="IHS85" s="396"/>
      <c r="IHT85" s="452"/>
      <c r="IHU85" s="412"/>
      <c r="IHV85" s="415"/>
      <c r="IHW85" s="413"/>
      <c r="IIG85" s="396"/>
      <c r="IIH85" s="452"/>
      <c r="III85" s="412"/>
      <c r="IIJ85" s="415"/>
      <c r="IIK85" s="413"/>
      <c r="IIU85" s="396"/>
      <c r="IIV85" s="452"/>
      <c r="IIW85" s="412"/>
      <c r="IIX85" s="415"/>
      <c r="IIY85" s="413"/>
      <c r="IJI85" s="396"/>
      <c r="IJJ85" s="452"/>
      <c r="IJK85" s="412"/>
      <c r="IJL85" s="415"/>
      <c r="IJM85" s="413"/>
      <c r="IJW85" s="396"/>
      <c r="IJX85" s="452"/>
      <c r="IJY85" s="412"/>
      <c r="IJZ85" s="415"/>
      <c r="IKA85" s="413"/>
      <c r="IKK85" s="396"/>
      <c r="IKL85" s="452"/>
      <c r="IKM85" s="412"/>
      <c r="IKN85" s="415"/>
      <c r="IKO85" s="413"/>
      <c r="IKY85" s="396"/>
      <c r="IKZ85" s="452"/>
      <c r="ILA85" s="412"/>
      <c r="ILB85" s="415"/>
      <c r="ILC85" s="413"/>
      <c r="ILM85" s="396"/>
      <c r="ILN85" s="452"/>
      <c r="ILO85" s="412"/>
      <c r="ILP85" s="415"/>
      <c r="ILQ85" s="413"/>
      <c r="IMA85" s="396"/>
      <c r="IMB85" s="452"/>
      <c r="IMC85" s="412"/>
      <c r="IMD85" s="415"/>
      <c r="IME85" s="413"/>
      <c r="IMO85" s="396"/>
      <c r="IMP85" s="452"/>
      <c r="IMQ85" s="412"/>
      <c r="IMR85" s="415"/>
      <c r="IMS85" s="413"/>
      <c r="INC85" s="396"/>
      <c r="IND85" s="452"/>
      <c r="INE85" s="412"/>
      <c r="INF85" s="415"/>
      <c r="ING85" s="413"/>
      <c r="INQ85" s="396"/>
      <c r="INR85" s="452"/>
      <c r="INS85" s="412"/>
      <c r="INT85" s="415"/>
      <c r="INU85" s="413"/>
      <c r="IOE85" s="396"/>
      <c r="IOF85" s="452"/>
      <c r="IOG85" s="412"/>
      <c r="IOH85" s="415"/>
      <c r="IOI85" s="413"/>
      <c r="IOS85" s="396"/>
      <c r="IOT85" s="452"/>
      <c r="IOU85" s="412"/>
      <c r="IOV85" s="415"/>
      <c r="IOW85" s="413"/>
      <c r="IPG85" s="396"/>
      <c r="IPH85" s="452"/>
      <c r="IPI85" s="412"/>
      <c r="IPJ85" s="415"/>
      <c r="IPK85" s="413"/>
      <c r="IPU85" s="396"/>
      <c r="IPV85" s="452"/>
      <c r="IPW85" s="412"/>
      <c r="IPX85" s="415"/>
      <c r="IPY85" s="413"/>
      <c r="IQI85" s="396"/>
      <c r="IQJ85" s="452"/>
      <c r="IQK85" s="412"/>
      <c r="IQL85" s="415"/>
      <c r="IQM85" s="413"/>
      <c r="IQW85" s="396"/>
      <c r="IQX85" s="452"/>
      <c r="IQY85" s="412"/>
      <c r="IQZ85" s="415"/>
      <c r="IRA85" s="413"/>
      <c r="IRK85" s="396"/>
      <c r="IRL85" s="452"/>
      <c r="IRM85" s="412"/>
      <c r="IRN85" s="415"/>
      <c r="IRO85" s="413"/>
      <c r="IRY85" s="396"/>
      <c r="IRZ85" s="452"/>
      <c r="ISA85" s="412"/>
      <c r="ISB85" s="415"/>
      <c r="ISC85" s="413"/>
      <c r="ISM85" s="396"/>
      <c r="ISN85" s="452"/>
      <c r="ISO85" s="412"/>
      <c r="ISP85" s="415"/>
      <c r="ISQ85" s="413"/>
      <c r="ITA85" s="396"/>
      <c r="ITB85" s="452"/>
      <c r="ITC85" s="412"/>
      <c r="ITD85" s="415"/>
      <c r="ITE85" s="413"/>
      <c r="ITO85" s="396"/>
      <c r="ITP85" s="452"/>
      <c r="ITQ85" s="412"/>
      <c r="ITR85" s="415"/>
      <c r="ITS85" s="413"/>
      <c r="IUC85" s="396"/>
      <c r="IUD85" s="452"/>
      <c r="IUE85" s="412"/>
      <c r="IUF85" s="415"/>
      <c r="IUG85" s="413"/>
      <c r="IUQ85" s="396"/>
      <c r="IUR85" s="452"/>
      <c r="IUS85" s="412"/>
      <c r="IUT85" s="415"/>
      <c r="IUU85" s="413"/>
      <c r="IVE85" s="396"/>
      <c r="IVF85" s="452"/>
      <c r="IVG85" s="412"/>
      <c r="IVH85" s="415"/>
      <c r="IVI85" s="413"/>
      <c r="IVS85" s="396"/>
      <c r="IVT85" s="452"/>
      <c r="IVU85" s="412"/>
      <c r="IVV85" s="415"/>
      <c r="IVW85" s="413"/>
      <c r="IWG85" s="396"/>
      <c r="IWH85" s="452"/>
      <c r="IWI85" s="412"/>
      <c r="IWJ85" s="415"/>
      <c r="IWK85" s="413"/>
      <c r="IWU85" s="396"/>
      <c r="IWV85" s="452"/>
      <c r="IWW85" s="412"/>
      <c r="IWX85" s="415"/>
      <c r="IWY85" s="413"/>
      <c r="IXI85" s="396"/>
      <c r="IXJ85" s="452"/>
      <c r="IXK85" s="412"/>
      <c r="IXL85" s="415"/>
      <c r="IXM85" s="413"/>
      <c r="IXW85" s="396"/>
      <c r="IXX85" s="452"/>
      <c r="IXY85" s="412"/>
      <c r="IXZ85" s="415"/>
      <c r="IYA85" s="413"/>
      <c r="IYK85" s="396"/>
      <c r="IYL85" s="452"/>
      <c r="IYM85" s="412"/>
      <c r="IYN85" s="415"/>
      <c r="IYO85" s="413"/>
      <c r="IYY85" s="396"/>
      <c r="IYZ85" s="452"/>
      <c r="IZA85" s="412"/>
      <c r="IZB85" s="415"/>
      <c r="IZC85" s="413"/>
      <c r="IZM85" s="396"/>
      <c r="IZN85" s="452"/>
      <c r="IZO85" s="412"/>
      <c r="IZP85" s="415"/>
      <c r="IZQ85" s="413"/>
      <c r="JAA85" s="396"/>
      <c r="JAB85" s="452"/>
      <c r="JAC85" s="412"/>
      <c r="JAD85" s="415"/>
      <c r="JAE85" s="413"/>
      <c r="JAO85" s="396"/>
      <c r="JAP85" s="452"/>
      <c r="JAQ85" s="412"/>
      <c r="JAR85" s="415"/>
      <c r="JAS85" s="413"/>
      <c r="JBC85" s="396"/>
      <c r="JBD85" s="452"/>
      <c r="JBE85" s="412"/>
      <c r="JBF85" s="415"/>
      <c r="JBG85" s="413"/>
      <c r="JBQ85" s="396"/>
      <c r="JBR85" s="452"/>
      <c r="JBS85" s="412"/>
      <c r="JBT85" s="415"/>
      <c r="JBU85" s="413"/>
      <c r="JCE85" s="396"/>
      <c r="JCF85" s="452"/>
      <c r="JCG85" s="412"/>
      <c r="JCH85" s="415"/>
      <c r="JCI85" s="413"/>
      <c r="JCS85" s="396"/>
      <c r="JCT85" s="452"/>
      <c r="JCU85" s="412"/>
      <c r="JCV85" s="415"/>
      <c r="JCW85" s="413"/>
      <c r="JDG85" s="396"/>
      <c r="JDH85" s="452"/>
      <c r="JDI85" s="412"/>
      <c r="JDJ85" s="415"/>
      <c r="JDK85" s="413"/>
      <c r="JDU85" s="396"/>
      <c r="JDV85" s="452"/>
      <c r="JDW85" s="412"/>
      <c r="JDX85" s="415"/>
      <c r="JDY85" s="413"/>
      <c r="JEI85" s="396"/>
      <c r="JEJ85" s="452"/>
      <c r="JEK85" s="412"/>
      <c r="JEL85" s="415"/>
      <c r="JEM85" s="413"/>
      <c r="JEW85" s="396"/>
      <c r="JEX85" s="452"/>
      <c r="JEY85" s="412"/>
      <c r="JEZ85" s="415"/>
      <c r="JFA85" s="413"/>
      <c r="JFK85" s="396"/>
      <c r="JFL85" s="452"/>
      <c r="JFM85" s="412"/>
      <c r="JFN85" s="415"/>
      <c r="JFO85" s="413"/>
      <c r="JFY85" s="396"/>
      <c r="JFZ85" s="452"/>
      <c r="JGA85" s="412"/>
      <c r="JGB85" s="415"/>
      <c r="JGC85" s="413"/>
      <c r="JGM85" s="396"/>
      <c r="JGN85" s="452"/>
      <c r="JGO85" s="412"/>
      <c r="JGP85" s="415"/>
      <c r="JGQ85" s="413"/>
      <c r="JHA85" s="396"/>
      <c r="JHB85" s="452"/>
      <c r="JHC85" s="412"/>
      <c r="JHD85" s="415"/>
      <c r="JHE85" s="413"/>
      <c r="JHO85" s="396"/>
      <c r="JHP85" s="452"/>
      <c r="JHQ85" s="412"/>
      <c r="JHR85" s="415"/>
      <c r="JHS85" s="413"/>
      <c r="JIC85" s="396"/>
      <c r="JID85" s="452"/>
      <c r="JIE85" s="412"/>
      <c r="JIF85" s="415"/>
      <c r="JIG85" s="413"/>
      <c r="JIQ85" s="396"/>
      <c r="JIR85" s="452"/>
      <c r="JIS85" s="412"/>
      <c r="JIT85" s="415"/>
      <c r="JIU85" s="413"/>
      <c r="JJE85" s="396"/>
      <c r="JJF85" s="452"/>
      <c r="JJG85" s="412"/>
      <c r="JJH85" s="415"/>
      <c r="JJI85" s="413"/>
      <c r="JJS85" s="396"/>
      <c r="JJT85" s="452"/>
      <c r="JJU85" s="412"/>
      <c r="JJV85" s="415"/>
      <c r="JJW85" s="413"/>
      <c r="JKG85" s="396"/>
      <c r="JKH85" s="452"/>
      <c r="JKI85" s="412"/>
      <c r="JKJ85" s="415"/>
      <c r="JKK85" s="413"/>
      <c r="JKU85" s="396"/>
      <c r="JKV85" s="452"/>
      <c r="JKW85" s="412"/>
      <c r="JKX85" s="415"/>
      <c r="JKY85" s="413"/>
      <c r="JLI85" s="396"/>
      <c r="JLJ85" s="452"/>
      <c r="JLK85" s="412"/>
      <c r="JLL85" s="415"/>
      <c r="JLM85" s="413"/>
      <c r="JLW85" s="396"/>
      <c r="JLX85" s="452"/>
      <c r="JLY85" s="412"/>
      <c r="JLZ85" s="415"/>
      <c r="JMA85" s="413"/>
      <c r="JMK85" s="396"/>
      <c r="JML85" s="452"/>
      <c r="JMM85" s="412"/>
      <c r="JMN85" s="415"/>
      <c r="JMO85" s="413"/>
      <c r="JMY85" s="396"/>
      <c r="JMZ85" s="452"/>
      <c r="JNA85" s="412"/>
      <c r="JNB85" s="415"/>
      <c r="JNC85" s="413"/>
      <c r="JNM85" s="396"/>
      <c r="JNN85" s="452"/>
      <c r="JNO85" s="412"/>
      <c r="JNP85" s="415"/>
      <c r="JNQ85" s="413"/>
      <c r="JOA85" s="396"/>
      <c r="JOB85" s="452"/>
      <c r="JOC85" s="412"/>
      <c r="JOD85" s="415"/>
      <c r="JOE85" s="413"/>
      <c r="JOO85" s="396"/>
      <c r="JOP85" s="452"/>
      <c r="JOQ85" s="412"/>
      <c r="JOR85" s="415"/>
      <c r="JOS85" s="413"/>
      <c r="JPC85" s="396"/>
      <c r="JPD85" s="452"/>
      <c r="JPE85" s="412"/>
      <c r="JPF85" s="415"/>
      <c r="JPG85" s="413"/>
      <c r="JPQ85" s="396"/>
      <c r="JPR85" s="452"/>
      <c r="JPS85" s="412"/>
      <c r="JPT85" s="415"/>
      <c r="JPU85" s="413"/>
      <c r="JQE85" s="396"/>
      <c r="JQF85" s="452"/>
      <c r="JQG85" s="412"/>
      <c r="JQH85" s="415"/>
      <c r="JQI85" s="413"/>
      <c r="JQS85" s="396"/>
      <c r="JQT85" s="452"/>
      <c r="JQU85" s="412"/>
      <c r="JQV85" s="415"/>
      <c r="JQW85" s="413"/>
      <c r="JRG85" s="396"/>
      <c r="JRH85" s="452"/>
      <c r="JRI85" s="412"/>
      <c r="JRJ85" s="415"/>
      <c r="JRK85" s="413"/>
      <c r="JRU85" s="396"/>
      <c r="JRV85" s="452"/>
      <c r="JRW85" s="412"/>
      <c r="JRX85" s="415"/>
      <c r="JRY85" s="413"/>
      <c r="JSI85" s="396"/>
      <c r="JSJ85" s="452"/>
      <c r="JSK85" s="412"/>
      <c r="JSL85" s="415"/>
      <c r="JSM85" s="413"/>
      <c r="JSW85" s="396"/>
      <c r="JSX85" s="452"/>
      <c r="JSY85" s="412"/>
      <c r="JSZ85" s="415"/>
      <c r="JTA85" s="413"/>
      <c r="JTK85" s="396"/>
      <c r="JTL85" s="452"/>
      <c r="JTM85" s="412"/>
      <c r="JTN85" s="415"/>
      <c r="JTO85" s="413"/>
      <c r="JTY85" s="396"/>
      <c r="JTZ85" s="452"/>
      <c r="JUA85" s="412"/>
      <c r="JUB85" s="415"/>
      <c r="JUC85" s="413"/>
      <c r="JUM85" s="396"/>
      <c r="JUN85" s="452"/>
      <c r="JUO85" s="412"/>
      <c r="JUP85" s="415"/>
      <c r="JUQ85" s="413"/>
      <c r="JVA85" s="396"/>
      <c r="JVB85" s="452"/>
      <c r="JVC85" s="412"/>
      <c r="JVD85" s="415"/>
      <c r="JVE85" s="413"/>
      <c r="JVO85" s="396"/>
      <c r="JVP85" s="452"/>
      <c r="JVQ85" s="412"/>
      <c r="JVR85" s="415"/>
      <c r="JVS85" s="413"/>
      <c r="JWC85" s="396"/>
      <c r="JWD85" s="452"/>
      <c r="JWE85" s="412"/>
      <c r="JWF85" s="415"/>
      <c r="JWG85" s="413"/>
      <c r="JWQ85" s="396"/>
      <c r="JWR85" s="452"/>
      <c r="JWS85" s="412"/>
      <c r="JWT85" s="415"/>
      <c r="JWU85" s="413"/>
      <c r="JXE85" s="396"/>
      <c r="JXF85" s="452"/>
      <c r="JXG85" s="412"/>
      <c r="JXH85" s="415"/>
      <c r="JXI85" s="413"/>
      <c r="JXS85" s="396"/>
      <c r="JXT85" s="452"/>
      <c r="JXU85" s="412"/>
      <c r="JXV85" s="415"/>
      <c r="JXW85" s="413"/>
      <c r="JYG85" s="396"/>
      <c r="JYH85" s="452"/>
      <c r="JYI85" s="412"/>
      <c r="JYJ85" s="415"/>
      <c r="JYK85" s="413"/>
      <c r="JYU85" s="396"/>
      <c r="JYV85" s="452"/>
      <c r="JYW85" s="412"/>
      <c r="JYX85" s="415"/>
      <c r="JYY85" s="413"/>
      <c r="JZI85" s="396"/>
      <c r="JZJ85" s="452"/>
      <c r="JZK85" s="412"/>
      <c r="JZL85" s="415"/>
      <c r="JZM85" s="413"/>
      <c r="JZW85" s="396"/>
      <c r="JZX85" s="452"/>
      <c r="JZY85" s="412"/>
      <c r="JZZ85" s="415"/>
      <c r="KAA85" s="413"/>
      <c r="KAK85" s="396"/>
      <c r="KAL85" s="452"/>
      <c r="KAM85" s="412"/>
      <c r="KAN85" s="415"/>
      <c r="KAO85" s="413"/>
      <c r="KAY85" s="396"/>
      <c r="KAZ85" s="452"/>
      <c r="KBA85" s="412"/>
      <c r="KBB85" s="415"/>
      <c r="KBC85" s="413"/>
      <c r="KBM85" s="396"/>
      <c r="KBN85" s="452"/>
      <c r="KBO85" s="412"/>
      <c r="KBP85" s="415"/>
      <c r="KBQ85" s="413"/>
      <c r="KCA85" s="396"/>
      <c r="KCB85" s="452"/>
      <c r="KCC85" s="412"/>
      <c r="KCD85" s="415"/>
      <c r="KCE85" s="413"/>
      <c r="KCO85" s="396"/>
      <c r="KCP85" s="452"/>
      <c r="KCQ85" s="412"/>
      <c r="KCR85" s="415"/>
      <c r="KCS85" s="413"/>
      <c r="KDC85" s="396"/>
      <c r="KDD85" s="452"/>
      <c r="KDE85" s="412"/>
      <c r="KDF85" s="415"/>
      <c r="KDG85" s="413"/>
      <c r="KDQ85" s="396"/>
      <c r="KDR85" s="452"/>
      <c r="KDS85" s="412"/>
      <c r="KDT85" s="415"/>
      <c r="KDU85" s="413"/>
      <c r="KEE85" s="396"/>
      <c r="KEF85" s="452"/>
      <c r="KEG85" s="412"/>
      <c r="KEH85" s="415"/>
      <c r="KEI85" s="413"/>
      <c r="KES85" s="396"/>
      <c r="KET85" s="452"/>
      <c r="KEU85" s="412"/>
      <c r="KEV85" s="415"/>
      <c r="KEW85" s="413"/>
      <c r="KFG85" s="396"/>
      <c r="KFH85" s="452"/>
      <c r="KFI85" s="412"/>
      <c r="KFJ85" s="415"/>
      <c r="KFK85" s="413"/>
      <c r="KFU85" s="396"/>
      <c r="KFV85" s="452"/>
      <c r="KFW85" s="412"/>
      <c r="KFX85" s="415"/>
      <c r="KFY85" s="413"/>
      <c r="KGI85" s="396"/>
      <c r="KGJ85" s="452"/>
      <c r="KGK85" s="412"/>
      <c r="KGL85" s="415"/>
      <c r="KGM85" s="413"/>
      <c r="KGW85" s="396"/>
      <c r="KGX85" s="452"/>
      <c r="KGY85" s="412"/>
      <c r="KGZ85" s="415"/>
      <c r="KHA85" s="413"/>
      <c r="KHK85" s="396"/>
      <c r="KHL85" s="452"/>
      <c r="KHM85" s="412"/>
      <c r="KHN85" s="415"/>
      <c r="KHO85" s="413"/>
      <c r="KHY85" s="396"/>
      <c r="KHZ85" s="452"/>
      <c r="KIA85" s="412"/>
      <c r="KIB85" s="415"/>
      <c r="KIC85" s="413"/>
      <c r="KIM85" s="396"/>
      <c r="KIN85" s="452"/>
      <c r="KIO85" s="412"/>
      <c r="KIP85" s="415"/>
      <c r="KIQ85" s="413"/>
      <c r="KJA85" s="396"/>
      <c r="KJB85" s="452"/>
      <c r="KJC85" s="412"/>
      <c r="KJD85" s="415"/>
      <c r="KJE85" s="413"/>
      <c r="KJO85" s="396"/>
      <c r="KJP85" s="452"/>
      <c r="KJQ85" s="412"/>
      <c r="KJR85" s="415"/>
      <c r="KJS85" s="413"/>
      <c r="KKC85" s="396"/>
      <c r="KKD85" s="452"/>
      <c r="KKE85" s="412"/>
      <c r="KKF85" s="415"/>
      <c r="KKG85" s="413"/>
      <c r="KKQ85" s="396"/>
      <c r="KKR85" s="452"/>
      <c r="KKS85" s="412"/>
      <c r="KKT85" s="415"/>
      <c r="KKU85" s="413"/>
      <c r="KLE85" s="396"/>
      <c r="KLF85" s="452"/>
      <c r="KLG85" s="412"/>
      <c r="KLH85" s="415"/>
      <c r="KLI85" s="413"/>
      <c r="KLS85" s="396"/>
      <c r="KLT85" s="452"/>
      <c r="KLU85" s="412"/>
      <c r="KLV85" s="415"/>
      <c r="KLW85" s="413"/>
      <c r="KMG85" s="396"/>
      <c r="KMH85" s="452"/>
      <c r="KMI85" s="412"/>
      <c r="KMJ85" s="415"/>
      <c r="KMK85" s="413"/>
      <c r="KMU85" s="396"/>
      <c r="KMV85" s="452"/>
      <c r="KMW85" s="412"/>
      <c r="KMX85" s="415"/>
      <c r="KMY85" s="413"/>
      <c r="KNI85" s="396"/>
      <c r="KNJ85" s="452"/>
      <c r="KNK85" s="412"/>
      <c r="KNL85" s="415"/>
      <c r="KNM85" s="413"/>
      <c r="KNW85" s="396"/>
      <c r="KNX85" s="452"/>
      <c r="KNY85" s="412"/>
      <c r="KNZ85" s="415"/>
      <c r="KOA85" s="413"/>
      <c r="KOK85" s="396"/>
      <c r="KOL85" s="452"/>
      <c r="KOM85" s="412"/>
      <c r="KON85" s="415"/>
      <c r="KOO85" s="413"/>
      <c r="KOY85" s="396"/>
      <c r="KOZ85" s="452"/>
      <c r="KPA85" s="412"/>
      <c r="KPB85" s="415"/>
      <c r="KPC85" s="413"/>
      <c r="KPM85" s="396"/>
      <c r="KPN85" s="452"/>
      <c r="KPO85" s="412"/>
      <c r="KPP85" s="415"/>
      <c r="KPQ85" s="413"/>
      <c r="KQA85" s="396"/>
      <c r="KQB85" s="452"/>
      <c r="KQC85" s="412"/>
      <c r="KQD85" s="415"/>
      <c r="KQE85" s="413"/>
      <c r="KQO85" s="396"/>
      <c r="KQP85" s="452"/>
      <c r="KQQ85" s="412"/>
      <c r="KQR85" s="415"/>
      <c r="KQS85" s="413"/>
      <c r="KRC85" s="396"/>
      <c r="KRD85" s="452"/>
      <c r="KRE85" s="412"/>
      <c r="KRF85" s="415"/>
      <c r="KRG85" s="413"/>
      <c r="KRQ85" s="396"/>
      <c r="KRR85" s="452"/>
      <c r="KRS85" s="412"/>
      <c r="KRT85" s="415"/>
      <c r="KRU85" s="413"/>
      <c r="KSE85" s="396"/>
      <c r="KSF85" s="452"/>
      <c r="KSG85" s="412"/>
      <c r="KSH85" s="415"/>
      <c r="KSI85" s="413"/>
      <c r="KSS85" s="396"/>
      <c r="KST85" s="452"/>
      <c r="KSU85" s="412"/>
      <c r="KSV85" s="415"/>
      <c r="KSW85" s="413"/>
      <c r="KTG85" s="396"/>
      <c r="KTH85" s="452"/>
      <c r="KTI85" s="412"/>
      <c r="KTJ85" s="415"/>
      <c r="KTK85" s="413"/>
      <c r="KTU85" s="396"/>
      <c r="KTV85" s="452"/>
      <c r="KTW85" s="412"/>
      <c r="KTX85" s="415"/>
      <c r="KTY85" s="413"/>
      <c r="KUI85" s="396"/>
      <c r="KUJ85" s="452"/>
      <c r="KUK85" s="412"/>
      <c r="KUL85" s="415"/>
      <c r="KUM85" s="413"/>
      <c r="KUW85" s="396"/>
      <c r="KUX85" s="452"/>
      <c r="KUY85" s="412"/>
      <c r="KUZ85" s="415"/>
      <c r="KVA85" s="413"/>
      <c r="KVK85" s="396"/>
      <c r="KVL85" s="452"/>
      <c r="KVM85" s="412"/>
      <c r="KVN85" s="415"/>
      <c r="KVO85" s="413"/>
      <c r="KVY85" s="396"/>
      <c r="KVZ85" s="452"/>
      <c r="KWA85" s="412"/>
      <c r="KWB85" s="415"/>
      <c r="KWC85" s="413"/>
      <c r="KWM85" s="396"/>
      <c r="KWN85" s="452"/>
      <c r="KWO85" s="412"/>
      <c r="KWP85" s="415"/>
      <c r="KWQ85" s="413"/>
      <c r="KXA85" s="396"/>
      <c r="KXB85" s="452"/>
      <c r="KXC85" s="412"/>
      <c r="KXD85" s="415"/>
      <c r="KXE85" s="413"/>
      <c r="KXO85" s="396"/>
      <c r="KXP85" s="452"/>
      <c r="KXQ85" s="412"/>
      <c r="KXR85" s="415"/>
      <c r="KXS85" s="413"/>
      <c r="KYC85" s="396"/>
      <c r="KYD85" s="452"/>
      <c r="KYE85" s="412"/>
      <c r="KYF85" s="415"/>
      <c r="KYG85" s="413"/>
      <c r="KYQ85" s="396"/>
      <c r="KYR85" s="452"/>
      <c r="KYS85" s="412"/>
      <c r="KYT85" s="415"/>
      <c r="KYU85" s="413"/>
      <c r="KZE85" s="396"/>
      <c r="KZF85" s="452"/>
      <c r="KZG85" s="412"/>
      <c r="KZH85" s="415"/>
      <c r="KZI85" s="413"/>
      <c r="KZS85" s="396"/>
      <c r="KZT85" s="452"/>
      <c r="KZU85" s="412"/>
      <c r="KZV85" s="415"/>
      <c r="KZW85" s="413"/>
      <c r="LAG85" s="396"/>
      <c r="LAH85" s="452"/>
      <c r="LAI85" s="412"/>
      <c r="LAJ85" s="415"/>
      <c r="LAK85" s="413"/>
      <c r="LAU85" s="396"/>
      <c r="LAV85" s="452"/>
      <c r="LAW85" s="412"/>
      <c r="LAX85" s="415"/>
      <c r="LAY85" s="413"/>
      <c r="LBI85" s="396"/>
      <c r="LBJ85" s="452"/>
      <c r="LBK85" s="412"/>
      <c r="LBL85" s="415"/>
      <c r="LBM85" s="413"/>
      <c r="LBW85" s="396"/>
      <c r="LBX85" s="452"/>
      <c r="LBY85" s="412"/>
      <c r="LBZ85" s="415"/>
      <c r="LCA85" s="413"/>
      <c r="LCK85" s="396"/>
      <c r="LCL85" s="452"/>
      <c r="LCM85" s="412"/>
      <c r="LCN85" s="415"/>
      <c r="LCO85" s="413"/>
      <c r="LCY85" s="396"/>
      <c r="LCZ85" s="452"/>
      <c r="LDA85" s="412"/>
      <c r="LDB85" s="415"/>
      <c r="LDC85" s="413"/>
      <c r="LDM85" s="396"/>
      <c r="LDN85" s="452"/>
      <c r="LDO85" s="412"/>
      <c r="LDP85" s="415"/>
      <c r="LDQ85" s="413"/>
      <c r="LEA85" s="396"/>
      <c r="LEB85" s="452"/>
      <c r="LEC85" s="412"/>
      <c r="LED85" s="415"/>
      <c r="LEE85" s="413"/>
      <c r="LEO85" s="396"/>
      <c r="LEP85" s="452"/>
      <c r="LEQ85" s="412"/>
      <c r="LER85" s="415"/>
      <c r="LES85" s="413"/>
      <c r="LFC85" s="396"/>
      <c r="LFD85" s="452"/>
      <c r="LFE85" s="412"/>
      <c r="LFF85" s="415"/>
      <c r="LFG85" s="413"/>
      <c r="LFQ85" s="396"/>
      <c r="LFR85" s="452"/>
      <c r="LFS85" s="412"/>
      <c r="LFT85" s="415"/>
      <c r="LFU85" s="413"/>
      <c r="LGE85" s="396"/>
      <c r="LGF85" s="452"/>
      <c r="LGG85" s="412"/>
      <c r="LGH85" s="415"/>
      <c r="LGI85" s="413"/>
      <c r="LGS85" s="396"/>
      <c r="LGT85" s="452"/>
      <c r="LGU85" s="412"/>
      <c r="LGV85" s="415"/>
      <c r="LGW85" s="413"/>
      <c r="LHG85" s="396"/>
      <c r="LHH85" s="452"/>
      <c r="LHI85" s="412"/>
      <c r="LHJ85" s="415"/>
      <c r="LHK85" s="413"/>
      <c r="LHU85" s="396"/>
      <c r="LHV85" s="452"/>
      <c r="LHW85" s="412"/>
      <c r="LHX85" s="415"/>
      <c r="LHY85" s="413"/>
      <c r="LII85" s="396"/>
      <c r="LIJ85" s="452"/>
      <c r="LIK85" s="412"/>
      <c r="LIL85" s="415"/>
      <c r="LIM85" s="413"/>
      <c r="LIW85" s="396"/>
      <c r="LIX85" s="452"/>
      <c r="LIY85" s="412"/>
      <c r="LIZ85" s="415"/>
      <c r="LJA85" s="413"/>
      <c r="LJK85" s="396"/>
      <c r="LJL85" s="452"/>
      <c r="LJM85" s="412"/>
      <c r="LJN85" s="415"/>
      <c r="LJO85" s="413"/>
      <c r="LJY85" s="396"/>
      <c r="LJZ85" s="452"/>
      <c r="LKA85" s="412"/>
      <c r="LKB85" s="415"/>
      <c r="LKC85" s="413"/>
      <c r="LKM85" s="396"/>
      <c r="LKN85" s="452"/>
      <c r="LKO85" s="412"/>
      <c r="LKP85" s="415"/>
      <c r="LKQ85" s="413"/>
      <c r="LLA85" s="396"/>
      <c r="LLB85" s="452"/>
      <c r="LLC85" s="412"/>
      <c r="LLD85" s="415"/>
      <c r="LLE85" s="413"/>
      <c r="LLO85" s="396"/>
      <c r="LLP85" s="452"/>
      <c r="LLQ85" s="412"/>
      <c r="LLR85" s="415"/>
      <c r="LLS85" s="413"/>
      <c r="LMC85" s="396"/>
      <c r="LMD85" s="452"/>
      <c r="LME85" s="412"/>
      <c r="LMF85" s="415"/>
      <c r="LMG85" s="413"/>
      <c r="LMQ85" s="396"/>
      <c r="LMR85" s="452"/>
      <c r="LMS85" s="412"/>
      <c r="LMT85" s="415"/>
      <c r="LMU85" s="413"/>
      <c r="LNE85" s="396"/>
      <c r="LNF85" s="452"/>
      <c r="LNG85" s="412"/>
      <c r="LNH85" s="415"/>
      <c r="LNI85" s="413"/>
      <c r="LNS85" s="396"/>
      <c r="LNT85" s="452"/>
      <c r="LNU85" s="412"/>
      <c r="LNV85" s="415"/>
      <c r="LNW85" s="413"/>
      <c r="LOG85" s="396"/>
      <c r="LOH85" s="452"/>
      <c r="LOI85" s="412"/>
      <c r="LOJ85" s="415"/>
      <c r="LOK85" s="413"/>
      <c r="LOU85" s="396"/>
      <c r="LOV85" s="452"/>
      <c r="LOW85" s="412"/>
      <c r="LOX85" s="415"/>
      <c r="LOY85" s="413"/>
      <c r="LPI85" s="396"/>
      <c r="LPJ85" s="452"/>
      <c r="LPK85" s="412"/>
      <c r="LPL85" s="415"/>
      <c r="LPM85" s="413"/>
      <c r="LPW85" s="396"/>
      <c r="LPX85" s="452"/>
      <c r="LPY85" s="412"/>
      <c r="LPZ85" s="415"/>
      <c r="LQA85" s="413"/>
      <c r="LQK85" s="396"/>
      <c r="LQL85" s="452"/>
      <c r="LQM85" s="412"/>
      <c r="LQN85" s="415"/>
      <c r="LQO85" s="413"/>
      <c r="LQY85" s="396"/>
      <c r="LQZ85" s="452"/>
      <c r="LRA85" s="412"/>
      <c r="LRB85" s="415"/>
      <c r="LRC85" s="413"/>
      <c r="LRM85" s="396"/>
      <c r="LRN85" s="452"/>
      <c r="LRO85" s="412"/>
      <c r="LRP85" s="415"/>
      <c r="LRQ85" s="413"/>
      <c r="LSA85" s="396"/>
      <c r="LSB85" s="452"/>
      <c r="LSC85" s="412"/>
      <c r="LSD85" s="415"/>
      <c r="LSE85" s="413"/>
      <c r="LSO85" s="396"/>
      <c r="LSP85" s="452"/>
      <c r="LSQ85" s="412"/>
      <c r="LSR85" s="415"/>
      <c r="LSS85" s="413"/>
      <c r="LTC85" s="396"/>
      <c r="LTD85" s="452"/>
      <c r="LTE85" s="412"/>
      <c r="LTF85" s="415"/>
      <c r="LTG85" s="413"/>
      <c r="LTQ85" s="396"/>
      <c r="LTR85" s="452"/>
      <c r="LTS85" s="412"/>
      <c r="LTT85" s="415"/>
      <c r="LTU85" s="413"/>
      <c r="LUE85" s="396"/>
      <c r="LUF85" s="452"/>
      <c r="LUG85" s="412"/>
      <c r="LUH85" s="415"/>
      <c r="LUI85" s="413"/>
      <c r="LUS85" s="396"/>
      <c r="LUT85" s="452"/>
      <c r="LUU85" s="412"/>
      <c r="LUV85" s="415"/>
      <c r="LUW85" s="413"/>
      <c r="LVG85" s="396"/>
      <c r="LVH85" s="452"/>
      <c r="LVI85" s="412"/>
      <c r="LVJ85" s="415"/>
      <c r="LVK85" s="413"/>
      <c r="LVU85" s="396"/>
      <c r="LVV85" s="452"/>
      <c r="LVW85" s="412"/>
      <c r="LVX85" s="415"/>
      <c r="LVY85" s="413"/>
      <c r="LWI85" s="396"/>
      <c r="LWJ85" s="452"/>
      <c r="LWK85" s="412"/>
      <c r="LWL85" s="415"/>
      <c r="LWM85" s="413"/>
      <c r="LWW85" s="396"/>
      <c r="LWX85" s="452"/>
      <c r="LWY85" s="412"/>
      <c r="LWZ85" s="415"/>
      <c r="LXA85" s="413"/>
      <c r="LXK85" s="396"/>
      <c r="LXL85" s="452"/>
      <c r="LXM85" s="412"/>
      <c r="LXN85" s="415"/>
      <c r="LXO85" s="413"/>
      <c r="LXY85" s="396"/>
      <c r="LXZ85" s="452"/>
      <c r="LYA85" s="412"/>
      <c r="LYB85" s="415"/>
      <c r="LYC85" s="413"/>
      <c r="LYM85" s="396"/>
      <c r="LYN85" s="452"/>
      <c r="LYO85" s="412"/>
      <c r="LYP85" s="415"/>
      <c r="LYQ85" s="413"/>
      <c r="LZA85" s="396"/>
      <c r="LZB85" s="452"/>
      <c r="LZC85" s="412"/>
      <c r="LZD85" s="415"/>
      <c r="LZE85" s="413"/>
      <c r="LZO85" s="396"/>
      <c r="LZP85" s="452"/>
      <c r="LZQ85" s="412"/>
      <c r="LZR85" s="415"/>
      <c r="LZS85" s="413"/>
      <c r="MAC85" s="396"/>
      <c r="MAD85" s="452"/>
      <c r="MAE85" s="412"/>
      <c r="MAF85" s="415"/>
      <c r="MAG85" s="413"/>
      <c r="MAQ85" s="396"/>
      <c r="MAR85" s="452"/>
      <c r="MAS85" s="412"/>
      <c r="MAT85" s="415"/>
      <c r="MAU85" s="413"/>
      <c r="MBE85" s="396"/>
      <c r="MBF85" s="452"/>
      <c r="MBG85" s="412"/>
      <c r="MBH85" s="415"/>
      <c r="MBI85" s="413"/>
      <c r="MBS85" s="396"/>
      <c r="MBT85" s="452"/>
      <c r="MBU85" s="412"/>
      <c r="MBV85" s="415"/>
      <c r="MBW85" s="413"/>
      <c r="MCG85" s="396"/>
      <c r="MCH85" s="452"/>
      <c r="MCI85" s="412"/>
      <c r="MCJ85" s="415"/>
      <c r="MCK85" s="413"/>
      <c r="MCU85" s="396"/>
      <c r="MCV85" s="452"/>
      <c r="MCW85" s="412"/>
      <c r="MCX85" s="415"/>
      <c r="MCY85" s="413"/>
      <c r="MDI85" s="396"/>
      <c r="MDJ85" s="452"/>
      <c r="MDK85" s="412"/>
      <c r="MDL85" s="415"/>
      <c r="MDM85" s="413"/>
      <c r="MDW85" s="396"/>
      <c r="MDX85" s="452"/>
      <c r="MDY85" s="412"/>
      <c r="MDZ85" s="415"/>
      <c r="MEA85" s="413"/>
      <c r="MEK85" s="396"/>
      <c r="MEL85" s="452"/>
      <c r="MEM85" s="412"/>
      <c r="MEN85" s="415"/>
      <c r="MEO85" s="413"/>
      <c r="MEY85" s="396"/>
      <c r="MEZ85" s="452"/>
      <c r="MFA85" s="412"/>
      <c r="MFB85" s="415"/>
      <c r="MFC85" s="413"/>
      <c r="MFM85" s="396"/>
      <c r="MFN85" s="452"/>
      <c r="MFO85" s="412"/>
      <c r="MFP85" s="415"/>
      <c r="MFQ85" s="413"/>
      <c r="MGA85" s="396"/>
      <c r="MGB85" s="452"/>
      <c r="MGC85" s="412"/>
      <c r="MGD85" s="415"/>
      <c r="MGE85" s="413"/>
      <c r="MGO85" s="396"/>
      <c r="MGP85" s="452"/>
      <c r="MGQ85" s="412"/>
      <c r="MGR85" s="415"/>
      <c r="MGS85" s="413"/>
      <c r="MHC85" s="396"/>
      <c r="MHD85" s="452"/>
      <c r="MHE85" s="412"/>
      <c r="MHF85" s="415"/>
      <c r="MHG85" s="413"/>
      <c r="MHQ85" s="396"/>
      <c r="MHR85" s="452"/>
      <c r="MHS85" s="412"/>
      <c r="MHT85" s="415"/>
      <c r="MHU85" s="413"/>
      <c r="MIE85" s="396"/>
      <c r="MIF85" s="452"/>
      <c r="MIG85" s="412"/>
      <c r="MIH85" s="415"/>
      <c r="MII85" s="413"/>
      <c r="MIS85" s="396"/>
      <c r="MIT85" s="452"/>
      <c r="MIU85" s="412"/>
      <c r="MIV85" s="415"/>
      <c r="MIW85" s="413"/>
      <c r="MJG85" s="396"/>
      <c r="MJH85" s="452"/>
      <c r="MJI85" s="412"/>
      <c r="MJJ85" s="415"/>
      <c r="MJK85" s="413"/>
      <c r="MJU85" s="396"/>
      <c r="MJV85" s="452"/>
      <c r="MJW85" s="412"/>
      <c r="MJX85" s="415"/>
      <c r="MJY85" s="413"/>
      <c r="MKI85" s="396"/>
      <c r="MKJ85" s="452"/>
      <c r="MKK85" s="412"/>
      <c r="MKL85" s="415"/>
      <c r="MKM85" s="413"/>
      <c r="MKW85" s="396"/>
      <c r="MKX85" s="452"/>
      <c r="MKY85" s="412"/>
      <c r="MKZ85" s="415"/>
      <c r="MLA85" s="413"/>
      <c r="MLK85" s="396"/>
      <c r="MLL85" s="452"/>
      <c r="MLM85" s="412"/>
      <c r="MLN85" s="415"/>
      <c r="MLO85" s="413"/>
      <c r="MLY85" s="396"/>
      <c r="MLZ85" s="452"/>
      <c r="MMA85" s="412"/>
      <c r="MMB85" s="415"/>
      <c r="MMC85" s="413"/>
      <c r="MMM85" s="396"/>
      <c r="MMN85" s="452"/>
      <c r="MMO85" s="412"/>
      <c r="MMP85" s="415"/>
      <c r="MMQ85" s="413"/>
      <c r="MNA85" s="396"/>
      <c r="MNB85" s="452"/>
      <c r="MNC85" s="412"/>
      <c r="MND85" s="415"/>
      <c r="MNE85" s="413"/>
      <c r="MNO85" s="396"/>
      <c r="MNP85" s="452"/>
      <c r="MNQ85" s="412"/>
      <c r="MNR85" s="415"/>
      <c r="MNS85" s="413"/>
      <c r="MOC85" s="396"/>
      <c r="MOD85" s="452"/>
      <c r="MOE85" s="412"/>
      <c r="MOF85" s="415"/>
      <c r="MOG85" s="413"/>
      <c r="MOQ85" s="396"/>
      <c r="MOR85" s="452"/>
      <c r="MOS85" s="412"/>
      <c r="MOT85" s="415"/>
      <c r="MOU85" s="413"/>
      <c r="MPE85" s="396"/>
      <c r="MPF85" s="452"/>
      <c r="MPG85" s="412"/>
      <c r="MPH85" s="415"/>
      <c r="MPI85" s="413"/>
      <c r="MPS85" s="396"/>
      <c r="MPT85" s="452"/>
      <c r="MPU85" s="412"/>
      <c r="MPV85" s="415"/>
      <c r="MPW85" s="413"/>
      <c r="MQG85" s="396"/>
      <c r="MQH85" s="452"/>
      <c r="MQI85" s="412"/>
      <c r="MQJ85" s="415"/>
      <c r="MQK85" s="413"/>
      <c r="MQU85" s="396"/>
      <c r="MQV85" s="452"/>
      <c r="MQW85" s="412"/>
      <c r="MQX85" s="415"/>
      <c r="MQY85" s="413"/>
      <c r="MRI85" s="396"/>
      <c r="MRJ85" s="452"/>
      <c r="MRK85" s="412"/>
      <c r="MRL85" s="415"/>
      <c r="MRM85" s="413"/>
      <c r="MRW85" s="396"/>
      <c r="MRX85" s="452"/>
      <c r="MRY85" s="412"/>
      <c r="MRZ85" s="415"/>
      <c r="MSA85" s="413"/>
      <c r="MSK85" s="396"/>
      <c r="MSL85" s="452"/>
      <c r="MSM85" s="412"/>
      <c r="MSN85" s="415"/>
      <c r="MSO85" s="413"/>
      <c r="MSY85" s="396"/>
      <c r="MSZ85" s="452"/>
      <c r="MTA85" s="412"/>
      <c r="MTB85" s="415"/>
      <c r="MTC85" s="413"/>
      <c r="MTM85" s="396"/>
      <c r="MTN85" s="452"/>
      <c r="MTO85" s="412"/>
      <c r="MTP85" s="415"/>
      <c r="MTQ85" s="413"/>
      <c r="MUA85" s="396"/>
      <c r="MUB85" s="452"/>
      <c r="MUC85" s="412"/>
      <c r="MUD85" s="415"/>
      <c r="MUE85" s="413"/>
      <c r="MUO85" s="396"/>
      <c r="MUP85" s="452"/>
      <c r="MUQ85" s="412"/>
      <c r="MUR85" s="415"/>
      <c r="MUS85" s="413"/>
      <c r="MVC85" s="396"/>
      <c r="MVD85" s="452"/>
      <c r="MVE85" s="412"/>
      <c r="MVF85" s="415"/>
      <c r="MVG85" s="413"/>
      <c r="MVQ85" s="396"/>
      <c r="MVR85" s="452"/>
      <c r="MVS85" s="412"/>
      <c r="MVT85" s="415"/>
      <c r="MVU85" s="413"/>
      <c r="MWE85" s="396"/>
      <c r="MWF85" s="452"/>
      <c r="MWG85" s="412"/>
      <c r="MWH85" s="415"/>
      <c r="MWI85" s="413"/>
      <c r="MWS85" s="396"/>
      <c r="MWT85" s="452"/>
      <c r="MWU85" s="412"/>
      <c r="MWV85" s="415"/>
      <c r="MWW85" s="413"/>
      <c r="MXG85" s="396"/>
      <c r="MXH85" s="452"/>
      <c r="MXI85" s="412"/>
      <c r="MXJ85" s="415"/>
      <c r="MXK85" s="413"/>
      <c r="MXU85" s="396"/>
      <c r="MXV85" s="452"/>
      <c r="MXW85" s="412"/>
      <c r="MXX85" s="415"/>
      <c r="MXY85" s="413"/>
      <c r="MYI85" s="396"/>
      <c r="MYJ85" s="452"/>
      <c r="MYK85" s="412"/>
      <c r="MYL85" s="415"/>
      <c r="MYM85" s="413"/>
      <c r="MYW85" s="396"/>
      <c r="MYX85" s="452"/>
      <c r="MYY85" s="412"/>
      <c r="MYZ85" s="415"/>
      <c r="MZA85" s="413"/>
      <c r="MZK85" s="396"/>
      <c r="MZL85" s="452"/>
      <c r="MZM85" s="412"/>
      <c r="MZN85" s="415"/>
      <c r="MZO85" s="413"/>
      <c r="MZY85" s="396"/>
      <c r="MZZ85" s="452"/>
      <c r="NAA85" s="412"/>
      <c r="NAB85" s="415"/>
      <c r="NAC85" s="413"/>
      <c r="NAM85" s="396"/>
      <c r="NAN85" s="452"/>
      <c r="NAO85" s="412"/>
      <c r="NAP85" s="415"/>
      <c r="NAQ85" s="413"/>
      <c r="NBA85" s="396"/>
      <c r="NBB85" s="452"/>
      <c r="NBC85" s="412"/>
      <c r="NBD85" s="415"/>
      <c r="NBE85" s="413"/>
      <c r="NBO85" s="396"/>
      <c r="NBP85" s="452"/>
      <c r="NBQ85" s="412"/>
      <c r="NBR85" s="415"/>
      <c r="NBS85" s="413"/>
      <c r="NCC85" s="396"/>
      <c r="NCD85" s="452"/>
      <c r="NCE85" s="412"/>
      <c r="NCF85" s="415"/>
      <c r="NCG85" s="413"/>
      <c r="NCQ85" s="396"/>
      <c r="NCR85" s="452"/>
      <c r="NCS85" s="412"/>
      <c r="NCT85" s="415"/>
      <c r="NCU85" s="413"/>
      <c r="NDE85" s="396"/>
      <c r="NDF85" s="452"/>
      <c r="NDG85" s="412"/>
      <c r="NDH85" s="415"/>
      <c r="NDI85" s="413"/>
      <c r="NDS85" s="396"/>
      <c r="NDT85" s="452"/>
      <c r="NDU85" s="412"/>
      <c r="NDV85" s="415"/>
      <c r="NDW85" s="413"/>
      <c r="NEG85" s="396"/>
      <c r="NEH85" s="452"/>
      <c r="NEI85" s="412"/>
      <c r="NEJ85" s="415"/>
      <c r="NEK85" s="413"/>
      <c r="NEU85" s="396"/>
      <c r="NEV85" s="452"/>
      <c r="NEW85" s="412"/>
      <c r="NEX85" s="415"/>
      <c r="NEY85" s="413"/>
      <c r="NFI85" s="396"/>
      <c r="NFJ85" s="452"/>
      <c r="NFK85" s="412"/>
      <c r="NFL85" s="415"/>
      <c r="NFM85" s="413"/>
      <c r="NFW85" s="396"/>
      <c r="NFX85" s="452"/>
      <c r="NFY85" s="412"/>
      <c r="NFZ85" s="415"/>
      <c r="NGA85" s="413"/>
      <c r="NGK85" s="396"/>
      <c r="NGL85" s="452"/>
      <c r="NGM85" s="412"/>
      <c r="NGN85" s="415"/>
      <c r="NGO85" s="413"/>
      <c r="NGY85" s="396"/>
      <c r="NGZ85" s="452"/>
      <c r="NHA85" s="412"/>
      <c r="NHB85" s="415"/>
      <c r="NHC85" s="413"/>
      <c r="NHM85" s="396"/>
      <c r="NHN85" s="452"/>
      <c r="NHO85" s="412"/>
      <c r="NHP85" s="415"/>
      <c r="NHQ85" s="413"/>
      <c r="NIA85" s="396"/>
      <c r="NIB85" s="452"/>
      <c r="NIC85" s="412"/>
      <c r="NID85" s="415"/>
      <c r="NIE85" s="413"/>
      <c r="NIO85" s="396"/>
      <c r="NIP85" s="452"/>
      <c r="NIQ85" s="412"/>
      <c r="NIR85" s="415"/>
      <c r="NIS85" s="413"/>
      <c r="NJC85" s="396"/>
      <c r="NJD85" s="452"/>
      <c r="NJE85" s="412"/>
      <c r="NJF85" s="415"/>
      <c r="NJG85" s="413"/>
      <c r="NJQ85" s="396"/>
      <c r="NJR85" s="452"/>
      <c r="NJS85" s="412"/>
      <c r="NJT85" s="415"/>
      <c r="NJU85" s="413"/>
      <c r="NKE85" s="396"/>
      <c r="NKF85" s="452"/>
      <c r="NKG85" s="412"/>
      <c r="NKH85" s="415"/>
      <c r="NKI85" s="413"/>
      <c r="NKS85" s="396"/>
      <c r="NKT85" s="452"/>
      <c r="NKU85" s="412"/>
      <c r="NKV85" s="415"/>
      <c r="NKW85" s="413"/>
      <c r="NLG85" s="396"/>
      <c r="NLH85" s="452"/>
      <c r="NLI85" s="412"/>
      <c r="NLJ85" s="415"/>
      <c r="NLK85" s="413"/>
      <c r="NLU85" s="396"/>
      <c r="NLV85" s="452"/>
      <c r="NLW85" s="412"/>
      <c r="NLX85" s="415"/>
      <c r="NLY85" s="413"/>
      <c r="NMI85" s="396"/>
      <c r="NMJ85" s="452"/>
      <c r="NMK85" s="412"/>
      <c r="NML85" s="415"/>
      <c r="NMM85" s="413"/>
      <c r="NMW85" s="396"/>
      <c r="NMX85" s="452"/>
      <c r="NMY85" s="412"/>
      <c r="NMZ85" s="415"/>
      <c r="NNA85" s="413"/>
      <c r="NNK85" s="396"/>
      <c r="NNL85" s="452"/>
      <c r="NNM85" s="412"/>
      <c r="NNN85" s="415"/>
      <c r="NNO85" s="413"/>
      <c r="NNY85" s="396"/>
      <c r="NNZ85" s="452"/>
      <c r="NOA85" s="412"/>
      <c r="NOB85" s="415"/>
      <c r="NOC85" s="413"/>
      <c r="NOM85" s="396"/>
      <c r="NON85" s="452"/>
      <c r="NOO85" s="412"/>
      <c r="NOP85" s="415"/>
      <c r="NOQ85" s="413"/>
      <c r="NPA85" s="396"/>
      <c r="NPB85" s="452"/>
      <c r="NPC85" s="412"/>
      <c r="NPD85" s="415"/>
      <c r="NPE85" s="413"/>
      <c r="NPO85" s="396"/>
      <c r="NPP85" s="452"/>
      <c r="NPQ85" s="412"/>
      <c r="NPR85" s="415"/>
      <c r="NPS85" s="413"/>
      <c r="NQC85" s="396"/>
      <c r="NQD85" s="452"/>
      <c r="NQE85" s="412"/>
      <c r="NQF85" s="415"/>
      <c r="NQG85" s="413"/>
      <c r="NQQ85" s="396"/>
      <c r="NQR85" s="452"/>
      <c r="NQS85" s="412"/>
      <c r="NQT85" s="415"/>
      <c r="NQU85" s="413"/>
      <c r="NRE85" s="396"/>
      <c r="NRF85" s="452"/>
      <c r="NRG85" s="412"/>
      <c r="NRH85" s="415"/>
      <c r="NRI85" s="413"/>
      <c r="NRS85" s="396"/>
      <c r="NRT85" s="452"/>
      <c r="NRU85" s="412"/>
      <c r="NRV85" s="415"/>
      <c r="NRW85" s="413"/>
      <c r="NSG85" s="396"/>
      <c r="NSH85" s="452"/>
      <c r="NSI85" s="412"/>
      <c r="NSJ85" s="415"/>
      <c r="NSK85" s="413"/>
      <c r="NSU85" s="396"/>
      <c r="NSV85" s="452"/>
      <c r="NSW85" s="412"/>
      <c r="NSX85" s="415"/>
      <c r="NSY85" s="413"/>
      <c r="NTI85" s="396"/>
      <c r="NTJ85" s="452"/>
      <c r="NTK85" s="412"/>
      <c r="NTL85" s="415"/>
      <c r="NTM85" s="413"/>
      <c r="NTW85" s="396"/>
      <c r="NTX85" s="452"/>
      <c r="NTY85" s="412"/>
      <c r="NTZ85" s="415"/>
      <c r="NUA85" s="413"/>
      <c r="NUK85" s="396"/>
      <c r="NUL85" s="452"/>
      <c r="NUM85" s="412"/>
      <c r="NUN85" s="415"/>
      <c r="NUO85" s="413"/>
      <c r="NUY85" s="396"/>
      <c r="NUZ85" s="452"/>
      <c r="NVA85" s="412"/>
      <c r="NVB85" s="415"/>
      <c r="NVC85" s="413"/>
      <c r="NVM85" s="396"/>
      <c r="NVN85" s="452"/>
      <c r="NVO85" s="412"/>
      <c r="NVP85" s="415"/>
      <c r="NVQ85" s="413"/>
      <c r="NWA85" s="396"/>
      <c r="NWB85" s="452"/>
      <c r="NWC85" s="412"/>
      <c r="NWD85" s="415"/>
      <c r="NWE85" s="413"/>
      <c r="NWO85" s="396"/>
      <c r="NWP85" s="452"/>
      <c r="NWQ85" s="412"/>
      <c r="NWR85" s="415"/>
      <c r="NWS85" s="413"/>
      <c r="NXC85" s="396"/>
      <c r="NXD85" s="452"/>
      <c r="NXE85" s="412"/>
      <c r="NXF85" s="415"/>
      <c r="NXG85" s="413"/>
      <c r="NXQ85" s="396"/>
      <c r="NXR85" s="452"/>
      <c r="NXS85" s="412"/>
      <c r="NXT85" s="415"/>
      <c r="NXU85" s="413"/>
      <c r="NYE85" s="396"/>
      <c r="NYF85" s="452"/>
      <c r="NYG85" s="412"/>
      <c r="NYH85" s="415"/>
      <c r="NYI85" s="413"/>
      <c r="NYS85" s="396"/>
      <c r="NYT85" s="452"/>
      <c r="NYU85" s="412"/>
      <c r="NYV85" s="415"/>
      <c r="NYW85" s="413"/>
      <c r="NZG85" s="396"/>
      <c r="NZH85" s="452"/>
      <c r="NZI85" s="412"/>
      <c r="NZJ85" s="415"/>
      <c r="NZK85" s="413"/>
      <c r="NZU85" s="396"/>
      <c r="NZV85" s="452"/>
      <c r="NZW85" s="412"/>
      <c r="NZX85" s="415"/>
      <c r="NZY85" s="413"/>
      <c r="OAI85" s="396"/>
      <c r="OAJ85" s="452"/>
      <c r="OAK85" s="412"/>
      <c r="OAL85" s="415"/>
      <c r="OAM85" s="413"/>
      <c r="OAW85" s="396"/>
      <c r="OAX85" s="452"/>
      <c r="OAY85" s="412"/>
      <c r="OAZ85" s="415"/>
      <c r="OBA85" s="413"/>
      <c r="OBK85" s="396"/>
      <c r="OBL85" s="452"/>
      <c r="OBM85" s="412"/>
      <c r="OBN85" s="415"/>
      <c r="OBO85" s="413"/>
      <c r="OBY85" s="396"/>
      <c r="OBZ85" s="452"/>
      <c r="OCA85" s="412"/>
      <c r="OCB85" s="415"/>
      <c r="OCC85" s="413"/>
      <c r="OCM85" s="396"/>
      <c r="OCN85" s="452"/>
      <c r="OCO85" s="412"/>
      <c r="OCP85" s="415"/>
      <c r="OCQ85" s="413"/>
      <c r="ODA85" s="396"/>
      <c r="ODB85" s="452"/>
      <c r="ODC85" s="412"/>
      <c r="ODD85" s="415"/>
      <c r="ODE85" s="413"/>
      <c r="ODO85" s="396"/>
      <c r="ODP85" s="452"/>
      <c r="ODQ85" s="412"/>
      <c r="ODR85" s="415"/>
      <c r="ODS85" s="413"/>
      <c r="OEC85" s="396"/>
      <c r="OED85" s="452"/>
      <c r="OEE85" s="412"/>
      <c r="OEF85" s="415"/>
      <c r="OEG85" s="413"/>
      <c r="OEQ85" s="396"/>
      <c r="OER85" s="452"/>
      <c r="OES85" s="412"/>
      <c r="OET85" s="415"/>
      <c r="OEU85" s="413"/>
      <c r="OFE85" s="396"/>
      <c r="OFF85" s="452"/>
      <c r="OFG85" s="412"/>
      <c r="OFH85" s="415"/>
      <c r="OFI85" s="413"/>
      <c r="OFS85" s="396"/>
      <c r="OFT85" s="452"/>
      <c r="OFU85" s="412"/>
      <c r="OFV85" s="415"/>
      <c r="OFW85" s="413"/>
      <c r="OGG85" s="396"/>
      <c r="OGH85" s="452"/>
      <c r="OGI85" s="412"/>
      <c r="OGJ85" s="415"/>
      <c r="OGK85" s="413"/>
      <c r="OGU85" s="396"/>
      <c r="OGV85" s="452"/>
      <c r="OGW85" s="412"/>
      <c r="OGX85" s="415"/>
      <c r="OGY85" s="413"/>
      <c r="OHI85" s="396"/>
      <c r="OHJ85" s="452"/>
      <c r="OHK85" s="412"/>
      <c r="OHL85" s="415"/>
      <c r="OHM85" s="413"/>
      <c r="OHW85" s="396"/>
      <c r="OHX85" s="452"/>
      <c r="OHY85" s="412"/>
      <c r="OHZ85" s="415"/>
      <c r="OIA85" s="413"/>
      <c r="OIK85" s="396"/>
      <c r="OIL85" s="452"/>
      <c r="OIM85" s="412"/>
      <c r="OIN85" s="415"/>
      <c r="OIO85" s="413"/>
      <c r="OIY85" s="396"/>
      <c r="OIZ85" s="452"/>
      <c r="OJA85" s="412"/>
      <c r="OJB85" s="415"/>
      <c r="OJC85" s="413"/>
      <c r="OJM85" s="396"/>
      <c r="OJN85" s="452"/>
      <c r="OJO85" s="412"/>
      <c r="OJP85" s="415"/>
      <c r="OJQ85" s="413"/>
      <c r="OKA85" s="396"/>
      <c r="OKB85" s="452"/>
      <c r="OKC85" s="412"/>
      <c r="OKD85" s="415"/>
      <c r="OKE85" s="413"/>
      <c r="OKO85" s="396"/>
      <c r="OKP85" s="452"/>
      <c r="OKQ85" s="412"/>
      <c r="OKR85" s="415"/>
      <c r="OKS85" s="413"/>
      <c r="OLC85" s="396"/>
      <c r="OLD85" s="452"/>
      <c r="OLE85" s="412"/>
      <c r="OLF85" s="415"/>
      <c r="OLG85" s="413"/>
      <c r="OLQ85" s="396"/>
      <c r="OLR85" s="452"/>
      <c r="OLS85" s="412"/>
      <c r="OLT85" s="415"/>
      <c r="OLU85" s="413"/>
      <c r="OME85" s="396"/>
      <c r="OMF85" s="452"/>
      <c r="OMG85" s="412"/>
      <c r="OMH85" s="415"/>
      <c r="OMI85" s="413"/>
      <c r="OMS85" s="396"/>
      <c r="OMT85" s="452"/>
      <c r="OMU85" s="412"/>
      <c r="OMV85" s="415"/>
      <c r="OMW85" s="413"/>
      <c r="ONG85" s="396"/>
      <c r="ONH85" s="452"/>
      <c r="ONI85" s="412"/>
      <c r="ONJ85" s="415"/>
      <c r="ONK85" s="413"/>
      <c r="ONU85" s="396"/>
      <c r="ONV85" s="452"/>
      <c r="ONW85" s="412"/>
      <c r="ONX85" s="415"/>
      <c r="ONY85" s="413"/>
      <c r="OOI85" s="396"/>
      <c r="OOJ85" s="452"/>
      <c r="OOK85" s="412"/>
      <c r="OOL85" s="415"/>
      <c r="OOM85" s="413"/>
      <c r="OOW85" s="396"/>
      <c r="OOX85" s="452"/>
      <c r="OOY85" s="412"/>
      <c r="OOZ85" s="415"/>
      <c r="OPA85" s="413"/>
      <c r="OPK85" s="396"/>
      <c r="OPL85" s="452"/>
      <c r="OPM85" s="412"/>
      <c r="OPN85" s="415"/>
      <c r="OPO85" s="413"/>
      <c r="OPY85" s="396"/>
      <c r="OPZ85" s="452"/>
      <c r="OQA85" s="412"/>
      <c r="OQB85" s="415"/>
      <c r="OQC85" s="413"/>
      <c r="OQM85" s="396"/>
      <c r="OQN85" s="452"/>
      <c r="OQO85" s="412"/>
      <c r="OQP85" s="415"/>
      <c r="OQQ85" s="413"/>
      <c r="ORA85" s="396"/>
      <c r="ORB85" s="452"/>
      <c r="ORC85" s="412"/>
      <c r="ORD85" s="415"/>
      <c r="ORE85" s="413"/>
      <c r="ORO85" s="396"/>
      <c r="ORP85" s="452"/>
      <c r="ORQ85" s="412"/>
      <c r="ORR85" s="415"/>
      <c r="ORS85" s="413"/>
      <c r="OSC85" s="396"/>
      <c r="OSD85" s="452"/>
      <c r="OSE85" s="412"/>
      <c r="OSF85" s="415"/>
      <c r="OSG85" s="413"/>
      <c r="OSQ85" s="396"/>
      <c r="OSR85" s="452"/>
      <c r="OSS85" s="412"/>
      <c r="OST85" s="415"/>
      <c r="OSU85" s="413"/>
      <c r="OTE85" s="396"/>
      <c r="OTF85" s="452"/>
      <c r="OTG85" s="412"/>
      <c r="OTH85" s="415"/>
      <c r="OTI85" s="413"/>
      <c r="OTS85" s="396"/>
      <c r="OTT85" s="452"/>
      <c r="OTU85" s="412"/>
      <c r="OTV85" s="415"/>
      <c r="OTW85" s="413"/>
      <c r="OUG85" s="396"/>
      <c r="OUH85" s="452"/>
      <c r="OUI85" s="412"/>
      <c r="OUJ85" s="415"/>
      <c r="OUK85" s="413"/>
      <c r="OUU85" s="396"/>
      <c r="OUV85" s="452"/>
      <c r="OUW85" s="412"/>
      <c r="OUX85" s="415"/>
      <c r="OUY85" s="413"/>
      <c r="OVI85" s="396"/>
      <c r="OVJ85" s="452"/>
      <c r="OVK85" s="412"/>
      <c r="OVL85" s="415"/>
      <c r="OVM85" s="413"/>
      <c r="OVW85" s="396"/>
      <c r="OVX85" s="452"/>
      <c r="OVY85" s="412"/>
      <c r="OVZ85" s="415"/>
      <c r="OWA85" s="413"/>
      <c r="OWK85" s="396"/>
      <c r="OWL85" s="452"/>
      <c r="OWM85" s="412"/>
      <c r="OWN85" s="415"/>
      <c r="OWO85" s="413"/>
      <c r="OWY85" s="396"/>
      <c r="OWZ85" s="452"/>
      <c r="OXA85" s="412"/>
      <c r="OXB85" s="415"/>
      <c r="OXC85" s="413"/>
      <c r="OXM85" s="396"/>
      <c r="OXN85" s="452"/>
      <c r="OXO85" s="412"/>
      <c r="OXP85" s="415"/>
      <c r="OXQ85" s="413"/>
      <c r="OYA85" s="396"/>
      <c r="OYB85" s="452"/>
      <c r="OYC85" s="412"/>
      <c r="OYD85" s="415"/>
      <c r="OYE85" s="413"/>
      <c r="OYO85" s="396"/>
      <c r="OYP85" s="452"/>
      <c r="OYQ85" s="412"/>
      <c r="OYR85" s="415"/>
      <c r="OYS85" s="413"/>
      <c r="OZC85" s="396"/>
      <c r="OZD85" s="452"/>
      <c r="OZE85" s="412"/>
      <c r="OZF85" s="415"/>
      <c r="OZG85" s="413"/>
      <c r="OZQ85" s="396"/>
      <c r="OZR85" s="452"/>
      <c r="OZS85" s="412"/>
      <c r="OZT85" s="415"/>
      <c r="OZU85" s="413"/>
      <c r="PAE85" s="396"/>
      <c r="PAF85" s="452"/>
      <c r="PAG85" s="412"/>
      <c r="PAH85" s="415"/>
      <c r="PAI85" s="413"/>
      <c r="PAS85" s="396"/>
      <c r="PAT85" s="452"/>
      <c r="PAU85" s="412"/>
      <c r="PAV85" s="415"/>
      <c r="PAW85" s="413"/>
      <c r="PBG85" s="396"/>
      <c r="PBH85" s="452"/>
      <c r="PBI85" s="412"/>
      <c r="PBJ85" s="415"/>
      <c r="PBK85" s="413"/>
      <c r="PBU85" s="396"/>
      <c r="PBV85" s="452"/>
      <c r="PBW85" s="412"/>
      <c r="PBX85" s="415"/>
      <c r="PBY85" s="413"/>
      <c r="PCI85" s="396"/>
      <c r="PCJ85" s="452"/>
      <c r="PCK85" s="412"/>
      <c r="PCL85" s="415"/>
      <c r="PCM85" s="413"/>
      <c r="PCW85" s="396"/>
      <c r="PCX85" s="452"/>
      <c r="PCY85" s="412"/>
      <c r="PCZ85" s="415"/>
      <c r="PDA85" s="413"/>
      <c r="PDK85" s="396"/>
      <c r="PDL85" s="452"/>
      <c r="PDM85" s="412"/>
      <c r="PDN85" s="415"/>
      <c r="PDO85" s="413"/>
      <c r="PDY85" s="396"/>
      <c r="PDZ85" s="452"/>
      <c r="PEA85" s="412"/>
      <c r="PEB85" s="415"/>
      <c r="PEC85" s="413"/>
      <c r="PEM85" s="396"/>
      <c r="PEN85" s="452"/>
      <c r="PEO85" s="412"/>
      <c r="PEP85" s="415"/>
      <c r="PEQ85" s="413"/>
      <c r="PFA85" s="396"/>
      <c r="PFB85" s="452"/>
      <c r="PFC85" s="412"/>
      <c r="PFD85" s="415"/>
      <c r="PFE85" s="413"/>
      <c r="PFO85" s="396"/>
      <c r="PFP85" s="452"/>
      <c r="PFQ85" s="412"/>
      <c r="PFR85" s="415"/>
      <c r="PFS85" s="413"/>
      <c r="PGC85" s="396"/>
      <c r="PGD85" s="452"/>
      <c r="PGE85" s="412"/>
      <c r="PGF85" s="415"/>
      <c r="PGG85" s="413"/>
      <c r="PGQ85" s="396"/>
      <c r="PGR85" s="452"/>
      <c r="PGS85" s="412"/>
      <c r="PGT85" s="415"/>
      <c r="PGU85" s="413"/>
      <c r="PHE85" s="396"/>
      <c r="PHF85" s="452"/>
      <c r="PHG85" s="412"/>
      <c r="PHH85" s="415"/>
      <c r="PHI85" s="413"/>
      <c r="PHS85" s="396"/>
      <c r="PHT85" s="452"/>
      <c r="PHU85" s="412"/>
      <c r="PHV85" s="415"/>
      <c r="PHW85" s="413"/>
      <c r="PIG85" s="396"/>
      <c r="PIH85" s="452"/>
      <c r="PII85" s="412"/>
      <c r="PIJ85" s="415"/>
      <c r="PIK85" s="413"/>
      <c r="PIU85" s="396"/>
      <c r="PIV85" s="452"/>
      <c r="PIW85" s="412"/>
      <c r="PIX85" s="415"/>
      <c r="PIY85" s="413"/>
      <c r="PJI85" s="396"/>
      <c r="PJJ85" s="452"/>
      <c r="PJK85" s="412"/>
      <c r="PJL85" s="415"/>
      <c r="PJM85" s="413"/>
      <c r="PJW85" s="396"/>
      <c r="PJX85" s="452"/>
      <c r="PJY85" s="412"/>
      <c r="PJZ85" s="415"/>
      <c r="PKA85" s="413"/>
      <c r="PKK85" s="396"/>
      <c r="PKL85" s="452"/>
      <c r="PKM85" s="412"/>
      <c r="PKN85" s="415"/>
      <c r="PKO85" s="413"/>
      <c r="PKY85" s="396"/>
      <c r="PKZ85" s="452"/>
      <c r="PLA85" s="412"/>
      <c r="PLB85" s="415"/>
      <c r="PLC85" s="413"/>
      <c r="PLM85" s="396"/>
      <c r="PLN85" s="452"/>
      <c r="PLO85" s="412"/>
      <c r="PLP85" s="415"/>
      <c r="PLQ85" s="413"/>
      <c r="PMA85" s="396"/>
      <c r="PMB85" s="452"/>
      <c r="PMC85" s="412"/>
      <c r="PMD85" s="415"/>
      <c r="PME85" s="413"/>
      <c r="PMO85" s="396"/>
      <c r="PMP85" s="452"/>
      <c r="PMQ85" s="412"/>
      <c r="PMR85" s="415"/>
      <c r="PMS85" s="413"/>
      <c r="PNC85" s="396"/>
      <c r="PND85" s="452"/>
      <c r="PNE85" s="412"/>
      <c r="PNF85" s="415"/>
      <c r="PNG85" s="413"/>
      <c r="PNQ85" s="396"/>
      <c r="PNR85" s="452"/>
      <c r="PNS85" s="412"/>
      <c r="PNT85" s="415"/>
      <c r="PNU85" s="413"/>
      <c r="POE85" s="396"/>
      <c r="POF85" s="452"/>
      <c r="POG85" s="412"/>
      <c r="POH85" s="415"/>
      <c r="POI85" s="413"/>
      <c r="POS85" s="396"/>
      <c r="POT85" s="452"/>
      <c r="POU85" s="412"/>
      <c r="POV85" s="415"/>
      <c r="POW85" s="413"/>
      <c r="PPG85" s="396"/>
      <c r="PPH85" s="452"/>
      <c r="PPI85" s="412"/>
      <c r="PPJ85" s="415"/>
      <c r="PPK85" s="413"/>
      <c r="PPU85" s="396"/>
      <c r="PPV85" s="452"/>
      <c r="PPW85" s="412"/>
      <c r="PPX85" s="415"/>
      <c r="PPY85" s="413"/>
      <c r="PQI85" s="396"/>
      <c r="PQJ85" s="452"/>
      <c r="PQK85" s="412"/>
      <c r="PQL85" s="415"/>
      <c r="PQM85" s="413"/>
      <c r="PQW85" s="396"/>
      <c r="PQX85" s="452"/>
      <c r="PQY85" s="412"/>
      <c r="PQZ85" s="415"/>
      <c r="PRA85" s="413"/>
      <c r="PRK85" s="396"/>
      <c r="PRL85" s="452"/>
      <c r="PRM85" s="412"/>
      <c r="PRN85" s="415"/>
      <c r="PRO85" s="413"/>
      <c r="PRY85" s="396"/>
      <c r="PRZ85" s="452"/>
      <c r="PSA85" s="412"/>
      <c r="PSB85" s="415"/>
      <c r="PSC85" s="413"/>
      <c r="PSM85" s="396"/>
      <c r="PSN85" s="452"/>
      <c r="PSO85" s="412"/>
      <c r="PSP85" s="415"/>
      <c r="PSQ85" s="413"/>
      <c r="PTA85" s="396"/>
      <c r="PTB85" s="452"/>
      <c r="PTC85" s="412"/>
      <c r="PTD85" s="415"/>
      <c r="PTE85" s="413"/>
      <c r="PTO85" s="396"/>
      <c r="PTP85" s="452"/>
      <c r="PTQ85" s="412"/>
      <c r="PTR85" s="415"/>
      <c r="PTS85" s="413"/>
      <c r="PUC85" s="396"/>
      <c r="PUD85" s="452"/>
      <c r="PUE85" s="412"/>
      <c r="PUF85" s="415"/>
      <c r="PUG85" s="413"/>
      <c r="PUQ85" s="396"/>
      <c r="PUR85" s="452"/>
      <c r="PUS85" s="412"/>
      <c r="PUT85" s="415"/>
      <c r="PUU85" s="413"/>
      <c r="PVE85" s="396"/>
      <c r="PVF85" s="452"/>
      <c r="PVG85" s="412"/>
      <c r="PVH85" s="415"/>
      <c r="PVI85" s="413"/>
      <c r="PVS85" s="396"/>
      <c r="PVT85" s="452"/>
      <c r="PVU85" s="412"/>
      <c r="PVV85" s="415"/>
      <c r="PVW85" s="413"/>
      <c r="PWG85" s="396"/>
      <c r="PWH85" s="452"/>
      <c r="PWI85" s="412"/>
      <c r="PWJ85" s="415"/>
      <c r="PWK85" s="413"/>
      <c r="PWU85" s="396"/>
      <c r="PWV85" s="452"/>
      <c r="PWW85" s="412"/>
      <c r="PWX85" s="415"/>
      <c r="PWY85" s="413"/>
      <c r="PXI85" s="396"/>
      <c r="PXJ85" s="452"/>
      <c r="PXK85" s="412"/>
      <c r="PXL85" s="415"/>
      <c r="PXM85" s="413"/>
      <c r="PXW85" s="396"/>
      <c r="PXX85" s="452"/>
      <c r="PXY85" s="412"/>
      <c r="PXZ85" s="415"/>
      <c r="PYA85" s="413"/>
      <c r="PYK85" s="396"/>
      <c r="PYL85" s="452"/>
      <c r="PYM85" s="412"/>
      <c r="PYN85" s="415"/>
      <c r="PYO85" s="413"/>
      <c r="PYY85" s="396"/>
      <c r="PYZ85" s="452"/>
      <c r="PZA85" s="412"/>
      <c r="PZB85" s="415"/>
      <c r="PZC85" s="413"/>
      <c r="PZM85" s="396"/>
      <c r="PZN85" s="452"/>
      <c r="PZO85" s="412"/>
      <c r="PZP85" s="415"/>
      <c r="PZQ85" s="413"/>
      <c r="QAA85" s="396"/>
      <c r="QAB85" s="452"/>
      <c r="QAC85" s="412"/>
      <c r="QAD85" s="415"/>
      <c r="QAE85" s="413"/>
      <c r="QAO85" s="396"/>
      <c r="QAP85" s="452"/>
      <c r="QAQ85" s="412"/>
      <c r="QAR85" s="415"/>
      <c r="QAS85" s="413"/>
      <c r="QBC85" s="396"/>
      <c r="QBD85" s="452"/>
      <c r="QBE85" s="412"/>
      <c r="QBF85" s="415"/>
      <c r="QBG85" s="413"/>
      <c r="QBQ85" s="396"/>
      <c r="QBR85" s="452"/>
      <c r="QBS85" s="412"/>
      <c r="QBT85" s="415"/>
      <c r="QBU85" s="413"/>
      <c r="QCE85" s="396"/>
      <c r="QCF85" s="452"/>
      <c r="QCG85" s="412"/>
      <c r="QCH85" s="415"/>
      <c r="QCI85" s="413"/>
      <c r="QCS85" s="396"/>
      <c r="QCT85" s="452"/>
      <c r="QCU85" s="412"/>
      <c r="QCV85" s="415"/>
      <c r="QCW85" s="413"/>
      <c r="QDG85" s="396"/>
      <c r="QDH85" s="452"/>
      <c r="QDI85" s="412"/>
      <c r="QDJ85" s="415"/>
      <c r="QDK85" s="413"/>
      <c r="QDU85" s="396"/>
      <c r="QDV85" s="452"/>
      <c r="QDW85" s="412"/>
      <c r="QDX85" s="415"/>
      <c r="QDY85" s="413"/>
      <c r="QEI85" s="396"/>
      <c r="QEJ85" s="452"/>
      <c r="QEK85" s="412"/>
      <c r="QEL85" s="415"/>
      <c r="QEM85" s="413"/>
      <c r="QEW85" s="396"/>
      <c r="QEX85" s="452"/>
      <c r="QEY85" s="412"/>
      <c r="QEZ85" s="415"/>
      <c r="QFA85" s="413"/>
      <c r="QFK85" s="396"/>
      <c r="QFL85" s="452"/>
      <c r="QFM85" s="412"/>
      <c r="QFN85" s="415"/>
      <c r="QFO85" s="413"/>
      <c r="QFY85" s="396"/>
      <c r="QFZ85" s="452"/>
      <c r="QGA85" s="412"/>
      <c r="QGB85" s="415"/>
      <c r="QGC85" s="413"/>
      <c r="QGM85" s="396"/>
      <c r="QGN85" s="452"/>
      <c r="QGO85" s="412"/>
      <c r="QGP85" s="415"/>
      <c r="QGQ85" s="413"/>
      <c r="QHA85" s="396"/>
      <c r="QHB85" s="452"/>
      <c r="QHC85" s="412"/>
      <c r="QHD85" s="415"/>
      <c r="QHE85" s="413"/>
      <c r="QHO85" s="396"/>
      <c r="QHP85" s="452"/>
      <c r="QHQ85" s="412"/>
      <c r="QHR85" s="415"/>
      <c r="QHS85" s="413"/>
      <c r="QIC85" s="396"/>
      <c r="QID85" s="452"/>
      <c r="QIE85" s="412"/>
      <c r="QIF85" s="415"/>
      <c r="QIG85" s="413"/>
      <c r="QIQ85" s="396"/>
      <c r="QIR85" s="452"/>
      <c r="QIS85" s="412"/>
      <c r="QIT85" s="415"/>
      <c r="QIU85" s="413"/>
      <c r="QJE85" s="396"/>
      <c r="QJF85" s="452"/>
      <c r="QJG85" s="412"/>
      <c r="QJH85" s="415"/>
      <c r="QJI85" s="413"/>
      <c r="QJS85" s="396"/>
      <c r="QJT85" s="452"/>
      <c r="QJU85" s="412"/>
      <c r="QJV85" s="415"/>
      <c r="QJW85" s="413"/>
      <c r="QKG85" s="396"/>
      <c r="QKH85" s="452"/>
      <c r="QKI85" s="412"/>
      <c r="QKJ85" s="415"/>
      <c r="QKK85" s="413"/>
      <c r="QKU85" s="396"/>
      <c r="QKV85" s="452"/>
      <c r="QKW85" s="412"/>
      <c r="QKX85" s="415"/>
      <c r="QKY85" s="413"/>
      <c r="QLI85" s="396"/>
      <c r="QLJ85" s="452"/>
      <c r="QLK85" s="412"/>
      <c r="QLL85" s="415"/>
      <c r="QLM85" s="413"/>
      <c r="QLW85" s="396"/>
      <c r="QLX85" s="452"/>
      <c r="QLY85" s="412"/>
      <c r="QLZ85" s="415"/>
      <c r="QMA85" s="413"/>
      <c r="QMK85" s="396"/>
      <c r="QML85" s="452"/>
      <c r="QMM85" s="412"/>
      <c r="QMN85" s="415"/>
      <c r="QMO85" s="413"/>
      <c r="QMY85" s="396"/>
      <c r="QMZ85" s="452"/>
      <c r="QNA85" s="412"/>
      <c r="QNB85" s="415"/>
      <c r="QNC85" s="413"/>
      <c r="QNM85" s="396"/>
      <c r="QNN85" s="452"/>
      <c r="QNO85" s="412"/>
      <c r="QNP85" s="415"/>
      <c r="QNQ85" s="413"/>
      <c r="QOA85" s="396"/>
      <c r="QOB85" s="452"/>
      <c r="QOC85" s="412"/>
      <c r="QOD85" s="415"/>
      <c r="QOE85" s="413"/>
      <c r="QOO85" s="396"/>
      <c r="QOP85" s="452"/>
      <c r="QOQ85" s="412"/>
      <c r="QOR85" s="415"/>
      <c r="QOS85" s="413"/>
      <c r="QPC85" s="396"/>
      <c r="QPD85" s="452"/>
      <c r="QPE85" s="412"/>
      <c r="QPF85" s="415"/>
      <c r="QPG85" s="413"/>
      <c r="QPQ85" s="396"/>
      <c r="QPR85" s="452"/>
      <c r="QPS85" s="412"/>
      <c r="QPT85" s="415"/>
      <c r="QPU85" s="413"/>
      <c r="QQE85" s="396"/>
      <c r="QQF85" s="452"/>
      <c r="QQG85" s="412"/>
      <c r="QQH85" s="415"/>
      <c r="QQI85" s="413"/>
      <c r="QQS85" s="396"/>
      <c r="QQT85" s="452"/>
      <c r="QQU85" s="412"/>
      <c r="QQV85" s="415"/>
      <c r="QQW85" s="413"/>
      <c r="QRG85" s="396"/>
      <c r="QRH85" s="452"/>
      <c r="QRI85" s="412"/>
      <c r="QRJ85" s="415"/>
      <c r="QRK85" s="413"/>
      <c r="QRU85" s="396"/>
      <c r="QRV85" s="452"/>
      <c r="QRW85" s="412"/>
      <c r="QRX85" s="415"/>
      <c r="QRY85" s="413"/>
      <c r="QSI85" s="396"/>
      <c r="QSJ85" s="452"/>
      <c r="QSK85" s="412"/>
      <c r="QSL85" s="415"/>
      <c r="QSM85" s="413"/>
      <c r="QSW85" s="396"/>
      <c r="QSX85" s="452"/>
      <c r="QSY85" s="412"/>
      <c r="QSZ85" s="415"/>
      <c r="QTA85" s="413"/>
      <c r="QTK85" s="396"/>
      <c r="QTL85" s="452"/>
      <c r="QTM85" s="412"/>
      <c r="QTN85" s="415"/>
      <c r="QTO85" s="413"/>
      <c r="QTY85" s="396"/>
      <c r="QTZ85" s="452"/>
      <c r="QUA85" s="412"/>
      <c r="QUB85" s="415"/>
      <c r="QUC85" s="413"/>
      <c r="QUM85" s="396"/>
      <c r="QUN85" s="452"/>
      <c r="QUO85" s="412"/>
      <c r="QUP85" s="415"/>
      <c r="QUQ85" s="413"/>
      <c r="QVA85" s="396"/>
      <c r="QVB85" s="452"/>
      <c r="QVC85" s="412"/>
      <c r="QVD85" s="415"/>
      <c r="QVE85" s="413"/>
      <c r="QVO85" s="396"/>
      <c r="QVP85" s="452"/>
      <c r="QVQ85" s="412"/>
      <c r="QVR85" s="415"/>
      <c r="QVS85" s="413"/>
      <c r="QWC85" s="396"/>
      <c r="QWD85" s="452"/>
      <c r="QWE85" s="412"/>
      <c r="QWF85" s="415"/>
      <c r="QWG85" s="413"/>
      <c r="QWQ85" s="396"/>
      <c r="QWR85" s="452"/>
      <c r="QWS85" s="412"/>
      <c r="QWT85" s="415"/>
      <c r="QWU85" s="413"/>
      <c r="QXE85" s="396"/>
      <c r="QXF85" s="452"/>
      <c r="QXG85" s="412"/>
      <c r="QXH85" s="415"/>
      <c r="QXI85" s="413"/>
      <c r="QXS85" s="396"/>
      <c r="QXT85" s="452"/>
      <c r="QXU85" s="412"/>
      <c r="QXV85" s="415"/>
      <c r="QXW85" s="413"/>
      <c r="QYG85" s="396"/>
      <c r="QYH85" s="452"/>
      <c r="QYI85" s="412"/>
      <c r="QYJ85" s="415"/>
      <c r="QYK85" s="413"/>
      <c r="QYU85" s="396"/>
      <c r="QYV85" s="452"/>
      <c r="QYW85" s="412"/>
      <c r="QYX85" s="415"/>
      <c r="QYY85" s="413"/>
      <c r="QZI85" s="396"/>
      <c r="QZJ85" s="452"/>
      <c r="QZK85" s="412"/>
      <c r="QZL85" s="415"/>
      <c r="QZM85" s="413"/>
      <c r="QZW85" s="396"/>
      <c r="QZX85" s="452"/>
      <c r="QZY85" s="412"/>
      <c r="QZZ85" s="415"/>
      <c r="RAA85" s="413"/>
      <c r="RAK85" s="396"/>
      <c r="RAL85" s="452"/>
      <c r="RAM85" s="412"/>
      <c r="RAN85" s="415"/>
      <c r="RAO85" s="413"/>
      <c r="RAY85" s="396"/>
      <c r="RAZ85" s="452"/>
      <c r="RBA85" s="412"/>
      <c r="RBB85" s="415"/>
      <c r="RBC85" s="413"/>
      <c r="RBM85" s="396"/>
      <c r="RBN85" s="452"/>
      <c r="RBO85" s="412"/>
      <c r="RBP85" s="415"/>
      <c r="RBQ85" s="413"/>
      <c r="RCA85" s="396"/>
      <c r="RCB85" s="452"/>
      <c r="RCC85" s="412"/>
      <c r="RCD85" s="415"/>
      <c r="RCE85" s="413"/>
      <c r="RCO85" s="396"/>
      <c r="RCP85" s="452"/>
      <c r="RCQ85" s="412"/>
      <c r="RCR85" s="415"/>
      <c r="RCS85" s="413"/>
      <c r="RDC85" s="396"/>
      <c r="RDD85" s="452"/>
      <c r="RDE85" s="412"/>
      <c r="RDF85" s="415"/>
      <c r="RDG85" s="413"/>
      <c r="RDQ85" s="396"/>
      <c r="RDR85" s="452"/>
      <c r="RDS85" s="412"/>
      <c r="RDT85" s="415"/>
      <c r="RDU85" s="413"/>
      <c r="REE85" s="396"/>
      <c r="REF85" s="452"/>
      <c r="REG85" s="412"/>
      <c r="REH85" s="415"/>
      <c r="REI85" s="413"/>
      <c r="RES85" s="396"/>
      <c r="RET85" s="452"/>
      <c r="REU85" s="412"/>
      <c r="REV85" s="415"/>
      <c r="REW85" s="413"/>
      <c r="RFG85" s="396"/>
      <c r="RFH85" s="452"/>
      <c r="RFI85" s="412"/>
      <c r="RFJ85" s="415"/>
      <c r="RFK85" s="413"/>
      <c r="RFU85" s="396"/>
      <c r="RFV85" s="452"/>
      <c r="RFW85" s="412"/>
      <c r="RFX85" s="415"/>
      <c r="RFY85" s="413"/>
      <c r="RGI85" s="396"/>
      <c r="RGJ85" s="452"/>
      <c r="RGK85" s="412"/>
      <c r="RGL85" s="415"/>
      <c r="RGM85" s="413"/>
      <c r="RGW85" s="396"/>
      <c r="RGX85" s="452"/>
      <c r="RGY85" s="412"/>
      <c r="RGZ85" s="415"/>
      <c r="RHA85" s="413"/>
      <c r="RHK85" s="396"/>
      <c r="RHL85" s="452"/>
      <c r="RHM85" s="412"/>
      <c r="RHN85" s="415"/>
      <c r="RHO85" s="413"/>
      <c r="RHY85" s="396"/>
      <c r="RHZ85" s="452"/>
      <c r="RIA85" s="412"/>
      <c r="RIB85" s="415"/>
      <c r="RIC85" s="413"/>
      <c r="RIM85" s="396"/>
      <c r="RIN85" s="452"/>
      <c r="RIO85" s="412"/>
      <c r="RIP85" s="415"/>
      <c r="RIQ85" s="413"/>
      <c r="RJA85" s="396"/>
      <c r="RJB85" s="452"/>
      <c r="RJC85" s="412"/>
      <c r="RJD85" s="415"/>
      <c r="RJE85" s="413"/>
      <c r="RJO85" s="396"/>
      <c r="RJP85" s="452"/>
      <c r="RJQ85" s="412"/>
      <c r="RJR85" s="415"/>
      <c r="RJS85" s="413"/>
      <c r="RKC85" s="396"/>
      <c r="RKD85" s="452"/>
      <c r="RKE85" s="412"/>
      <c r="RKF85" s="415"/>
      <c r="RKG85" s="413"/>
      <c r="RKQ85" s="396"/>
      <c r="RKR85" s="452"/>
      <c r="RKS85" s="412"/>
      <c r="RKT85" s="415"/>
      <c r="RKU85" s="413"/>
      <c r="RLE85" s="396"/>
      <c r="RLF85" s="452"/>
      <c r="RLG85" s="412"/>
      <c r="RLH85" s="415"/>
      <c r="RLI85" s="413"/>
      <c r="RLS85" s="396"/>
      <c r="RLT85" s="452"/>
      <c r="RLU85" s="412"/>
      <c r="RLV85" s="415"/>
      <c r="RLW85" s="413"/>
      <c r="RMG85" s="396"/>
      <c r="RMH85" s="452"/>
      <c r="RMI85" s="412"/>
      <c r="RMJ85" s="415"/>
      <c r="RMK85" s="413"/>
      <c r="RMU85" s="396"/>
      <c r="RMV85" s="452"/>
      <c r="RMW85" s="412"/>
      <c r="RMX85" s="415"/>
      <c r="RMY85" s="413"/>
      <c r="RNI85" s="396"/>
      <c r="RNJ85" s="452"/>
      <c r="RNK85" s="412"/>
      <c r="RNL85" s="415"/>
      <c r="RNM85" s="413"/>
      <c r="RNW85" s="396"/>
      <c r="RNX85" s="452"/>
      <c r="RNY85" s="412"/>
      <c r="RNZ85" s="415"/>
      <c r="ROA85" s="413"/>
      <c r="ROK85" s="396"/>
      <c r="ROL85" s="452"/>
      <c r="ROM85" s="412"/>
      <c r="RON85" s="415"/>
      <c r="ROO85" s="413"/>
      <c r="ROY85" s="396"/>
      <c r="ROZ85" s="452"/>
      <c r="RPA85" s="412"/>
      <c r="RPB85" s="415"/>
      <c r="RPC85" s="413"/>
      <c r="RPM85" s="396"/>
      <c r="RPN85" s="452"/>
      <c r="RPO85" s="412"/>
      <c r="RPP85" s="415"/>
      <c r="RPQ85" s="413"/>
      <c r="RQA85" s="396"/>
      <c r="RQB85" s="452"/>
      <c r="RQC85" s="412"/>
      <c r="RQD85" s="415"/>
      <c r="RQE85" s="413"/>
      <c r="RQO85" s="396"/>
      <c r="RQP85" s="452"/>
      <c r="RQQ85" s="412"/>
      <c r="RQR85" s="415"/>
      <c r="RQS85" s="413"/>
      <c r="RRC85" s="396"/>
      <c r="RRD85" s="452"/>
      <c r="RRE85" s="412"/>
      <c r="RRF85" s="415"/>
      <c r="RRG85" s="413"/>
      <c r="RRQ85" s="396"/>
      <c r="RRR85" s="452"/>
      <c r="RRS85" s="412"/>
      <c r="RRT85" s="415"/>
      <c r="RRU85" s="413"/>
      <c r="RSE85" s="396"/>
      <c r="RSF85" s="452"/>
      <c r="RSG85" s="412"/>
      <c r="RSH85" s="415"/>
      <c r="RSI85" s="413"/>
      <c r="RSS85" s="396"/>
      <c r="RST85" s="452"/>
      <c r="RSU85" s="412"/>
      <c r="RSV85" s="415"/>
      <c r="RSW85" s="413"/>
      <c r="RTG85" s="396"/>
      <c r="RTH85" s="452"/>
      <c r="RTI85" s="412"/>
      <c r="RTJ85" s="415"/>
      <c r="RTK85" s="413"/>
      <c r="RTU85" s="396"/>
      <c r="RTV85" s="452"/>
      <c r="RTW85" s="412"/>
      <c r="RTX85" s="415"/>
      <c r="RTY85" s="413"/>
      <c r="RUI85" s="396"/>
      <c r="RUJ85" s="452"/>
      <c r="RUK85" s="412"/>
      <c r="RUL85" s="415"/>
      <c r="RUM85" s="413"/>
      <c r="RUW85" s="396"/>
      <c r="RUX85" s="452"/>
      <c r="RUY85" s="412"/>
      <c r="RUZ85" s="415"/>
      <c r="RVA85" s="413"/>
      <c r="RVK85" s="396"/>
      <c r="RVL85" s="452"/>
      <c r="RVM85" s="412"/>
      <c r="RVN85" s="415"/>
      <c r="RVO85" s="413"/>
      <c r="RVY85" s="396"/>
      <c r="RVZ85" s="452"/>
      <c r="RWA85" s="412"/>
      <c r="RWB85" s="415"/>
      <c r="RWC85" s="413"/>
      <c r="RWM85" s="396"/>
      <c r="RWN85" s="452"/>
      <c r="RWO85" s="412"/>
      <c r="RWP85" s="415"/>
      <c r="RWQ85" s="413"/>
      <c r="RXA85" s="396"/>
      <c r="RXB85" s="452"/>
      <c r="RXC85" s="412"/>
      <c r="RXD85" s="415"/>
      <c r="RXE85" s="413"/>
      <c r="RXO85" s="396"/>
      <c r="RXP85" s="452"/>
      <c r="RXQ85" s="412"/>
      <c r="RXR85" s="415"/>
      <c r="RXS85" s="413"/>
      <c r="RYC85" s="396"/>
      <c r="RYD85" s="452"/>
      <c r="RYE85" s="412"/>
      <c r="RYF85" s="415"/>
      <c r="RYG85" s="413"/>
      <c r="RYQ85" s="396"/>
      <c r="RYR85" s="452"/>
      <c r="RYS85" s="412"/>
      <c r="RYT85" s="415"/>
      <c r="RYU85" s="413"/>
      <c r="RZE85" s="396"/>
      <c r="RZF85" s="452"/>
      <c r="RZG85" s="412"/>
      <c r="RZH85" s="415"/>
      <c r="RZI85" s="413"/>
      <c r="RZS85" s="396"/>
      <c r="RZT85" s="452"/>
      <c r="RZU85" s="412"/>
      <c r="RZV85" s="415"/>
      <c r="RZW85" s="413"/>
      <c r="SAG85" s="396"/>
      <c r="SAH85" s="452"/>
      <c r="SAI85" s="412"/>
      <c r="SAJ85" s="415"/>
      <c r="SAK85" s="413"/>
      <c r="SAU85" s="396"/>
      <c r="SAV85" s="452"/>
      <c r="SAW85" s="412"/>
      <c r="SAX85" s="415"/>
      <c r="SAY85" s="413"/>
      <c r="SBI85" s="396"/>
      <c r="SBJ85" s="452"/>
      <c r="SBK85" s="412"/>
      <c r="SBL85" s="415"/>
      <c r="SBM85" s="413"/>
      <c r="SBW85" s="396"/>
      <c r="SBX85" s="452"/>
      <c r="SBY85" s="412"/>
      <c r="SBZ85" s="415"/>
      <c r="SCA85" s="413"/>
      <c r="SCK85" s="396"/>
      <c r="SCL85" s="452"/>
      <c r="SCM85" s="412"/>
      <c r="SCN85" s="415"/>
      <c r="SCO85" s="413"/>
      <c r="SCY85" s="396"/>
      <c r="SCZ85" s="452"/>
      <c r="SDA85" s="412"/>
      <c r="SDB85" s="415"/>
      <c r="SDC85" s="413"/>
      <c r="SDM85" s="396"/>
      <c r="SDN85" s="452"/>
      <c r="SDO85" s="412"/>
      <c r="SDP85" s="415"/>
      <c r="SDQ85" s="413"/>
      <c r="SEA85" s="396"/>
      <c r="SEB85" s="452"/>
      <c r="SEC85" s="412"/>
      <c r="SED85" s="415"/>
      <c r="SEE85" s="413"/>
      <c r="SEO85" s="396"/>
      <c r="SEP85" s="452"/>
      <c r="SEQ85" s="412"/>
      <c r="SER85" s="415"/>
      <c r="SES85" s="413"/>
      <c r="SFC85" s="396"/>
      <c r="SFD85" s="452"/>
      <c r="SFE85" s="412"/>
      <c r="SFF85" s="415"/>
      <c r="SFG85" s="413"/>
      <c r="SFQ85" s="396"/>
      <c r="SFR85" s="452"/>
      <c r="SFS85" s="412"/>
      <c r="SFT85" s="415"/>
      <c r="SFU85" s="413"/>
      <c r="SGE85" s="396"/>
      <c r="SGF85" s="452"/>
      <c r="SGG85" s="412"/>
      <c r="SGH85" s="415"/>
      <c r="SGI85" s="413"/>
      <c r="SGS85" s="396"/>
      <c r="SGT85" s="452"/>
      <c r="SGU85" s="412"/>
      <c r="SGV85" s="415"/>
      <c r="SGW85" s="413"/>
      <c r="SHG85" s="396"/>
      <c r="SHH85" s="452"/>
      <c r="SHI85" s="412"/>
      <c r="SHJ85" s="415"/>
      <c r="SHK85" s="413"/>
      <c r="SHU85" s="396"/>
      <c r="SHV85" s="452"/>
      <c r="SHW85" s="412"/>
      <c r="SHX85" s="415"/>
      <c r="SHY85" s="413"/>
      <c r="SII85" s="396"/>
      <c r="SIJ85" s="452"/>
      <c r="SIK85" s="412"/>
      <c r="SIL85" s="415"/>
      <c r="SIM85" s="413"/>
      <c r="SIW85" s="396"/>
      <c r="SIX85" s="452"/>
      <c r="SIY85" s="412"/>
      <c r="SIZ85" s="415"/>
      <c r="SJA85" s="413"/>
      <c r="SJK85" s="396"/>
      <c r="SJL85" s="452"/>
      <c r="SJM85" s="412"/>
      <c r="SJN85" s="415"/>
      <c r="SJO85" s="413"/>
      <c r="SJY85" s="396"/>
      <c r="SJZ85" s="452"/>
      <c r="SKA85" s="412"/>
      <c r="SKB85" s="415"/>
      <c r="SKC85" s="413"/>
      <c r="SKM85" s="396"/>
      <c r="SKN85" s="452"/>
      <c r="SKO85" s="412"/>
      <c r="SKP85" s="415"/>
      <c r="SKQ85" s="413"/>
      <c r="SLA85" s="396"/>
      <c r="SLB85" s="452"/>
      <c r="SLC85" s="412"/>
      <c r="SLD85" s="415"/>
      <c r="SLE85" s="413"/>
      <c r="SLO85" s="396"/>
      <c r="SLP85" s="452"/>
      <c r="SLQ85" s="412"/>
      <c r="SLR85" s="415"/>
      <c r="SLS85" s="413"/>
      <c r="SMC85" s="396"/>
      <c r="SMD85" s="452"/>
      <c r="SME85" s="412"/>
      <c r="SMF85" s="415"/>
      <c r="SMG85" s="413"/>
      <c r="SMQ85" s="396"/>
      <c r="SMR85" s="452"/>
      <c r="SMS85" s="412"/>
      <c r="SMT85" s="415"/>
      <c r="SMU85" s="413"/>
      <c r="SNE85" s="396"/>
      <c r="SNF85" s="452"/>
      <c r="SNG85" s="412"/>
      <c r="SNH85" s="415"/>
      <c r="SNI85" s="413"/>
      <c r="SNS85" s="396"/>
      <c r="SNT85" s="452"/>
      <c r="SNU85" s="412"/>
      <c r="SNV85" s="415"/>
      <c r="SNW85" s="413"/>
      <c r="SOG85" s="396"/>
      <c r="SOH85" s="452"/>
      <c r="SOI85" s="412"/>
      <c r="SOJ85" s="415"/>
      <c r="SOK85" s="413"/>
      <c r="SOU85" s="396"/>
      <c r="SOV85" s="452"/>
      <c r="SOW85" s="412"/>
      <c r="SOX85" s="415"/>
      <c r="SOY85" s="413"/>
      <c r="SPI85" s="396"/>
      <c r="SPJ85" s="452"/>
      <c r="SPK85" s="412"/>
      <c r="SPL85" s="415"/>
      <c r="SPM85" s="413"/>
      <c r="SPW85" s="396"/>
      <c r="SPX85" s="452"/>
      <c r="SPY85" s="412"/>
      <c r="SPZ85" s="415"/>
      <c r="SQA85" s="413"/>
      <c r="SQK85" s="396"/>
      <c r="SQL85" s="452"/>
      <c r="SQM85" s="412"/>
      <c r="SQN85" s="415"/>
      <c r="SQO85" s="413"/>
      <c r="SQY85" s="396"/>
      <c r="SQZ85" s="452"/>
      <c r="SRA85" s="412"/>
      <c r="SRB85" s="415"/>
      <c r="SRC85" s="413"/>
      <c r="SRM85" s="396"/>
      <c r="SRN85" s="452"/>
      <c r="SRO85" s="412"/>
      <c r="SRP85" s="415"/>
      <c r="SRQ85" s="413"/>
      <c r="SSA85" s="396"/>
      <c r="SSB85" s="452"/>
      <c r="SSC85" s="412"/>
      <c r="SSD85" s="415"/>
      <c r="SSE85" s="413"/>
      <c r="SSO85" s="396"/>
      <c r="SSP85" s="452"/>
      <c r="SSQ85" s="412"/>
      <c r="SSR85" s="415"/>
      <c r="SSS85" s="413"/>
      <c r="STC85" s="396"/>
      <c r="STD85" s="452"/>
      <c r="STE85" s="412"/>
      <c r="STF85" s="415"/>
      <c r="STG85" s="413"/>
      <c r="STQ85" s="396"/>
      <c r="STR85" s="452"/>
      <c r="STS85" s="412"/>
      <c r="STT85" s="415"/>
      <c r="STU85" s="413"/>
      <c r="SUE85" s="396"/>
      <c r="SUF85" s="452"/>
      <c r="SUG85" s="412"/>
      <c r="SUH85" s="415"/>
      <c r="SUI85" s="413"/>
      <c r="SUS85" s="396"/>
      <c r="SUT85" s="452"/>
      <c r="SUU85" s="412"/>
      <c r="SUV85" s="415"/>
      <c r="SUW85" s="413"/>
      <c r="SVG85" s="396"/>
      <c r="SVH85" s="452"/>
      <c r="SVI85" s="412"/>
      <c r="SVJ85" s="415"/>
      <c r="SVK85" s="413"/>
      <c r="SVU85" s="396"/>
      <c r="SVV85" s="452"/>
      <c r="SVW85" s="412"/>
      <c r="SVX85" s="415"/>
      <c r="SVY85" s="413"/>
      <c r="SWI85" s="396"/>
      <c r="SWJ85" s="452"/>
      <c r="SWK85" s="412"/>
      <c r="SWL85" s="415"/>
      <c r="SWM85" s="413"/>
      <c r="SWW85" s="396"/>
      <c r="SWX85" s="452"/>
      <c r="SWY85" s="412"/>
      <c r="SWZ85" s="415"/>
      <c r="SXA85" s="413"/>
      <c r="SXK85" s="396"/>
      <c r="SXL85" s="452"/>
      <c r="SXM85" s="412"/>
      <c r="SXN85" s="415"/>
      <c r="SXO85" s="413"/>
      <c r="SXY85" s="396"/>
      <c r="SXZ85" s="452"/>
      <c r="SYA85" s="412"/>
      <c r="SYB85" s="415"/>
      <c r="SYC85" s="413"/>
      <c r="SYM85" s="396"/>
      <c r="SYN85" s="452"/>
      <c r="SYO85" s="412"/>
      <c r="SYP85" s="415"/>
      <c r="SYQ85" s="413"/>
      <c r="SZA85" s="396"/>
      <c r="SZB85" s="452"/>
      <c r="SZC85" s="412"/>
      <c r="SZD85" s="415"/>
      <c r="SZE85" s="413"/>
      <c r="SZO85" s="396"/>
      <c r="SZP85" s="452"/>
      <c r="SZQ85" s="412"/>
      <c r="SZR85" s="415"/>
      <c r="SZS85" s="413"/>
      <c r="TAC85" s="396"/>
      <c r="TAD85" s="452"/>
      <c r="TAE85" s="412"/>
      <c r="TAF85" s="415"/>
      <c r="TAG85" s="413"/>
      <c r="TAQ85" s="396"/>
      <c r="TAR85" s="452"/>
      <c r="TAS85" s="412"/>
      <c r="TAT85" s="415"/>
      <c r="TAU85" s="413"/>
      <c r="TBE85" s="396"/>
      <c r="TBF85" s="452"/>
      <c r="TBG85" s="412"/>
      <c r="TBH85" s="415"/>
      <c r="TBI85" s="413"/>
      <c r="TBS85" s="396"/>
      <c r="TBT85" s="452"/>
      <c r="TBU85" s="412"/>
      <c r="TBV85" s="415"/>
      <c r="TBW85" s="413"/>
      <c r="TCG85" s="396"/>
      <c r="TCH85" s="452"/>
      <c r="TCI85" s="412"/>
      <c r="TCJ85" s="415"/>
      <c r="TCK85" s="413"/>
      <c r="TCU85" s="396"/>
      <c r="TCV85" s="452"/>
      <c r="TCW85" s="412"/>
      <c r="TCX85" s="415"/>
      <c r="TCY85" s="413"/>
      <c r="TDI85" s="396"/>
      <c r="TDJ85" s="452"/>
      <c r="TDK85" s="412"/>
      <c r="TDL85" s="415"/>
      <c r="TDM85" s="413"/>
      <c r="TDW85" s="396"/>
      <c r="TDX85" s="452"/>
      <c r="TDY85" s="412"/>
      <c r="TDZ85" s="415"/>
      <c r="TEA85" s="413"/>
      <c r="TEK85" s="396"/>
      <c r="TEL85" s="452"/>
      <c r="TEM85" s="412"/>
      <c r="TEN85" s="415"/>
      <c r="TEO85" s="413"/>
      <c r="TEY85" s="396"/>
      <c r="TEZ85" s="452"/>
      <c r="TFA85" s="412"/>
      <c r="TFB85" s="415"/>
      <c r="TFC85" s="413"/>
      <c r="TFM85" s="396"/>
      <c r="TFN85" s="452"/>
      <c r="TFO85" s="412"/>
      <c r="TFP85" s="415"/>
      <c r="TFQ85" s="413"/>
      <c r="TGA85" s="396"/>
      <c r="TGB85" s="452"/>
      <c r="TGC85" s="412"/>
      <c r="TGD85" s="415"/>
      <c r="TGE85" s="413"/>
      <c r="TGO85" s="396"/>
      <c r="TGP85" s="452"/>
      <c r="TGQ85" s="412"/>
      <c r="TGR85" s="415"/>
      <c r="TGS85" s="413"/>
      <c r="THC85" s="396"/>
      <c r="THD85" s="452"/>
      <c r="THE85" s="412"/>
      <c r="THF85" s="415"/>
      <c r="THG85" s="413"/>
      <c r="THQ85" s="396"/>
      <c r="THR85" s="452"/>
      <c r="THS85" s="412"/>
      <c r="THT85" s="415"/>
      <c r="THU85" s="413"/>
      <c r="TIE85" s="396"/>
      <c r="TIF85" s="452"/>
      <c r="TIG85" s="412"/>
      <c r="TIH85" s="415"/>
      <c r="TII85" s="413"/>
      <c r="TIS85" s="396"/>
      <c r="TIT85" s="452"/>
      <c r="TIU85" s="412"/>
      <c r="TIV85" s="415"/>
      <c r="TIW85" s="413"/>
      <c r="TJG85" s="396"/>
      <c r="TJH85" s="452"/>
      <c r="TJI85" s="412"/>
      <c r="TJJ85" s="415"/>
      <c r="TJK85" s="413"/>
      <c r="TJU85" s="396"/>
      <c r="TJV85" s="452"/>
      <c r="TJW85" s="412"/>
      <c r="TJX85" s="415"/>
      <c r="TJY85" s="413"/>
      <c r="TKI85" s="396"/>
      <c r="TKJ85" s="452"/>
      <c r="TKK85" s="412"/>
      <c r="TKL85" s="415"/>
      <c r="TKM85" s="413"/>
      <c r="TKW85" s="396"/>
      <c r="TKX85" s="452"/>
      <c r="TKY85" s="412"/>
      <c r="TKZ85" s="415"/>
      <c r="TLA85" s="413"/>
      <c r="TLK85" s="396"/>
      <c r="TLL85" s="452"/>
      <c r="TLM85" s="412"/>
      <c r="TLN85" s="415"/>
      <c r="TLO85" s="413"/>
      <c r="TLY85" s="396"/>
      <c r="TLZ85" s="452"/>
      <c r="TMA85" s="412"/>
      <c r="TMB85" s="415"/>
      <c r="TMC85" s="413"/>
      <c r="TMM85" s="396"/>
      <c r="TMN85" s="452"/>
      <c r="TMO85" s="412"/>
      <c r="TMP85" s="415"/>
      <c r="TMQ85" s="413"/>
      <c r="TNA85" s="396"/>
      <c r="TNB85" s="452"/>
      <c r="TNC85" s="412"/>
      <c r="TND85" s="415"/>
      <c r="TNE85" s="413"/>
      <c r="TNO85" s="396"/>
      <c r="TNP85" s="452"/>
      <c r="TNQ85" s="412"/>
      <c r="TNR85" s="415"/>
      <c r="TNS85" s="413"/>
      <c r="TOC85" s="396"/>
      <c r="TOD85" s="452"/>
      <c r="TOE85" s="412"/>
      <c r="TOF85" s="415"/>
      <c r="TOG85" s="413"/>
      <c r="TOQ85" s="396"/>
      <c r="TOR85" s="452"/>
      <c r="TOS85" s="412"/>
      <c r="TOT85" s="415"/>
      <c r="TOU85" s="413"/>
      <c r="TPE85" s="396"/>
      <c r="TPF85" s="452"/>
      <c r="TPG85" s="412"/>
      <c r="TPH85" s="415"/>
      <c r="TPI85" s="413"/>
      <c r="TPS85" s="396"/>
      <c r="TPT85" s="452"/>
      <c r="TPU85" s="412"/>
      <c r="TPV85" s="415"/>
      <c r="TPW85" s="413"/>
      <c r="TQG85" s="396"/>
      <c r="TQH85" s="452"/>
      <c r="TQI85" s="412"/>
      <c r="TQJ85" s="415"/>
      <c r="TQK85" s="413"/>
      <c r="TQU85" s="396"/>
      <c r="TQV85" s="452"/>
      <c r="TQW85" s="412"/>
      <c r="TQX85" s="415"/>
      <c r="TQY85" s="413"/>
      <c r="TRI85" s="396"/>
      <c r="TRJ85" s="452"/>
      <c r="TRK85" s="412"/>
      <c r="TRL85" s="415"/>
      <c r="TRM85" s="413"/>
      <c r="TRW85" s="396"/>
      <c r="TRX85" s="452"/>
      <c r="TRY85" s="412"/>
      <c r="TRZ85" s="415"/>
      <c r="TSA85" s="413"/>
      <c r="TSK85" s="396"/>
      <c r="TSL85" s="452"/>
      <c r="TSM85" s="412"/>
      <c r="TSN85" s="415"/>
      <c r="TSO85" s="413"/>
      <c r="TSY85" s="396"/>
      <c r="TSZ85" s="452"/>
      <c r="TTA85" s="412"/>
      <c r="TTB85" s="415"/>
      <c r="TTC85" s="413"/>
      <c r="TTM85" s="396"/>
      <c r="TTN85" s="452"/>
      <c r="TTO85" s="412"/>
      <c r="TTP85" s="415"/>
      <c r="TTQ85" s="413"/>
      <c r="TUA85" s="396"/>
      <c r="TUB85" s="452"/>
      <c r="TUC85" s="412"/>
      <c r="TUD85" s="415"/>
      <c r="TUE85" s="413"/>
      <c r="TUO85" s="396"/>
      <c r="TUP85" s="452"/>
      <c r="TUQ85" s="412"/>
      <c r="TUR85" s="415"/>
      <c r="TUS85" s="413"/>
      <c r="TVC85" s="396"/>
      <c r="TVD85" s="452"/>
      <c r="TVE85" s="412"/>
      <c r="TVF85" s="415"/>
      <c r="TVG85" s="413"/>
      <c r="TVQ85" s="396"/>
      <c r="TVR85" s="452"/>
      <c r="TVS85" s="412"/>
      <c r="TVT85" s="415"/>
      <c r="TVU85" s="413"/>
      <c r="TWE85" s="396"/>
      <c r="TWF85" s="452"/>
      <c r="TWG85" s="412"/>
      <c r="TWH85" s="415"/>
      <c r="TWI85" s="413"/>
      <c r="TWS85" s="396"/>
      <c r="TWT85" s="452"/>
      <c r="TWU85" s="412"/>
      <c r="TWV85" s="415"/>
      <c r="TWW85" s="413"/>
      <c r="TXG85" s="396"/>
      <c r="TXH85" s="452"/>
      <c r="TXI85" s="412"/>
      <c r="TXJ85" s="415"/>
      <c r="TXK85" s="413"/>
      <c r="TXU85" s="396"/>
      <c r="TXV85" s="452"/>
      <c r="TXW85" s="412"/>
      <c r="TXX85" s="415"/>
      <c r="TXY85" s="413"/>
      <c r="TYI85" s="396"/>
      <c r="TYJ85" s="452"/>
      <c r="TYK85" s="412"/>
      <c r="TYL85" s="415"/>
      <c r="TYM85" s="413"/>
      <c r="TYW85" s="396"/>
      <c r="TYX85" s="452"/>
      <c r="TYY85" s="412"/>
      <c r="TYZ85" s="415"/>
      <c r="TZA85" s="413"/>
      <c r="TZK85" s="396"/>
      <c r="TZL85" s="452"/>
      <c r="TZM85" s="412"/>
      <c r="TZN85" s="415"/>
      <c r="TZO85" s="413"/>
      <c r="TZY85" s="396"/>
      <c r="TZZ85" s="452"/>
      <c r="UAA85" s="412"/>
      <c r="UAB85" s="415"/>
      <c r="UAC85" s="413"/>
      <c r="UAM85" s="396"/>
      <c r="UAN85" s="452"/>
      <c r="UAO85" s="412"/>
      <c r="UAP85" s="415"/>
      <c r="UAQ85" s="413"/>
      <c r="UBA85" s="396"/>
      <c r="UBB85" s="452"/>
      <c r="UBC85" s="412"/>
      <c r="UBD85" s="415"/>
      <c r="UBE85" s="413"/>
      <c r="UBO85" s="396"/>
      <c r="UBP85" s="452"/>
      <c r="UBQ85" s="412"/>
      <c r="UBR85" s="415"/>
      <c r="UBS85" s="413"/>
      <c r="UCC85" s="396"/>
      <c r="UCD85" s="452"/>
      <c r="UCE85" s="412"/>
      <c r="UCF85" s="415"/>
      <c r="UCG85" s="413"/>
      <c r="UCQ85" s="396"/>
      <c r="UCR85" s="452"/>
      <c r="UCS85" s="412"/>
      <c r="UCT85" s="415"/>
      <c r="UCU85" s="413"/>
      <c r="UDE85" s="396"/>
      <c r="UDF85" s="452"/>
      <c r="UDG85" s="412"/>
      <c r="UDH85" s="415"/>
      <c r="UDI85" s="413"/>
      <c r="UDS85" s="396"/>
      <c r="UDT85" s="452"/>
      <c r="UDU85" s="412"/>
      <c r="UDV85" s="415"/>
      <c r="UDW85" s="413"/>
      <c r="UEG85" s="396"/>
      <c r="UEH85" s="452"/>
      <c r="UEI85" s="412"/>
      <c r="UEJ85" s="415"/>
      <c r="UEK85" s="413"/>
      <c r="UEU85" s="396"/>
      <c r="UEV85" s="452"/>
      <c r="UEW85" s="412"/>
      <c r="UEX85" s="415"/>
      <c r="UEY85" s="413"/>
      <c r="UFI85" s="396"/>
      <c r="UFJ85" s="452"/>
      <c r="UFK85" s="412"/>
      <c r="UFL85" s="415"/>
      <c r="UFM85" s="413"/>
      <c r="UFW85" s="396"/>
      <c r="UFX85" s="452"/>
      <c r="UFY85" s="412"/>
      <c r="UFZ85" s="415"/>
      <c r="UGA85" s="413"/>
      <c r="UGK85" s="396"/>
      <c r="UGL85" s="452"/>
      <c r="UGM85" s="412"/>
      <c r="UGN85" s="415"/>
      <c r="UGO85" s="413"/>
      <c r="UGY85" s="396"/>
      <c r="UGZ85" s="452"/>
      <c r="UHA85" s="412"/>
      <c r="UHB85" s="415"/>
      <c r="UHC85" s="413"/>
      <c r="UHM85" s="396"/>
      <c r="UHN85" s="452"/>
      <c r="UHO85" s="412"/>
      <c r="UHP85" s="415"/>
      <c r="UHQ85" s="413"/>
      <c r="UIA85" s="396"/>
      <c r="UIB85" s="452"/>
      <c r="UIC85" s="412"/>
      <c r="UID85" s="415"/>
      <c r="UIE85" s="413"/>
      <c r="UIO85" s="396"/>
      <c r="UIP85" s="452"/>
      <c r="UIQ85" s="412"/>
      <c r="UIR85" s="415"/>
      <c r="UIS85" s="413"/>
      <c r="UJC85" s="396"/>
      <c r="UJD85" s="452"/>
      <c r="UJE85" s="412"/>
      <c r="UJF85" s="415"/>
      <c r="UJG85" s="413"/>
      <c r="UJQ85" s="396"/>
      <c r="UJR85" s="452"/>
      <c r="UJS85" s="412"/>
      <c r="UJT85" s="415"/>
      <c r="UJU85" s="413"/>
      <c r="UKE85" s="396"/>
      <c r="UKF85" s="452"/>
      <c r="UKG85" s="412"/>
      <c r="UKH85" s="415"/>
      <c r="UKI85" s="413"/>
      <c r="UKS85" s="396"/>
      <c r="UKT85" s="452"/>
      <c r="UKU85" s="412"/>
      <c r="UKV85" s="415"/>
      <c r="UKW85" s="413"/>
      <c r="ULG85" s="396"/>
      <c r="ULH85" s="452"/>
      <c r="ULI85" s="412"/>
      <c r="ULJ85" s="415"/>
      <c r="ULK85" s="413"/>
      <c r="ULU85" s="396"/>
      <c r="ULV85" s="452"/>
      <c r="ULW85" s="412"/>
      <c r="ULX85" s="415"/>
      <c r="ULY85" s="413"/>
      <c r="UMI85" s="396"/>
      <c r="UMJ85" s="452"/>
      <c r="UMK85" s="412"/>
      <c r="UML85" s="415"/>
      <c r="UMM85" s="413"/>
      <c r="UMW85" s="396"/>
      <c r="UMX85" s="452"/>
      <c r="UMY85" s="412"/>
      <c r="UMZ85" s="415"/>
      <c r="UNA85" s="413"/>
      <c r="UNK85" s="396"/>
      <c r="UNL85" s="452"/>
      <c r="UNM85" s="412"/>
      <c r="UNN85" s="415"/>
      <c r="UNO85" s="413"/>
      <c r="UNY85" s="396"/>
      <c r="UNZ85" s="452"/>
      <c r="UOA85" s="412"/>
      <c r="UOB85" s="415"/>
      <c r="UOC85" s="413"/>
      <c r="UOM85" s="396"/>
      <c r="UON85" s="452"/>
      <c r="UOO85" s="412"/>
      <c r="UOP85" s="415"/>
      <c r="UOQ85" s="413"/>
      <c r="UPA85" s="396"/>
      <c r="UPB85" s="452"/>
      <c r="UPC85" s="412"/>
      <c r="UPD85" s="415"/>
      <c r="UPE85" s="413"/>
      <c r="UPO85" s="396"/>
      <c r="UPP85" s="452"/>
      <c r="UPQ85" s="412"/>
      <c r="UPR85" s="415"/>
      <c r="UPS85" s="413"/>
      <c r="UQC85" s="396"/>
      <c r="UQD85" s="452"/>
      <c r="UQE85" s="412"/>
      <c r="UQF85" s="415"/>
      <c r="UQG85" s="413"/>
      <c r="UQQ85" s="396"/>
      <c r="UQR85" s="452"/>
      <c r="UQS85" s="412"/>
      <c r="UQT85" s="415"/>
      <c r="UQU85" s="413"/>
      <c r="URE85" s="396"/>
      <c r="URF85" s="452"/>
      <c r="URG85" s="412"/>
      <c r="URH85" s="415"/>
      <c r="URI85" s="413"/>
      <c r="URS85" s="396"/>
      <c r="URT85" s="452"/>
      <c r="URU85" s="412"/>
      <c r="URV85" s="415"/>
      <c r="URW85" s="413"/>
      <c r="USG85" s="396"/>
      <c r="USH85" s="452"/>
      <c r="USI85" s="412"/>
      <c r="USJ85" s="415"/>
      <c r="USK85" s="413"/>
      <c r="USU85" s="396"/>
      <c r="USV85" s="452"/>
      <c r="USW85" s="412"/>
      <c r="USX85" s="415"/>
      <c r="USY85" s="413"/>
      <c r="UTI85" s="396"/>
      <c r="UTJ85" s="452"/>
      <c r="UTK85" s="412"/>
      <c r="UTL85" s="415"/>
      <c r="UTM85" s="413"/>
      <c r="UTW85" s="396"/>
      <c r="UTX85" s="452"/>
      <c r="UTY85" s="412"/>
      <c r="UTZ85" s="415"/>
      <c r="UUA85" s="413"/>
      <c r="UUK85" s="396"/>
      <c r="UUL85" s="452"/>
      <c r="UUM85" s="412"/>
      <c r="UUN85" s="415"/>
      <c r="UUO85" s="413"/>
      <c r="UUY85" s="396"/>
      <c r="UUZ85" s="452"/>
      <c r="UVA85" s="412"/>
      <c r="UVB85" s="415"/>
      <c r="UVC85" s="413"/>
      <c r="UVM85" s="396"/>
      <c r="UVN85" s="452"/>
      <c r="UVO85" s="412"/>
      <c r="UVP85" s="415"/>
      <c r="UVQ85" s="413"/>
      <c r="UWA85" s="396"/>
      <c r="UWB85" s="452"/>
      <c r="UWC85" s="412"/>
      <c r="UWD85" s="415"/>
      <c r="UWE85" s="413"/>
      <c r="UWO85" s="396"/>
      <c r="UWP85" s="452"/>
      <c r="UWQ85" s="412"/>
      <c r="UWR85" s="415"/>
      <c r="UWS85" s="413"/>
      <c r="UXC85" s="396"/>
      <c r="UXD85" s="452"/>
      <c r="UXE85" s="412"/>
      <c r="UXF85" s="415"/>
      <c r="UXG85" s="413"/>
      <c r="UXQ85" s="396"/>
      <c r="UXR85" s="452"/>
      <c r="UXS85" s="412"/>
      <c r="UXT85" s="415"/>
      <c r="UXU85" s="413"/>
      <c r="UYE85" s="396"/>
      <c r="UYF85" s="452"/>
      <c r="UYG85" s="412"/>
      <c r="UYH85" s="415"/>
      <c r="UYI85" s="413"/>
      <c r="UYS85" s="396"/>
      <c r="UYT85" s="452"/>
      <c r="UYU85" s="412"/>
      <c r="UYV85" s="415"/>
      <c r="UYW85" s="413"/>
      <c r="UZG85" s="396"/>
      <c r="UZH85" s="452"/>
      <c r="UZI85" s="412"/>
      <c r="UZJ85" s="415"/>
      <c r="UZK85" s="413"/>
      <c r="UZU85" s="396"/>
      <c r="UZV85" s="452"/>
      <c r="UZW85" s="412"/>
      <c r="UZX85" s="415"/>
      <c r="UZY85" s="413"/>
      <c r="VAI85" s="396"/>
      <c r="VAJ85" s="452"/>
      <c r="VAK85" s="412"/>
      <c r="VAL85" s="415"/>
      <c r="VAM85" s="413"/>
      <c r="VAW85" s="396"/>
      <c r="VAX85" s="452"/>
      <c r="VAY85" s="412"/>
      <c r="VAZ85" s="415"/>
      <c r="VBA85" s="413"/>
      <c r="VBK85" s="396"/>
      <c r="VBL85" s="452"/>
      <c r="VBM85" s="412"/>
      <c r="VBN85" s="415"/>
      <c r="VBO85" s="413"/>
      <c r="VBY85" s="396"/>
      <c r="VBZ85" s="452"/>
      <c r="VCA85" s="412"/>
      <c r="VCB85" s="415"/>
      <c r="VCC85" s="413"/>
      <c r="VCM85" s="396"/>
      <c r="VCN85" s="452"/>
      <c r="VCO85" s="412"/>
      <c r="VCP85" s="415"/>
      <c r="VCQ85" s="413"/>
      <c r="VDA85" s="396"/>
      <c r="VDB85" s="452"/>
      <c r="VDC85" s="412"/>
      <c r="VDD85" s="415"/>
      <c r="VDE85" s="413"/>
      <c r="VDO85" s="396"/>
      <c r="VDP85" s="452"/>
      <c r="VDQ85" s="412"/>
      <c r="VDR85" s="415"/>
      <c r="VDS85" s="413"/>
      <c r="VEC85" s="396"/>
      <c r="VED85" s="452"/>
      <c r="VEE85" s="412"/>
      <c r="VEF85" s="415"/>
      <c r="VEG85" s="413"/>
      <c r="VEQ85" s="396"/>
      <c r="VER85" s="452"/>
      <c r="VES85" s="412"/>
      <c r="VET85" s="415"/>
      <c r="VEU85" s="413"/>
      <c r="VFE85" s="396"/>
      <c r="VFF85" s="452"/>
      <c r="VFG85" s="412"/>
      <c r="VFH85" s="415"/>
      <c r="VFI85" s="413"/>
      <c r="VFS85" s="396"/>
      <c r="VFT85" s="452"/>
      <c r="VFU85" s="412"/>
      <c r="VFV85" s="415"/>
      <c r="VFW85" s="413"/>
      <c r="VGG85" s="396"/>
      <c r="VGH85" s="452"/>
      <c r="VGI85" s="412"/>
      <c r="VGJ85" s="415"/>
      <c r="VGK85" s="413"/>
      <c r="VGU85" s="396"/>
      <c r="VGV85" s="452"/>
      <c r="VGW85" s="412"/>
      <c r="VGX85" s="415"/>
      <c r="VGY85" s="413"/>
      <c r="VHI85" s="396"/>
      <c r="VHJ85" s="452"/>
      <c r="VHK85" s="412"/>
      <c r="VHL85" s="415"/>
      <c r="VHM85" s="413"/>
      <c r="VHW85" s="396"/>
      <c r="VHX85" s="452"/>
      <c r="VHY85" s="412"/>
      <c r="VHZ85" s="415"/>
      <c r="VIA85" s="413"/>
      <c r="VIK85" s="396"/>
      <c r="VIL85" s="452"/>
      <c r="VIM85" s="412"/>
      <c r="VIN85" s="415"/>
      <c r="VIO85" s="413"/>
      <c r="VIY85" s="396"/>
      <c r="VIZ85" s="452"/>
      <c r="VJA85" s="412"/>
      <c r="VJB85" s="415"/>
      <c r="VJC85" s="413"/>
      <c r="VJM85" s="396"/>
      <c r="VJN85" s="452"/>
      <c r="VJO85" s="412"/>
      <c r="VJP85" s="415"/>
      <c r="VJQ85" s="413"/>
      <c r="VKA85" s="396"/>
      <c r="VKB85" s="452"/>
      <c r="VKC85" s="412"/>
      <c r="VKD85" s="415"/>
      <c r="VKE85" s="413"/>
      <c r="VKO85" s="396"/>
      <c r="VKP85" s="452"/>
      <c r="VKQ85" s="412"/>
      <c r="VKR85" s="415"/>
      <c r="VKS85" s="413"/>
      <c r="VLC85" s="396"/>
      <c r="VLD85" s="452"/>
      <c r="VLE85" s="412"/>
      <c r="VLF85" s="415"/>
      <c r="VLG85" s="413"/>
      <c r="VLQ85" s="396"/>
      <c r="VLR85" s="452"/>
      <c r="VLS85" s="412"/>
      <c r="VLT85" s="415"/>
      <c r="VLU85" s="413"/>
      <c r="VME85" s="396"/>
      <c r="VMF85" s="452"/>
      <c r="VMG85" s="412"/>
      <c r="VMH85" s="415"/>
      <c r="VMI85" s="413"/>
      <c r="VMS85" s="396"/>
      <c r="VMT85" s="452"/>
      <c r="VMU85" s="412"/>
      <c r="VMV85" s="415"/>
      <c r="VMW85" s="413"/>
      <c r="VNG85" s="396"/>
      <c r="VNH85" s="452"/>
      <c r="VNI85" s="412"/>
      <c r="VNJ85" s="415"/>
      <c r="VNK85" s="413"/>
      <c r="VNU85" s="396"/>
      <c r="VNV85" s="452"/>
      <c r="VNW85" s="412"/>
      <c r="VNX85" s="415"/>
      <c r="VNY85" s="413"/>
      <c r="VOI85" s="396"/>
      <c r="VOJ85" s="452"/>
      <c r="VOK85" s="412"/>
      <c r="VOL85" s="415"/>
      <c r="VOM85" s="413"/>
      <c r="VOW85" s="396"/>
      <c r="VOX85" s="452"/>
      <c r="VOY85" s="412"/>
      <c r="VOZ85" s="415"/>
      <c r="VPA85" s="413"/>
      <c r="VPK85" s="396"/>
      <c r="VPL85" s="452"/>
      <c r="VPM85" s="412"/>
      <c r="VPN85" s="415"/>
      <c r="VPO85" s="413"/>
      <c r="VPY85" s="396"/>
      <c r="VPZ85" s="452"/>
      <c r="VQA85" s="412"/>
      <c r="VQB85" s="415"/>
      <c r="VQC85" s="413"/>
      <c r="VQM85" s="396"/>
      <c r="VQN85" s="452"/>
      <c r="VQO85" s="412"/>
      <c r="VQP85" s="415"/>
      <c r="VQQ85" s="413"/>
      <c r="VRA85" s="396"/>
      <c r="VRB85" s="452"/>
      <c r="VRC85" s="412"/>
      <c r="VRD85" s="415"/>
      <c r="VRE85" s="413"/>
      <c r="VRO85" s="396"/>
      <c r="VRP85" s="452"/>
      <c r="VRQ85" s="412"/>
      <c r="VRR85" s="415"/>
      <c r="VRS85" s="413"/>
      <c r="VSC85" s="396"/>
      <c r="VSD85" s="452"/>
      <c r="VSE85" s="412"/>
      <c r="VSF85" s="415"/>
      <c r="VSG85" s="413"/>
      <c r="VSQ85" s="396"/>
      <c r="VSR85" s="452"/>
      <c r="VSS85" s="412"/>
      <c r="VST85" s="415"/>
      <c r="VSU85" s="413"/>
      <c r="VTE85" s="396"/>
      <c r="VTF85" s="452"/>
      <c r="VTG85" s="412"/>
      <c r="VTH85" s="415"/>
      <c r="VTI85" s="413"/>
      <c r="VTS85" s="396"/>
      <c r="VTT85" s="452"/>
      <c r="VTU85" s="412"/>
      <c r="VTV85" s="415"/>
      <c r="VTW85" s="413"/>
      <c r="VUG85" s="396"/>
      <c r="VUH85" s="452"/>
      <c r="VUI85" s="412"/>
      <c r="VUJ85" s="415"/>
      <c r="VUK85" s="413"/>
      <c r="VUU85" s="396"/>
      <c r="VUV85" s="452"/>
      <c r="VUW85" s="412"/>
      <c r="VUX85" s="415"/>
      <c r="VUY85" s="413"/>
      <c r="VVI85" s="396"/>
      <c r="VVJ85" s="452"/>
      <c r="VVK85" s="412"/>
      <c r="VVL85" s="415"/>
      <c r="VVM85" s="413"/>
      <c r="VVW85" s="396"/>
      <c r="VVX85" s="452"/>
      <c r="VVY85" s="412"/>
      <c r="VVZ85" s="415"/>
      <c r="VWA85" s="413"/>
      <c r="VWK85" s="396"/>
      <c r="VWL85" s="452"/>
      <c r="VWM85" s="412"/>
      <c r="VWN85" s="415"/>
      <c r="VWO85" s="413"/>
      <c r="VWY85" s="396"/>
      <c r="VWZ85" s="452"/>
      <c r="VXA85" s="412"/>
      <c r="VXB85" s="415"/>
      <c r="VXC85" s="413"/>
      <c r="VXM85" s="396"/>
      <c r="VXN85" s="452"/>
      <c r="VXO85" s="412"/>
      <c r="VXP85" s="415"/>
      <c r="VXQ85" s="413"/>
      <c r="VYA85" s="396"/>
      <c r="VYB85" s="452"/>
      <c r="VYC85" s="412"/>
      <c r="VYD85" s="415"/>
      <c r="VYE85" s="413"/>
      <c r="VYO85" s="396"/>
      <c r="VYP85" s="452"/>
      <c r="VYQ85" s="412"/>
      <c r="VYR85" s="415"/>
      <c r="VYS85" s="413"/>
      <c r="VZC85" s="396"/>
      <c r="VZD85" s="452"/>
      <c r="VZE85" s="412"/>
      <c r="VZF85" s="415"/>
      <c r="VZG85" s="413"/>
      <c r="VZQ85" s="396"/>
      <c r="VZR85" s="452"/>
      <c r="VZS85" s="412"/>
      <c r="VZT85" s="415"/>
      <c r="VZU85" s="413"/>
      <c r="WAE85" s="396"/>
      <c r="WAF85" s="452"/>
      <c r="WAG85" s="412"/>
      <c r="WAH85" s="415"/>
      <c r="WAI85" s="413"/>
      <c r="WAS85" s="396"/>
      <c r="WAT85" s="452"/>
      <c r="WAU85" s="412"/>
      <c r="WAV85" s="415"/>
      <c r="WAW85" s="413"/>
      <c r="WBG85" s="396"/>
      <c r="WBH85" s="452"/>
      <c r="WBI85" s="412"/>
      <c r="WBJ85" s="415"/>
      <c r="WBK85" s="413"/>
      <c r="WBU85" s="396"/>
      <c r="WBV85" s="452"/>
      <c r="WBW85" s="412"/>
      <c r="WBX85" s="415"/>
      <c r="WBY85" s="413"/>
      <c r="WCI85" s="396"/>
      <c r="WCJ85" s="452"/>
      <c r="WCK85" s="412"/>
      <c r="WCL85" s="415"/>
      <c r="WCM85" s="413"/>
      <c r="WCW85" s="396"/>
      <c r="WCX85" s="452"/>
      <c r="WCY85" s="412"/>
      <c r="WCZ85" s="415"/>
      <c r="WDA85" s="413"/>
      <c r="WDK85" s="396"/>
      <c r="WDL85" s="452"/>
      <c r="WDM85" s="412"/>
      <c r="WDN85" s="415"/>
      <c r="WDO85" s="413"/>
      <c r="WDY85" s="396"/>
      <c r="WDZ85" s="452"/>
      <c r="WEA85" s="412"/>
      <c r="WEB85" s="415"/>
      <c r="WEC85" s="413"/>
      <c r="WEM85" s="396"/>
      <c r="WEN85" s="452"/>
      <c r="WEO85" s="412"/>
      <c r="WEP85" s="415"/>
      <c r="WEQ85" s="413"/>
      <c r="WFA85" s="396"/>
      <c r="WFB85" s="452"/>
      <c r="WFC85" s="412"/>
      <c r="WFD85" s="415"/>
      <c r="WFE85" s="413"/>
      <c r="WFO85" s="396"/>
      <c r="WFP85" s="452"/>
      <c r="WFQ85" s="412"/>
      <c r="WFR85" s="415"/>
      <c r="WFS85" s="413"/>
      <c r="WGC85" s="396"/>
      <c r="WGD85" s="452"/>
      <c r="WGE85" s="412"/>
      <c r="WGF85" s="415"/>
      <c r="WGG85" s="413"/>
      <c r="WGQ85" s="396"/>
      <c r="WGR85" s="452"/>
      <c r="WGS85" s="412"/>
      <c r="WGT85" s="415"/>
      <c r="WGU85" s="413"/>
      <c r="WHE85" s="396"/>
      <c r="WHF85" s="452"/>
      <c r="WHG85" s="412"/>
      <c r="WHH85" s="415"/>
      <c r="WHI85" s="413"/>
      <c r="WHS85" s="396"/>
      <c r="WHT85" s="452"/>
      <c r="WHU85" s="412"/>
      <c r="WHV85" s="415"/>
      <c r="WHW85" s="413"/>
      <c r="WIG85" s="396"/>
      <c r="WIH85" s="452"/>
      <c r="WII85" s="412"/>
      <c r="WIJ85" s="415"/>
      <c r="WIK85" s="413"/>
      <c r="WIU85" s="396"/>
      <c r="WIV85" s="452"/>
      <c r="WIW85" s="412"/>
      <c r="WIX85" s="415"/>
      <c r="WIY85" s="413"/>
      <c r="WJI85" s="396"/>
      <c r="WJJ85" s="452"/>
      <c r="WJK85" s="412"/>
      <c r="WJL85" s="415"/>
      <c r="WJM85" s="413"/>
      <c r="WJW85" s="396"/>
      <c r="WJX85" s="452"/>
      <c r="WJY85" s="412"/>
      <c r="WJZ85" s="415"/>
      <c r="WKA85" s="413"/>
      <c r="WKK85" s="396"/>
      <c r="WKL85" s="452"/>
      <c r="WKM85" s="412"/>
      <c r="WKN85" s="415"/>
      <c r="WKO85" s="413"/>
      <c r="WKY85" s="396"/>
      <c r="WKZ85" s="452"/>
      <c r="WLA85" s="412"/>
      <c r="WLB85" s="415"/>
      <c r="WLC85" s="413"/>
      <c r="WLM85" s="396"/>
      <c r="WLN85" s="452"/>
      <c r="WLO85" s="412"/>
      <c r="WLP85" s="415"/>
      <c r="WLQ85" s="413"/>
      <c r="WMA85" s="396"/>
      <c r="WMB85" s="452"/>
      <c r="WMC85" s="412"/>
      <c r="WMD85" s="415"/>
      <c r="WME85" s="413"/>
      <c r="WMO85" s="396"/>
      <c r="WMP85" s="452"/>
      <c r="WMQ85" s="412"/>
      <c r="WMR85" s="415"/>
      <c r="WMS85" s="413"/>
      <c r="WNC85" s="396"/>
      <c r="WND85" s="452"/>
      <c r="WNE85" s="412"/>
      <c r="WNF85" s="415"/>
      <c r="WNG85" s="413"/>
      <c r="WNQ85" s="396"/>
      <c r="WNR85" s="452"/>
      <c r="WNS85" s="412"/>
      <c r="WNT85" s="415"/>
      <c r="WNU85" s="413"/>
      <c r="WOE85" s="396"/>
      <c r="WOF85" s="452"/>
      <c r="WOG85" s="412"/>
      <c r="WOH85" s="415"/>
      <c r="WOI85" s="413"/>
      <c r="WOS85" s="396"/>
      <c r="WOT85" s="452"/>
      <c r="WOU85" s="412"/>
      <c r="WOV85" s="415"/>
      <c r="WOW85" s="413"/>
      <c r="WPG85" s="396"/>
      <c r="WPH85" s="452"/>
      <c r="WPI85" s="412"/>
      <c r="WPJ85" s="415"/>
      <c r="WPK85" s="413"/>
      <c r="WPU85" s="396"/>
      <c r="WPV85" s="452"/>
      <c r="WPW85" s="412"/>
      <c r="WPX85" s="415"/>
      <c r="WPY85" s="413"/>
      <c r="WQI85" s="396"/>
      <c r="WQJ85" s="452"/>
      <c r="WQK85" s="412"/>
      <c r="WQL85" s="415"/>
      <c r="WQM85" s="413"/>
      <c r="WQW85" s="396"/>
      <c r="WQX85" s="452"/>
      <c r="WQY85" s="412"/>
      <c r="WQZ85" s="415"/>
      <c r="WRA85" s="413"/>
      <c r="WRK85" s="396"/>
      <c r="WRL85" s="452"/>
      <c r="WRM85" s="412"/>
      <c r="WRN85" s="415"/>
      <c r="WRO85" s="413"/>
      <c r="WRY85" s="396"/>
      <c r="WRZ85" s="452"/>
      <c r="WSA85" s="412"/>
      <c r="WSB85" s="415"/>
      <c r="WSC85" s="413"/>
      <c r="WSM85" s="396"/>
      <c r="WSN85" s="452"/>
      <c r="WSO85" s="412"/>
      <c r="WSP85" s="415"/>
      <c r="WSQ85" s="413"/>
      <c r="WTA85" s="396"/>
      <c r="WTB85" s="452"/>
      <c r="WTC85" s="412"/>
      <c r="WTD85" s="415"/>
      <c r="WTE85" s="413"/>
      <c r="WTO85" s="396"/>
      <c r="WTP85" s="452"/>
      <c r="WTQ85" s="412"/>
      <c r="WTR85" s="415"/>
      <c r="WTS85" s="413"/>
      <c r="WUC85" s="396"/>
      <c r="WUD85" s="452"/>
      <c r="WUE85" s="412"/>
      <c r="WUF85" s="415"/>
      <c r="WUG85" s="413"/>
      <c r="WUQ85" s="396"/>
      <c r="WUR85" s="452"/>
      <c r="WUS85" s="412"/>
      <c r="WUT85" s="415"/>
      <c r="WUU85" s="413"/>
      <c r="WVE85" s="396"/>
      <c r="WVF85" s="452"/>
      <c r="WVG85" s="412"/>
      <c r="WVH85" s="415"/>
      <c r="WVI85" s="413"/>
      <c r="WVS85" s="396"/>
      <c r="WVT85" s="452"/>
      <c r="WVU85" s="412"/>
      <c r="WVV85" s="415"/>
      <c r="WVW85" s="413"/>
      <c r="WWG85" s="396"/>
      <c r="WWH85" s="452"/>
      <c r="WWI85" s="412"/>
      <c r="WWJ85" s="415"/>
      <c r="WWK85" s="413"/>
      <c r="WWU85" s="396"/>
      <c r="WWV85" s="452"/>
      <c r="WWW85" s="412"/>
      <c r="WWX85" s="415"/>
      <c r="WWY85" s="413"/>
      <c r="WXI85" s="396"/>
      <c r="WXJ85" s="452"/>
      <c r="WXK85" s="412"/>
      <c r="WXL85" s="415"/>
      <c r="WXM85" s="413"/>
      <c r="WXW85" s="396"/>
      <c r="WXX85" s="452"/>
      <c r="WXY85" s="412"/>
      <c r="WXZ85" s="415"/>
      <c r="WYA85" s="413"/>
      <c r="WYK85" s="396"/>
      <c r="WYL85" s="452"/>
      <c r="WYM85" s="412"/>
      <c r="WYN85" s="415"/>
      <c r="WYO85" s="413"/>
      <c r="WYY85" s="396"/>
      <c r="WYZ85" s="452"/>
      <c r="WZA85" s="412"/>
      <c r="WZB85" s="415"/>
      <c r="WZC85" s="413"/>
      <c r="WZM85" s="396"/>
      <c r="WZN85" s="452"/>
      <c r="WZO85" s="412"/>
      <c r="WZP85" s="415"/>
      <c r="WZQ85" s="413"/>
      <c r="XAA85" s="396"/>
      <c r="XAB85" s="452"/>
      <c r="XAC85" s="412"/>
      <c r="XAD85" s="415"/>
      <c r="XAE85" s="413"/>
      <c r="XAO85" s="396"/>
      <c r="XAP85" s="452"/>
      <c r="XAQ85" s="412"/>
      <c r="XAR85" s="415"/>
      <c r="XAS85" s="413"/>
      <c r="XBC85" s="396"/>
      <c r="XBD85" s="452"/>
      <c r="XBE85" s="412"/>
      <c r="XBF85" s="415"/>
      <c r="XBG85" s="413"/>
      <c r="XBQ85" s="396"/>
      <c r="XBR85" s="452"/>
      <c r="XBS85" s="412"/>
      <c r="XBT85" s="415"/>
      <c r="XBU85" s="413"/>
      <c r="XCE85" s="396"/>
      <c r="XCF85" s="452"/>
      <c r="XCG85" s="412"/>
      <c r="XCH85" s="415"/>
      <c r="XCI85" s="413"/>
      <c r="XCS85" s="396"/>
      <c r="XCT85" s="452"/>
      <c r="XCU85" s="412"/>
      <c r="XCV85" s="415"/>
      <c r="XCW85" s="413"/>
      <c r="XDG85" s="396"/>
      <c r="XDH85" s="452"/>
      <c r="XDI85" s="412"/>
      <c r="XDJ85" s="415"/>
      <c r="XDK85" s="413"/>
      <c r="XDU85" s="396"/>
      <c r="XDV85" s="452"/>
      <c r="XDW85" s="412"/>
      <c r="XDX85" s="415"/>
      <c r="XDY85" s="413"/>
      <c r="XEI85" s="396"/>
      <c r="XEJ85" s="452"/>
      <c r="XEK85" s="412"/>
      <c r="XEL85" s="415"/>
      <c r="XEM85" s="413"/>
      <c r="XEW85" s="396"/>
      <c r="XEX85" s="452"/>
      <c r="XEY85" s="412"/>
      <c r="XEZ85" s="415"/>
      <c r="XFA85" s="413"/>
    </row>
    <row r="86" spans="1:1023 1033:2045 2055:3067 3077:4089 4099:5111 5121:8191 8201:9213 9223:10235 10245:11257 11267:12279 12289:15359 15369:16381" s="411" customFormat="1" x14ac:dyDescent="0.25">
      <c r="A86" s="432">
        <v>43221</v>
      </c>
      <c r="B86" s="411">
        <v>16781140</v>
      </c>
      <c r="C86" s="411">
        <v>416666.66666666669</v>
      </c>
      <c r="D86" s="411">
        <v>4230897</v>
      </c>
      <c r="E86" s="411">
        <v>5196259.1278628837</v>
      </c>
      <c r="F86" s="411">
        <v>242100</v>
      </c>
      <c r="H86" s="411">
        <v>0</v>
      </c>
      <c r="I86" s="411">
        <v>3087600</v>
      </c>
      <c r="J86" s="396">
        <v>0</v>
      </c>
      <c r="K86" s="396"/>
      <c r="L86" s="453">
        <v>29954662.79452955</v>
      </c>
      <c r="M86" s="452">
        <v>14362238.545565952</v>
      </c>
      <c r="N86" s="412">
        <v>15592424.248963598</v>
      </c>
      <c r="O86" s="415">
        <v>3173547223</v>
      </c>
      <c r="P86" s="413">
        <v>4.9100000000000003E-3</v>
      </c>
      <c r="Q86" s="454"/>
      <c r="Y86" s="396"/>
      <c r="Z86" s="452"/>
      <c r="AA86" s="412"/>
      <c r="AB86" s="415"/>
      <c r="AC86" s="413"/>
      <c r="AM86" s="396"/>
      <c r="AN86" s="452"/>
      <c r="AO86" s="412"/>
      <c r="AP86" s="415"/>
      <c r="AQ86" s="413"/>
      <c r="BA86" s="396"/>
      <c r="BB86" s="452"/>
      <c r="BC86" s="412"/>
      <c r="BD86" s="415"/>
      <c r="BE86" s="413"/>
      <c r="BO86" s="396"/>
      <c r="BP86" s="452"/>
      <c r="BQ86" s="412"/>
      <c r="BR86" s="415"/>
      <c r="BS86" s="413"/>
      <c r="CC86" s="396"/>
      <c r="CD86" s="452"/>
      <c r="CE86" s="412"/>
      <c r="CF86" s="415"/>
      <c r="CG86" s="413"/>
      <c r="CQ86" s="396"/>
      <c r="CR86" s="452"/>
      <c r="CS86" s="412"/>
      <c r="CT86" s="415"/>
      <c r="CU86" s="413"/>
      <c r="DE86" s="396"/>
      <c r="DF86" s="452"/>
      <c r="DG86" s="412"/>
      <c r="DH86" s="415"/>
      <c r="DI86" s="413"/>
      <c r="DS86" s="396"/>
      <c r="DT86" s="452"/>
      <c r="DU86" s="412"/>
      <c r="DV86" s="415"/>
      <c r="DW86" s="413"/>
      <c r="EG86" s="396"/>
      <c r="EH86" s="452"/>
      <c r="EI86" s="412"/>
      <c r="EJ86" s="415"/>
      <c r="EK86" s="413"/>
      <c r="EU86" s="396"/>
      <c r="EV86" s="452"/>
      <c r="EW86" s="412"/>
      <c r="EX86" s="415"/>
      <c r="EY86" s="413"/>
      <c r="FI86" s="396"/>
      <c r="FJ86" s="452"/>
      <c r="FK86" s="412"/>
      <c r="FL86" s="415"/>
      <c r="FM86" s="413"/>
      <c r="FW86" s="396"/>
      <c r="FX86" s="452"/>
      <c r="FY86" s="412"/>
      <c r="FZ86" s="415"/>
      <c r="GA86" s="413"/>
      <c r="GK86" s="396"/>
      <c r="GL86" s="452"/>
      <c r="GM86" s="412"/>
      <c r="GN86" s="415"/>
      <c r="GO86" s="413"/>
      <c r="GY86" s="396"/>
      <c r="GZ86" s="452"/>
      <c r="HA86" s="412"/>
      <c r="HB86" s="415"/>
      <c r="HC86" s="413"/>
      <c r="HM86" s="396"/>
      <c r="HN86" s="452"/>
      <c r="HO86" s="412"/>
      <c r="HP86" s="415"/>
      <c r="HQ86" s="413"/>
      <c r="IA86" s="396"/>
      <c r="IB86" s="452"/>
      <c r="IC86" s="412"/>
      <c r="ID86" s="415"/>
      <c r="IE86" s="413"/>
      <c r="IO86" s="396"/>
      <c r="IP86" s="452"/>
      <c r="IQ86" s="412"/>
      <c r="IR86" s="415"/>
      <c r="IS86" s="413"/>
      <c r="JC86" s="396"/>
      <c r="JD86" s="452"/>
      <c r="JE86" s="412"/>
      <c r="JF86" s="415"/>
      <c r="JG86" s="413"/>
      <c r="JQ86" s="396"/>
      <c r="JR86" s="452"/>
      <c r="JS86" s="412"/>
      <c r="JT86" s="415"/>
      <c r="JU86" s="413"/>
      <c r="KE86" s="396"/>
      <c r="KF86" s="452"/>
      <c r="KG86" s="412"/>
      <c r="KH86" s="415"/>
      <c r="KI86" s="413"/>
      <c r="KS86" s="396"/>
      <c r="KT86" s="452"/>
      <c r="KU86" s="412"/>
      <c r="KV86" s="415"/>
      <c r="KW86" s="413"/>
      <c r="LG86" s="396"/>
      <c r="LH86" s="452"/>
      <c r="LI86" s="412"/>
      <c r="LJ86" s="415"/>
      <c r="LK86" s="413"/>
      <c r="LU86" s="396"/>
      <c r="LV86" s="452"/>
      <c r="LW86" s="412"/>
      <c r="LX86" s="415"/>
      <c r="LY86" s="413"/>
      <c r="MI86" s="396"/>
      <c r="MJ86" s="452"/>
      <c r="MK86" s="412"/>
      <c r="ML86" s="415"/>
      <c r="MM86" s="413"/>
      <c r="MW86" s="396"/>
      <c r="MX86" s="452"/>
      <c r="MY86" s="412"/>
      <c r="MZ86" s="415"/>
      <c r="NA86" s="413"/>
      <c r="NK86" s="396"/>
      <c r="NL86" s="452"/>
      <c r="NM86" s="412"/>
      <c r="NN86" s="415"/>
      <c r="NO86" s="413"/>
      <c r="NY86" s="396"/>
      <c r="NZ86" s="452"/>
      <c r="OA86" s="412"/>
      <c r="OB86" s="415"/>
      <c r="OC86" s="413"/>
      <c r="OM86" s="396"/>
      <c r="ON86" s="452"/>
      <c r="OO86" s="412"/>
      <c r="OP86" s="415"/>
      <c r="OQ86" s="413"/>
      <c r="PA86" s="396"/>
      <c r="PB86" s="452"/>
      <c r="PC86" s="412"/>
      <c r="PD86" s="415"/>
      <c r="PE86" s="413"/>
      <c r="PO86" s="396"/>
      <c r="PP86" s="452"/>
      <c r="PQ86" s="412"/>
      <c r="PR86" s="415"/>
      <c r="PS86" s="413"/>
      <c r="QC86" s="396"/>
      <c r="QD86" s="452"/>
      <c r="QE86" s="412"/>
      <c r="QF86" s="415"/>
      <c r="QG86" s="413"/>
      <c r="QQ86" s="396"/>
      <c r="QR86" s="452"/>
      <c r="QS86" s="412"/>
      <c r="QT86" s="415"/>
      <c r="QU86" s="413"/>
      <c r="RE86" s="396"/>
      <c r="RF86" s="452"/>
      <c r="RG86" s="412"/>
      <c r="RH86" s="415"/>
      <c r="RI86" s="413"/>
      <c r="RS86" s="396"/>
      <c r="RT86" s="452"/>
      <c r="RU86" s="412"/>
      <c r="RV86" s="415"/>
      <c r="RW86" s="413"/>
      <c r="SG86" s="396"/>
      <c r="SH86" s="452"/>
      <c r="SI86" s="412"/>
      <c r="SJ86" s="415"/>
      <c r="SK86" s="413"/>
      <c r="SU86" s="396"/>
      <c r="SV86" s="452"/>
      <c r="SW86" s="412"/>
      <c r="SX86" s="415"/>
      <c r="SY86" s="413"/>
      <c r="TI86" s="396"/>
      <c r="TJ86" s="452"/>
      <c r="TK86" s="412"/>
      <c r="TL86" s="415"/>
      <c r="TM86" s="413"/>
      <c r="TW86" s="396"/>
      <c r="TX86" s="452"/>
      <c r="TY86" s="412"/>
      <c r="TZ86" s="415"/>
      <c r="UA86" s="413"/>
      <c r="UK86" s="396"/>
      <c r="UL86" s="452"/>
      <c r="UM86" s="412"/>
      <c r="UN86" s="415"/>
      <c r="UO86" s="413"/>
      <c r="UY86" s="396"/>
      <c r="UZ86" s="452"/>
      <c r="VA86" s="412"/>
      <c r="VB86" s="415"/>
      <c r="VC86" s="413"/>
      <c r="VM86" s="396"/>
      <c r="VN86" s="452"/>
      <c r="VO86" s="412"/>
      <c r="VP86" s="415"/>
      <c r="VQ86" s="413"/>
      <c r="WA86" s="396"/>
      <c r="WB86" s="452"/>
      <c r="WC86" s="412"/>
      <c r="WD86" s="415"/>
      <c r="WE86" s="413"/>
      <c r="WO86" s="396"/>
      <c r="WP86" s="452"/>
      <c r="WQ86" s="412"/>
      <c r="WR86" s="415"/>
      <c r="WS86" s="413"/>
      <c r="XC86" s="396"/>
      <c r="XD86" s="452"/>
      <c r="XE86" s="412"/>
      <c r="XF86" s="415"/>
      <c r="XG86" s="413"/>
      <c r="XQ86" s="396"/>
      <c r="XR86" s="452"/>
      <c r="XS86" s="412"/>
      <c r="XT86" s="415"/>
      <c r="XU86" s="413"/>
      <c r="YE86" s="396"/>
      <c r="YF86" s="452"/>
      <c r="YG86" s="412"/>
      <c r="YH86" s="415"/>
      <c r="YI86" s="413"/>
      <c r="YS86" s="396"/>
      <c r="YT86" s="452"/>
      <c r="YU86" s="412"/>
      <c r="YV86" s="415"/>
      <c r="YW86" s="413"/>
      <c r="ZG86" s="396"/>
      <c r="ZH86" s="452"/>
      <c r="ZI86" s="412"/>
      <c r="ZJ86" s="415"/>
      <c r="ZK86" s="413"/>
      <c r="ZU86" s="396"/>
      <c r="ZV86" s="452"/>
      <c r="ZW86" s="412"/>
      <c r="ZX86" s="415"/>
      <c r="ZY86" s="413"/>
      <c r="AAI86" s="396"/>
      <c r="AAJ86" s="452"/>
      <c r="AAK86" s="412"/>
      <c r="AAL86" s="415"/>
      <c r="AAM86" s="413"/>
      <c r="AAW86" s="396"/>
      <c r="AAX86" s="452"/>
      <c r="AAY86" s="412"/>
      <c r="AAZ86" s="415"/>
      <c r="ABA86" s="413"/>
      <c r="ABK86" s="396"/>
      <c r="ABL86" s="452"/>
      <c r="ABM86" s="412"/>
      <c r="ABN86" s="415"/>
      <c r="ABO86" s="413"/>
      <c r="ABY86" s="396"/>
      <c r="ABZ86" s="452"/>
      <c r="ACA86" s="412"/>
      <c r="ACB86" s="415"/>
      <c r="ACC86" s="413"/>
      <c r="ACM86" s="396"/>
      <c r="ACN86" s="452"/>
      <c r="ACO86" s="412"/>
      <c r="ACP86" s="415"/>
      <c r="ACQ86" s="413"/>
      <c r="ADA86" s="396"/>
      <c r="ADB86" s="452"/>
      <c r="ADC86" s="412"/>
      <c r="ADD86" s="415"/>
      <c r="ADE86" s="413"/>
      <c r="ADO86" s="396"/>
      <c r="ADP86" s="452"/>
      <c r="ADQ86" s="412"/>
      <c r="ADR86" s="415"/>
      <c r="ADS86" s="413"/>
      <c r="AEC86" s="396"/>
      <c r="AED86" s="452"/>
      <c r="AEE86" s="412"/>
      <c r="AEF86" s="415"/>
      <c r="AEG86" s="413"/>
      <c r="AEQ86" s="396"/>
      <c r="AER86" s="452"/>
      <c r="AES86" s="412"/>
      <c r="AET86" s="415"/>
      <c r="AEU86" s="413"/>
      <c r="AFE86" s="396"/>
      <c r="AFF86" s="452"/>
      <c r="AFG86" s="412"/>
      <c r="AFH86" s="415"/>
      <c r="AFI86" s="413"/>
      <c r="AFS86" s="396"/>
      <c r="AFT86" s="452"/>
      <c r="AFU86" s="412"/>
      <c r="AFV86" s="415"/>
      <c r="AFW86" s="413"/>
      <c r="AGG86" s="396"/>
      <c r="AGH86" s="452"/>
      <c r="AGI86" s="412"/>
      <c r="AGJ86" s="415"/>
      <c r="AGK86" s="413"/>
      <c r="AGU86" s="396"/>
      <c r="AGV86" s="452"/>
      <c r="AGW86" s="412"/>
      <c r="AGX86" s="415"/>
      <c r="AGY86" s="413"/>
      <c r="AHI86" s="396"/>
      <c r="AHJ86" s="452"/>
      <c r="AHK86" s="412"/>
      <c r="AHL86" s="415"/>
      <c r="AHM86" s="413"/>
      <c r="AHW86" s="396"/>
      <c r="AHX86" s="452"/>
      <c r="AHY86" s="412"/>
      <c r="AHZ86" s="415"/>
      <c r="AIA86" s="413"/>
      <c r="AIK86" s="396"/>
      <c r="AIL86" s="452"/>
      <c r="AIM86" s="412"/>
      <c r="AIN86" s="415"/>
      <c r="AIO86" s="413"/>
      <c r="AIY86" s="396"/>
      <c r="AIZ86" s="452"/>
      <c r="AJA86" s="412"/>
      <c r="AJB86" s="415"/>
      <c r="AJC86" s="413"/>
      <c r="AJM86" s="396"/>
      <c r="AJN86" s="452"/>
      <c r="AJO86" s="412"/>
      <c r="AJP86" s="415"/>
      <c r="AJQ86" s="413"/>
      <c r="AKA86" s="396"/>
      <c r="AKB86" s="452"/>
      <c r="AKC86" s="412"/>
      <c r="AKD86" s="415"/>
      <c r="AKE86" s="413"/>
      <c r="AKO86" s="396"/>
      <c r="AKP86" s="452"/>
      <c r="AKQ86" s="412"/>
      <c r="AKR86" s="415"/>
      <c r="AKS86" s="413"/>
      <c r="ALC86" s="396"/>
      <c r="ALD86" s="452"/>
      <c r="ALE86" s="412"/>
      <c r="ALF86" s="415"/>
      <c r="ALG86" s="413"/>
      <c r="ALQ86" s="396"/>
      <c r="ALR86" s="452"/>
      <c r="ALS86" s="412"/>
      <c r="ALT86" s="415"/>
      <c r="ALU86" s="413"/>
      <c r="AME86" s="396"/>
      <c r="AMF86" s="452"/>
      <c r="AMG86" s="412"/>
      <c r="AMH86" s="415"/>
      <c r="AMI86" s="413"/>
      <c r="AMS86" s="396"/>
      <c r="AMT86" s="452"/>
      <c r="AMU86" s="412"/>
      <c r="AMV86" s="415"/>
      <c r="AMW86" s="413"/>
      <c r="ANG86" s="396"/>
      <c r="ANH86" s="452"/>
      <c r="ANI86" s="412"/>
      <c r="ANJ86" s="415"/>
      <c r="ANK86" s="413"/>
      <c r="ANU86" s="396"/>
      <c r="ANV86" s="452"/>
      <c r="ANW86" s="412"/>
      <c r="ANX86" s="415"/>
      <c r="ANY86" s="413"/>
      <c r="AOI86" s="396"/>
      <c r="AOJ86" s="452"/>
      <c r="AOK86" s="412"/>
      <c r="AOL86" s="415"/>
      <c r="AOM86" s="413"/>
      <c r="AOW86" s="396"/>
      <c r="AOX86" s="452"/>
      <c r="AOY86" s="412"/>
      <c r="AOZ86" s="415"/>
      <c r="APA86" s="413"/>
      <c r="APK86" s="396"/>
      <c r="APL86" s="452"/>
      <c r="APM86" s="412"/>
      <c r="APN86" s="415"/>
      <c r="APO86" s="413"/>
      <c r="APY86" s="396"/>
      <c r="APZ86" s="452"/>
      <c r="AQA86" s="412"/>
      <c r="AQB86" s="415"/>
      <c r="AQC86" s="413"/>
      <c r="AQM86" s="396"/>
      <c r="AQN86" s="452"/>
      <c r="AQO86" s="412"/>
      <c r="AQP86" s="415"/>
      <c r="AQQ86" s="413"/>
      <c r="ARA86" s="396"/>
      <c r="ARB86" s="452"/>
      <c r="ARC86" s="412"/>
      <c r="ARD86" s="415"/>
      <c r="ARE86" s="413"/>
      <c r="ARO86" s="396"/>
      <c r="ARP86" s="452"/>
      <c r="ARQ86" s="412"/>
      <c r="ARR86" s="415"/>
      <c r="ARS86" s="413"/>
      <c r="ASC86" s="396"/>
      <c r="ASD86" s="452"/>
      <c r="ASE86" s="412"/>
      <c r="ASF86" s="415"/>
      <c r="ASG86" s="413"/>
      <c r="ASQ86" s="396"/>
      <c r="ASR86" s="452"/>
      <c r="ASS86" s="412"/>
      <c r="AST86" s="415"/>
      <c r="ASU86" s="413"/>
      <c r="ATE86" s="396"/>
      <c r="ATF86" s="452"/>
      <c r="ATG86" s="412"/>
      <c r="ATH86" s="415"/>
      <c r="ATI86" s="413"/>
      <c r="ATS86" s="396"/>
      <c r="ATT86" s="452"/>
      <c r="ATU86" s="412"/>
      <c r="ATV86" s="415"/>
      <c r="ATW86" s="413"/>
      <c r="AUG86" s="396"/>
      <c r="AUH86" s="452"/>
      <c r="AUI86" s="412"/>
      <c r="AUJ86" s="415"/>
      <c r="AUK86" s="413"/>
      <c r="AUU86" s="396"/>
      <c r="AUV86" s="452"/>
      <c r="AUW86" s="412"/>
      <c r="AUX86" s="415"/>
      <c r="AUY86" s="413"/>
      <c r="AVI86" s="396"/>
      <c r="AVJ86" s="452"/>
      <c r="AVK86" s="412"/>
      <c r="AVL86" s="415"/>
      <c r="AVM86" s="413"/>
      <c r="AVW86" s="396"/>
      <c r="AVX86" s="452"/>
      <c r="AVY86" s="412"/>
      <c r="AVZ86" s="415"/>
      <c r="AWA86" s="413"/>
      <c r="AWK86" s="396"/>
      <c r="AWL86" s="452"/>
      <c r="AWM86" s="412"/>
      <c r="AWN86" s="415"/>
      <c r="AWO86" s="413"/>
      <c r="AWY86" s="396"/>
      <c r="AWZ86" s="452"/>
      <c r="AXA86" s="412"/>
      <c r="AXB86" s="415"/>
      <c r="AXC86" s="413"/>
      <c r="AXM86" s="396"/>
      <c r="AXN86" s="452"/>
      <c r="AXO86" s="412"/>
      <c r="AXP86" s="415"/>
      <c r="AXQ86" s="413"/>
      <c r="AYA86" s="396"/>
      <c r="AYB86" s="452"/>
      <c r="AYC86" s="412"/>
      <c r="AYD86" s="415"/>
      <c r="AYE86" s="413"/>
      <c r="AYO86" s="396"/>
      <c r="AYP86" s="452"/>
      <c r="AYQ86" s="412"/>
      <c r="AYR86" s="415"/>
      <c r="AYS86" s="413"/>
      <c r="AZC86" s="396"/>
      <c r="AZD86" s="452"/>
      <c r="AZE86" s="412"/>
      <c r="AZF86" s="415"/>
      <c r="AZG86" s="413"/>
      <c r="AZQ86" s="396"/>
      <c r="AZR86" s="452"/>
      <c r="AZS86" s="412"/>
      <c r="AZT86" s="415"/>
      <c r="AZU86" s="413"/>
      <c r="BAE86" s="396"/>
      <c r="BAF86" s="452"/>
      <c r="BAG86" s="412"/>
      <c r="BAH86" s="415"/>
      <c r="BAI86" s="413"/>
      <c r="BAS86" s="396"/>
      <c r="BAT86" s="452"/>
      <c r="BAU86" s="412"/>
      <c r="BAV86" s="415"/>
      <c r="BAW86" s="413"/>
      <c r="BBG86" s="396"/>
      <c r="BBH86" s="452"/>
      <c r="BBI86" s="412"/>
      <c r="BBJ86" s="415"/>
      <c r="BBK86" s="413"/>
      <c r="BBU86" s="396"/>
      <c r="BBV86" s="452"/>
      <c r="BBW86" s="412"/>
      <c r="BBX86" s="415"/>
      <c r="BBY86" s="413"/>
      <c r="BCI86" s="396"/>
      <c r="BCJ86" s="452"/>
      <c r="BCK86" s="412"/>
      <c r="BCL86" s="415"/>
      <c r="BCM86" s="413"/>
      <c r="BCW86" s="396"/>
      <c r="BCX86" s="452"/>
      <c r="BCY86" s="412"/>
      <c r="BCZ86" s="415"/>
      <c r="BDA86" s="413"/>
      <c r="BDK86" s="396"/>
      <c r="BDL86" s="452"/>
      <c r="BDM86" s="412"/>
      <c r="BDN86" s="415"/>
      <c r="BDO86" s="413"/>
      <c r="BDY86" s="396"/>
      <c r="BDZ86" s="452"/>
      <c r="BEA86" s="412"/>
      <c r="BEB86" s="415"/>
      <c r="BEC86" s="413"/>
      <c r="BEM86" s="396"/>
      <c r="BEN86" s="452"/>
      <c r="BEO86" s="412"/>
      <c r="BEP86" s="415"/>
      <c r="BEQ86" s="413"/>
      <c r="BFA86" s="396"/>
      <c r="BFB86" s="452"/>
      <c r="BFC86" s="412"/>
      <c r="BFD86" s="415"/>
      <c r="BFE86" s="413"/>
      <c r="BFO86" s="396"/>
      <c r="BFP86" s="452"/>
      <c r="BFQ86" s="412"/>
      <c r="BFR86" s="415"/>
      <c r="BFS86" s="413"/>
      <c r="BGC86" s="396"/>
      <c r="BGD86" s="452"/>
      <c r="BGE86" s="412"/>
      <c r="BGF86" s="415"/>
      <c r="BGG86" s="413"/>
      <c r="BGQ86" s="396"/>
      <c r="BGR86" s="452"/>
      <c r="BGS86" s="412"/>
      <c r="BGT86" s="415"/>
      <c r="BGU86" s="413"/>
      <c r="BHE86" s="396"/>
      <c r="BHF86" s="452"/>
      <c r="BHG86" s="412"/>
      <c r="BHH86" s="415"/>
      <c r="BHI86" s="413"/>
      <c r="BHS86" s="396"/>
      <c r="BHT86" s="452"/>
      <c r="BHU86" s="412"/>
      <c r="BHV86" s="415"/>
      <c r="BHW86" s="413"/>
      <c r="BIG86" s="396"/>
      <c r="BIH86" s="452"/>
      <c r="BII86" s="412"/>
      <c r="BIJ86" s="415"/>
      <c r="BIK86" s="413"/>
      <c r="BIU86" s="396"/>
      <c r="BIV86" s="452"/>
      <c r="BIW86" s="412"/>
      <c r="BIX86" s="415"/>
      <c r="BIY86" s="413"/>
      <c r="BJI86" s="396"/>
      <c r="BJJ86" s="452"/>
      <c r="BJK86" s="412"/>
      <c r="BJL86" s="415"/>
      <c r="BJM86" s="413"/>
      <c r="BJW86" s="396"/>
      <c r="BJX86" s="452"/>
      <c r="BJY86" s="412"/>
      <c r="BJZ86" s="415"/>
      <c r="BKA86" s="413"/>
      <c r="BKK86" s="396"/>
      <c r="BKL86" s="452"/>
      <c r="BKM86" s="412"/>
      <c r="BKN86" s="415"/>
      <c r="BKO86" s="413"/>
      <c r="BKY86" s="396"/>
      <c r="BKZ86" s="452"/>
      <c r="BLA86" s="412"/>
      <c r="BLB86" s="415"/>
      <c r="BLC86" s="413"/>
      <c r="BLM86" s="396"/>
      <c r="BLN86" s="452"/>
      <c r="BLO86" s="412"/>
      <c r="BLP86" s="415"/>
      <c r="BLQ86" s="413"/>
      <c r="BMA86" s="396"/>
      <c r="BMB86" s="452"/>
      <c r="BMC86" s="412"/>
      <c r="BMD86" s="415"/>
      <c r="BME86" s="413"/>
      <c r="BMO86" s="396"/>
      <c r="BMP86" s="452"/>
      <c r="BMQ86" s="412"/>
      <c r="BMR86" s="415"/>
      <c r="BMS86" s="413"/>
      <c r="BNC86" s="396"/>
      <c r="BND86" s="452"/>
      <c r="BNE86" s="412"/>
      <c r="BNF86" s="415"/>
      <c r="BNG86" s="413"/>
      <c r="BNQ86" s="396"/>
      <c r="BNR86" s="452"/>
      <c r="BNS86" s="412"/>
      <c r="BNT86" s="415"/>
      <c r="BNU86" s="413"/>
      <c r="BOE86" s="396"/>
      <c r="BOF86" s="452"/>
      <c r="BOG86" s="412"/>
      <c r="BOH86" s="415"/>
      <c r="BOI86" s="413"/>
      <c r="BOS86" s="396"/>
      <c r="BOT86" s="452"/>
      <c r="BOU86" s="412"/>
      <c r="BOV86" s="415"/>
      <c r="BOW86" s="413"/>
      <c r="BPG86" s="396"/>
      <c r="BPH86" s="452"/>
      <c r="BPI86" s="412"/>
      <c r="BPJ86" s="415"/>
      <c r="BPK86" s="413"/>
      <c r="BPU86" s="396"/>
      <c r="BPV86" s="452"/>
      <c r="BPW86" s="412"/>
      <c r="BPX86" s="415"/>
      <c r="BPY86" s="413"/>
      <c r="BQI86" s="396"/>
      <c r="BQJ86" s="452"/>
      <c r="BQK86" s="412"/>
      <c r="BQL86" s="415"/>
      <c r="BQM86" s="413"/>
      <c r="BQW86" s="396"/>
      <c r="BQX86" s="452"/>
      <c r="BQY86" s="412"/>
      <c r="BQZ86" s="415"/>
      <c r="BRA86" s="413"/>
      <c r="BRK86" s="396"/>
      <c r="BRL86" s="452"/>
      <c r="BRM86" s="412"/>
      <c r="BRN86" s="415"/>
      <c r="BRO86" s="413"/>
      <c r="BRY86" s="396"/>
      <c r="BRZ86" s="452"/>
      <c r="BSA86" s="412"/>
      <c r="BSB86" s="415"/>
      <c r="BSC86" s="413"/>
      <c r="BSM86" s="396"/>
      <c r="BSN86" s="452"/>
      <c r="BSO86" s="412"/>
      <c r="BSP86" s="415"/>
      <c r="BSQ86" s="413"/>
      <c r="BTA86" s="396"/>
      <c r="BTB86" s="452"/>
      <c r="BTC86" s="412"/>
      <c r="BTD86" s="415"/>
      <c r="BTE86" s="413"/>
      <c r="BTO86" s="396"/>
      <c r="BTP86" s="452"/>
      <c r="BTQ86" s="412"/>
      <c r="BTR86" s="415"/>
      <c r="BTS86" s="413"/>
      <c r="BUC86" s="396"/>
      <c r="BUD86" s="452"/>
      <c r="BUE86" s="412"/>
      <c r="BUF86" s="415"/>
      <c r="BUG86" s="413"/>
      <c r="BUQ86" s="396"/>
      <c r="BUR86" s="452"/>
      <c r="BUS86" s="412"/>
      <c r="BUT86" s="415"/>
      <c r="BUU86" s="413"/>
      <c r="BVE86" s="396"/>
      <c r="BVF86" s="452"/>
      <c r="BVG86" s="412"/>
      <c r="BVH86" s="415"/>
      <c r="BVI86" s="413"/>
      <c r="BVS86" s="396"/>
      <c r="BVT86" s="452"/>
      <c r="BVU86" s="412"/>
      <c r="BVV86" s="415"/>
      <c r="BVW86" s="413"/>
      <c r="BWG86" s="396"/>
      <c r="BWH86" s="452"/>
      <c r="BWI86" s="412"/>
      <c r="BWJ86" s="415"/>
      <c r="BWK86" s="413"/>
      <c r="BWU86" s="396"/>
      <c r="BWV86" s="452"/>
      <c r="BWW86" s="412"/>
      <c r="BWX86" s="415"/>
      <c r="BWY86" s="413"/>
      <c r="BXI86" s="396"/>
      <c r="BXJ86" s="452"/>
      <c r="BXK86" s="412"/>
      <c r="BXL86" s="415"/>
      <c r="BXM86" s="413"/>
      <c r="BXW86" s="396"/>
      <c r="BXX86" s="452"/>
      <c r="BXY86" s="412"/>
      <c r="BXZ86" s="415"/>
      <c r="BYA86" s="413"/>
      <c r="BYK86" s="396"/>
      <c r="BYL86" s="452"/>
      <c r="BYM86" s="412"/>
      <c r="BYN86" s="415"/>
      <c r="BYO86" s="413"/>
      <c r="BYY86" s="396"/>
      <c r="BYZ86" s="452"/>
      <c r="BZA86" s="412"/>
      <c r="BZB86" s="415"/>
      <c r="BZC86" s="413"/>
      <c r="BZM86" s="396"/>
      <c r="BZN86" s="452"/>
      <c r="BZO86" s="412"/>
      <c r="BZP86" s="415"/>
      <c r="BZQ86" s="413"/>
      <c r="CAA86" s="396"/>
      <c r="CAB86" s="452"/>
      <c r="CAC86" s="412"/>
      <c r="CAD86" s="415"/>
      <c r="CAE86" s="413"/>
      <c r="CAO86" s="396"/>
      <c r="CAP86" s="452"/>
      <c r="CAQ86" s="412"/>
      <c r="CAR86" s="415"/>
      <c r="CAS86" s="413"/>
      <c r="CBC86" s="396"/>
      <c r="CBD86" s="452"/>
      <c r="CBE86" s="412"/>
      <c r="CBF86" s="415"/>
      <c r="CBG86" s="413"/>
      <c r="CBQ86" s="396"/>
      <c r="CBR86" s="452"/>
      <c r="CBS86" s="412"/>
      <c r="CBT86" s="415"/>
      <c r="CBU86" s="413"/>
      <c r="CCE86" s="396"/>
      <c r="CCF86" s="452"/>
      <c r="CCG86" s="412"/>
      <c r="CCH86" s="415"/>
      <c r="CCI86" s="413"/>
      <c r="CCS86" s="396"/>
      <c r="CCT86" s="452"/>
      <c r="CCU86" s="412"/>
      <c r="CCV86" s="415"/>
      <c r="CCW86" s="413"/>
      <c r="CDG86" s="396"/>
      <c r="CDH86" s="452"/>
      <c r="CDI86" s="412"/>
      <c r="CDJ86" s="415"/>
      <c r="CDK86" s="413"/>
      <c r="CDU86" s="396"/>
      <c r="CDV86" s="452"/>
      <c r="CDW86" s="412"/>
      <c r="CDX86" s="415"/>
      <c r="CDY86" s="413"/>
      <c r="CEI86" s="396"/>
      <c r="CEJ86" s="452"/>
      <c r="CEK86" s="412"/>
      <c r="CEL86" s="415"/>
      <c r="CEM86" s="413"/>
      <c r="CEW86" s="396"/>
      <c r="CEX86" s="452"/>
      <c r="CEY86" s="412"/>
      <c r="CEZ86" s="415"/>
      <c r="CFA86" s="413"/>
      <c r="CFK86" s="396"/>
      <c r="CFL86" s="452"/>
      <c r="CFM86" s="412"/>
      <c r="CFN86" s="415"/>
      <c r="CFO86" s="413"/>
      <c r="CFY86" s="396"/>
      <c r="CFZ86" s="452"/>
      <c r="CGA86" s="412"/>
      <c r="CGB86" s="415"/>
      <c r="CGC86" s="413"/>
      <c r="CGM86" s="396"/>
      <c r="CGN86" s="452"/>
      <c r="CGO86" s="412"/>
      <c r="CGP86" s="415"/>
      <c r="CGQ86" s="413"/>
      <c r="CHA86" s="396"/>
      <c r="CHB86" s="452"/>
      <c r="CHC86" s="412"/>
      <c r="CHD86" s="415"/>
      <c r="CHE86" s="413"/>
      <c r="CHO86" s="396"/>
      <c r="CHP86" s="452"/>
      <c r="CHQ86" s="412"/>
      <c r="CHR86" s="415"/>
      <c r="CHS86" s="413"/>
      <c r="CIC86" s="396"/>
      <c r="CID86" s="452"/>
      <c r="CIE86" s="412"/>
      <c r="CIF86" s="415"/>
      <c r="CIG86" s="413"/>
      <c r="CIQ86" s="396"/>
      <c r="CIR86" s="452"/>
      <c r="CIS86" s="412"/>
      <c r="CIT86" s="415"/>
      <c r="CIU86" s="413"/>
      <c r="CJE86" s="396"/>
      <c r="CJF86" s="452"/>
      <c r="CJG86" s="412"/>
      <c r="CJH86" s="415"/>
      <c r="CJI86" s="413"/>
      <c r="CJS86" s="396"/>
      <c r="CJT86" s="452"/>
      <c r="CJU86" s="412"/>
      <c r="CJV86" s="415"/>
      <c r="CJW86" s="413"/>
      <c r="CKG86" s="396"/>
      <c r="CKH86" s="452"/>
      <c r="CKI86" s="412"/>
      <c r="CKJ86" s="415"/>
      <c r="CKK86" s="413"/>
      <c r="CKU86" s="396"/>
      <c r="CKV86" s="452"/>
      <c r="CKW86" s="412"/>
      <c r="CKX86" s="415"/>
      <c r="CKY86" s="413"/>
      <c r="CLI86" s="396"/>
      <c r="CLJ86" s="452"/>
      <c r="CLK86" s="412"/>
      <c r="CLL86" s="415"/>
      <c r="CLM86" s="413"/>
      <c r="CLW86" s="396"/>
      <c r="CLX86" s="452"/>
      <c r="CLY86" s="412"/>
      <c r="CLZ86" s="415"/>
      <c r="CMA86" s="413"/>
      <c r="CMK86" s="396"/>
      <c r="CML86" s="452"/>
      <c r="CMM86" s="412"/>
      <c r="CMN86" s="415"/>
      <c r="CMO86" s="413"/>
      <c r="CMY86" s="396"/>
      <c r="CMZ86" s="452"/>
      <c r="CNA86" s="412"/>
      <c r="CNB86" s="415"/>
      <c r="CNC86" s="413"/>
      <c r="CNM86" s="396"/>
      <c r="CNN86" s="452"/>
      <c r="CNO86" s="412"/>
      <c r="CNP86" s="415"/>
      <c r="CNQ86" s="413"/>
      <c r="COA86" s="396"/>
      <c r="COB86" s="452"/>
      <c r="COC86" s="412"/>
      <c r="COD86" s="415"/>
      <c r="COE86" s="413"/>
      <c r="COO86" s="396"/>
      <c r="COP86" s="452"/>
      <c r="COQ86" s="412"/>
      <c r="COR86" s="415"/>
      <c r="COS86" s="413"/>
      <c r="CPC86" s="396"/>
      <c r="CPD86" s="452"/>
      <c r="CPE86" s="412"/>
      <c r="CPF86" s="415"/>
      <c r="CPG86" s="413"/>
      <c r="CPQ86" s="396"/>
      <c r="CPR86" s="452"/>
      <c r="CPS86" s="412"/>
      <c r="CPT86" s="415"/>
      <c r="CPU86" s="413"/>
      <c r="CQE86" s="396"/>
      <c r="CQF86" s="452"/>
      <c r="CQG86" s="412"/>
      <c r="CQH86" s="415"/>
      <c r="CQI86" s="413"/>
      <c r="CQS86" s="396"/>
      <c r="CQT86" s="452"/>
      <c r="CQU86" s="412"/>
      <c r="CQV86" s="415"/>
      <c r="CQW86" s="413"/>
      <c r="CRG86" s="396"/>
      <c r="CRH86" s="452"/>
      <c r="CRI86" s="412"/>
      <c r="CRJ86" s="415"/>
      <c r="CRK86" s="413"/>
      <c r="CRU86" s="396"/>
      <c r="CRV86" s="452"/>
      <c r="CRW86" s="412"/>
      <c r="CRX86" s="415"/>
      <c r="CRY86" s="413"/>
      <c r="CSI86" s="396"/>
      <c r="CSJ86" s="452"/>
      <c r="CSK86" s="412"/>
      <c r="CSL86" s="415"/>
      <c r="CSM86" s="413"/>
      <c r="CSW86" s="396"/>
      <c r="CSX86" s="452"/>
      <c r="CSY86" s="412"/>
      <c r="CSZ86" s="415"/>
      <c r="CTA86" s="413"/>
      <c r="CTK86" s="396"/>
      <c r="CTL86" s="452"/>
      <c r="CTM86" s="412"/>
      <c r="CTN86" s="415"/>
      <c r="CTO86" s="413"/>
      <c r="CTY86" s="396"/>
      <c r="CTZ86" s="452"/>
      <c r="CUA86" s="412"/>
      <c r="CUB86" s="415"/>
      <c r="CUC86" s="413"/>
      <c r="CUM86" s="396"/>
      <c r="CUN86" s="452"/>
      <c r="CUO86" s="412"/>
      <c r="CUP86" s="415"/>
      <c r="CUQ86" s="413"/>
      <c r="CVA86" s="396"/>
      <c r="CVB86" s="452"/>
      <c r="CVC86" s="412"/>
      <c r="CVD86" s="415"/>
      <c r="CVE86" s="413"/>
      <c r="CVO86" s="396"/>
      <c r="CVP86" s="452"/>
      <c r="CVQ86" s="412"/>
      <c r="CVR86" s="415"/>
      <c r="CVS86" s="413"/>
      <c r="CWC86" s="396"/>
      <c r="CWD86" s="452"/>
      <c r="CWE86" s="412"/>
      <c r="CWF86" s="415"/>
      <c r="CWG86" s="413"/>
      <c r="CWQ86" s="396"/>
      <c r="CWR86" s="452"/>
      <c r="CWS86" s="412"/>
      <c r="CWT86" s="415"/>
      <c r="CWU86" s="413"/>
      <c r="CXE86" s="396"/>
      <c r="CXF86" s="452"/>
      <c r="CXG86" s="412"/>
      <c r="CXH86" s="415"/>
      <c r="CXI86" s="413"/>
      <c r="CXS86" s="396"/>
      <c r="CXT86" s="452"/>
      <c r="CXU86" s="412"/>
      <c r="CXV86" s="415"/>
      <c r="CXW86" s="413"/>
      <c r="CYG86" s="396"/>
      <c r="CYH86" s="452"/>
      <c r="CYI86" s="412"/>
      <c r="CYJ86" s="415"/>
      <c r="CYK86" s="413"/>
      <c r="CYU86" s="396"/>
      <c r="CYV86" s="452"/>
      <c r="CYW86" s="412"/>
      <c r="CYX86" s="415"/>
      <c r="CYY86" s="413"/>
      <c r="CZI86" s="396"/>
      <c r="CZJ86" s="452"/>
      <c r="CZK86" s="412"/>
      <c r="CZL86" s="415"/>
      <c r="CZM86" s="413"/>
      <c r="CZW86" s="396"/>
      <c r="CZX86" s="452"/>
      <c r="CZY86" s="412"/>
      <c r="CZZ86" s="415"/>
      <c r="DAA86" s="413"/>
      <c r="DAK86" s="396"/>
      <c r="DAL86" s="452"/>
      <c r="DAM86" s="412"/>
      <c r="DAN86" s="415"/>
      <c r="DAO86" s="413"/>
      <c r="DAY86" s="396"/>
      <c r="DAZ86" s="452"/>
      <c r="DBA86" s="412"/>
      <c r="DBB86" s="415"/>
      <c r="DBC86" s="413"/>
      <c r="DBM86" s="396"/>
      <c r="DBN86" s="452"/>
      <c r="DBO86" s="412"/>
      <c r="DBP86" s="415"/>
      <c r="DBQ86" s="413"/>
      <c r="DCA86" s="396"/>
      <c r="DCB86" s="452"/>
      <c r="DCC86" s="412"/>
      <c r="DCD86" s="415"/>
      <c r="DCE86" s="413"/>
      <c r="DCO86" s="396"/>
      <c r="DCP86" s="452"/>
      <c r="DCQ86" s="412"/>
      <c r="DCR86" s="415"/>
      <c r="DCS86" s="413"/>
      <c r="DDC86" s="396"/>
      <c r="DDD86" s="452"/>
      <c r="DDE86" s="412"/>
      <c r="DDF86" s="415"/>
      <c r="DDG86" s="413"/>
      <c r="DDQ86" s="396"/>
      <c r="DDR86" s="452"/>
      <c r="DDS86" s="412"/>
      <c r="DDT86" s="415"/>
      <c r="DDU86" s="413"/>
      <c r="DEE86" s="396"/>
      <c r="DEF86" s="452"/>
      <c r="DEG86" s="412"/>
      <c r="DEH86" s="415"/>
      <c r="DEI86" s="413"/>
      <c r="DES86" s="396"/>
      <c r="DET86" s="452"/>
      <c r="DEU86" s="412"/>
      <c r="DEV86" s="415"/>
      <c r="DEW86" s="413"/>
      <c r="DFG86" s="396"/>
      <c r="DFH86" s="452"/>
      <c r="DFI86" s="412"/>
      <c r="DFJ86" s="415"/>
      <c r="DFK86" s="413"/>
      <c r="DFU86" s="396"/>
      <c r="DFV86" s="452"/>
      <c r="DFW86" s="412"/>
      <c r="DFX86" s="415"/>
      <c r="DFY86" s="413"/>
      <c r="DGI86" s="396"/>
      <c r="DGJ86" s="452"/>
      <c r="DGK86" s="412"/>
      <c r="DGL86" s="415"/>
      <c r="DGM86" s="413"/>
      <c r="DGW86" s="396"/>
      <c r="DGX86" s="452"/>
      <c r="DGY86" s="412"/>
      <c r="DGZ86" s="415"/>
      <c r="DHA86" s="413"/>
      <c r="DHK86" s="396"/>
      <c r="DHL86" s="452"/>
      <c r="DHM86" s="412"/>
      <c r="DHN86" s="415"/>
      <c r="DHO86" s="413"/>
      <c r="DHY86" s="396"/>
      <c r="DHZ86" s="452"/>
      <c r="DIA86" s="412"/>
      <c r="DIB86" s="415"/>
      <c r="DIC86" s="413"/>
      <c r="DIM86" s="396"/>
      <c r="DIN86" s="452"/>
      <c r="DIO86" s="412"/>
      <c r="DIP86" s="415"/>
      <c r="DIQ86" s="413"/>
      <c r="DJA86" s="396"/>
      <c r="DJB86" s="452"/>
      <c r="DJC86" s="412"/>
      <c r="DJD86" s="415"/>
      <c r="DJE86" s="413"/>
      <c r="DJO86" s="396"/>
      <c r="DJP86" s="452"/>
      <c r="DJQ86" s="412"/>
      <c r="DJR86" s="415"/>
      <c r="DJS86" s="413"/>
      <c r="DKC86" s="396"/>
      <c r="DKD86" s="452"/>
      <c r="DKE86" s="412"/>
      <c r="DKF86" s="415"/>
      <c r="DKG86" s="413"/>
      <c r="DKQ86" s="396"/>
      <c r="DKR86" s="452"/>
      <c r="DKS86" s="412"/>
      <c r="DKT86" s="415"/>
      <c r="DKU86" s="413"/>
      <c r="DLE86" s="396"/>
      <c r="DLF86" s="452"/>
      <c r="DLG86" s="412"/>
      <c r="DLH86" s="415"/>
      <c r="DLI86" s="413"/>
      <c r="DLS86" s="396"/>
      <c r="DLT86" s="452"/>
      <c r="DLU86" s="412"/>
      <c r="DLV86" s="415"/>
      <c r="DLW86" s="413"/>
      <c r="DMG86" s="396"/>
      <c r="DMH86" s="452"/>
      <c r="DMI86" s="412"/>
      <c r="DMJ86" s="415"/>
      <c r="DMK86" s="413"/>
      <c r="DMU86" s="396"/>
      <c r="DMV86" s="452"/>
      <c r="DMW86" s="412"/>
      <c r="DMX86" s="415"/>
      <c r="DMY86" s="413"/>
      <c r="DNI86" s="396"/>
      <c r="DNJ86" s="452"/>
      <c r="DNK86" s="412"/>
      <c r="DNL86" s="415"/>
      <c r="DNM86" s="413"/>
      <c r="DNW86" s="396"/>
      <c r="DNX86" s="452"/>
      <c r="DNY86" s="412"/>
      <c r="DNZ86" s="415"/>
      <c r="DOA86" s="413"/>
      <c r="DOK86" s="396"/>
      <c r="DOL86" s="452"/>
      <c r="DOM86" s="412"/>
      <c r="DON86" s="415"/>
      <c r="DOO86" s="413"/>
      <c r="DOY86" s="396"/>
      <c r="DOZ86" s="452"/>
      <c r="DPA86" s="412"/>
      <c r="DPB86" s="415"/>
      <c r="DPC86" s="413"/>
      <c r="DPM86" s="396"/>
      <c r="DPN86" s="452"/>
      <c r="DPO86" s="412"/>
      <c r="DPP86" s="415"/>
      <c r="DPQ86" s="413"/>
      <c r="DQA86" s="396"/>
      <c r="DQB86" s="452"/>
      <c r="DQC86" s="412"/>
      <c r="DQD86" s="415"/>
      <c r="DQE86" s="413"/>
      <c r="DQO86" s="396"/>
      <c r="DQP86" s="452"/>
      <c r="DQQ86" s="412"/>
      <c r="DQR86" s="415"/>
      <c r="DQS86" s="413"/>
      <c r="DRC86" s="396"/>
      <c r="DRD86" s="452"/>
      <c r="DRE86" s="412"/>
      <c r="DRF86" s="415"/>
      <c r="DRG86" s="413"/>
      <c r="DRQ86" s="396"/>
      <c r="DRR86" s="452"/>
      <c r="DRS86" s="412"/>
      <c r="DRT86" s="415"/>
      <c r="DRU86" s="413"/>
      <c r="DSE86" s="396"/>
      <c r="DSF86" s="452"/>
      <c r="DSG86" s="412"/>
      <c r="DSH86" s="415"/>
      <c r="DSI86" s="413"/>
      <c r="DSS86" s="396"/>
      <c r="DST86" s="452"/>
      <c r="DSU86" s="412"/>
      <c r="DSV86" s="415"/>
      <c r="DSW86" s="413"/>
      <c r="DTG86" s="396"/>
      <c r="DTH86" s="452"/>
      <c r="DTI86" s="412"/>
      <c r="DTJ86" s="415"/>
      <c r="DTK86" s="413"/>
      <c r="DTU86" s="396"/>
      <c r="DTV86" s="452"/>
      <c r="DTW86" s="412"/>
      <c r="DTX86" s="415"/>
      <c r="DTY86" s="413"/>
      <c r="DUI86" s="396"/>
      <c r="DUJ86" s="452"/>
      <c r="DUK86" s="412"/>
      <c r="DUL86" s="415"/>
      <c r="DUM86" s="413"/>
      <c r="DUW86" s="396"/>
      <c r="DUX86" s="452"/>
      <c r="DUY86" s="412"/>
      <c r="DUZ86" s="415"/>
      <c r="DVA86" s="413"/>
      <c r="DVK86" s="396"/>
      <c r="DVL86" s="452"/>
      <c r="DVM86" s="412"/>
      <c r="DVN86" s="415"/>
      <c r="DVO86" s="413"/>
      <c r="DVY86" s="396"/>
      <c r="DVZ86" s="452"/>
      <c r="DWA86" s="412"/>
      <c r="DWB86" s="415"/>
      <c r="DWC86" s="413"/>
      <c r="DWM86" s="396"/>
      <c r="DWN86" s="452"/>
      <c r="DWO86" s="412"/>
      <c r="DWP86" s="415"/>
      <c r="DWQ86" s="413"/>
      <c r="DXA86" s="396"/>
      <c r="DXB86" s="452"/>
      <c r="DXC86" s="412"/>
      <c r="DXD86" s="415"/>
      <c r="DXE86" s="413"/>
      <c r="DXO86" s="396"/>
      <c r="DXP86" s="452"/>
      <c r="DXQ86" s="412"/>
      <c r="DXR86" s="415"/>
      <c r="DXS86" s="413"/>
      <c r="DYC86" s="396"/>
      <c r="DYD86" s="452"/>
      <c r="DYE86" s="412"/>
      <c r="DYF86" s="415"/>
      <c r="DYG86" s="413"/>
      <c r="DYQ86" s="396"/>
      <c r="DYR86" s="452"/>
      <c r="DYS86" s="412"/>
      <c r="DYT86" s="415"/>
      <c r="DYU86" s="413"/>
      <c r="DZE86" s="396"/>
      <c r="DZF86" s="452"/>
      <c r="DZG86" s="412"/>
      <c r="DZH86" s="415"/>
      <c r="DZI86" s="413"/>
      <c r="DZS86" s="396"/>
      <c r="DZT86" s="452"/>
      <c r="DZU86" s="412"/>
      <c r="DZV86" s="415"/>
      <c r="DZW86" s="413"/>
      <c r="EAG86" s="396"/>
      <c r="EAH86" s="452"/>
      <c r="EAI86" s="412"/>
      <c r="EAJ86" s="415"/>
      <c r="EAK86" s="413"/>
      <c r="EAU86" s="396"/>
      <c r="EAV86" s="452"/>
      <c r="EAW86" s="412"/>
      <c r="EAX86" s="415"/>
      <c r="EAY86" s="413"/>
      <c r="EBI86" s="396"/>
      <c r="EBJ86" s="452"/>
      <c r="EBK86" s="412"/>
      <c r="EBL86" s="415"/>
      <c r="EBM86" s="413"/>
      <c r="EBW86" s="396"/>
      <c r="EBX86" s="452"/>
      <c r="EBY86" s="412"/>
      <c r="EBZ86" s="415"/>
      <c r="ECA86" s="413"/>
      <c r="ECK86" s="396"/>
      <c r="ECL86" s="452"/>
      <c r="ECM86" s="412"/>
      <c r="ECN86" s="415"/>
      <c r="ECO86" s="413"/>
      <c r="ECY86" s="396"/>
      <c r="ECZ86" s="452"/>
      <c r="EDA86" s="412"/>
      <c r="EDB86" s="415"/>
      <c r="EDC86" s="413"/>
      <c r="EDM86" s="396"/>
      <c r="EDN86" s="452"/>
      <c r="EDO86" s="412"/>
      <c r="EDP86" s="415"/>
      <c r="EDQ86" s="413"/>
      <c r="EEA86" s="396"/>
      <c r="EEB86" s="452"/>
      <c r="EEC86" s="412"/>
      <c r="EED86" s="415"/>
      <c r="EEE86" s="413"/>
      <c r="EEO86" s="396"/>
      <c r="EEP86" s="452"/>
      <c r="EEQ86" s="412"/>
      <c r="EER86" s="415"/>
      <c r="EES86" s="413"/>
      <c r="EFC86" s="396"/>
      <c r="EFD86" s="452"/>
      <c r="EFE86" s="412"/>
      <c r="EFF86" s="415"/>
      <c r="EFG86" s="413"/>
      <c r="EFQ86" s="396"/>
      <c r="EFR86" s="452"/>
      <c r="EFS86" s="412"/>
      <c r="EFT86" s="415"/>
      <c r="EFU86" s="413"/>
      <c r="EGE86" s="396"/>
      <c r="EGF86" s="452"/>
      <c r="EGG86" s="412"/>
      <c r="EGH86" s="415"/>
      <c r="EGI86" s="413"/>
      <c r="EGS86" s="396"/>
      <c r="EGT86" s="452"/>
      <c r="EGU86" s="412"/>
      <c r="EGV86" s="415"/>
      <c r="EGW86" s="413"/>
      <c r="EHG86" s="396"/>
      <c r="EHH86" s="452"/>
      <c r="EHI86" s="412"/>
      <c r="EHJ86" s="415"/>
      <c r="EHK86" s="413"/>
      <c r="EHU86" s="396"/>
      <c r="EHV86" s="452"/>
      <c r="EHW86" s="412"/>
      <c r="EHX86" s="415"/>
      <c r="EHY86" s="413"/>
      <c r="EII86" s="396"/>
      <c r="EIJ86" s="452"/>
      <c r="EIK86" s="412"/>
      <c r="EIL86" s="415"/>
      <c r="EIM86" s="413"/>
      <c r="EIW86" s="396"/>
      <c r="EIX86" s="452"/>
      <c r="EIY86" s="412"/>
      <c r="EIZ86" s="415"/>
      <c r="EJA86" s="413"/>
      <c r="EJK86" s="396"/>
      <c r="EJL86" s="452"/>
      <c r="EJM86" s="412"/>
      <c r="EJN86" s="415"/>
      <c r="EJO86" s="413"/>
      <c r="EJY86" s="396"/>
      <c r="EJZ86" s="452"/>
      <c r="EKA86" s="412"/>
      <c r="EKB86" s="415"/>
      <c r="EKC86" s="413"/>
      <c r="EKM86" s="396"/>
      <c r="EKN86" s="452"/>
      <c r="EKO86" s="412"/>
      <c r="EKP86" s="415"/>
      <c r="EKQ86" s="413"/>
      <c r="ELA86" s="396"/>
      <c r="ELB86" s="452"/>
      <c r="ELC86" s="412"/>
      <c r="ELD86" s="415"/>
      <c r="ELE86" s="413"/>
      <c r="ELO86" s="396"/>
      <c r="ELP86" s="452"/>
      <c r="ELQ86" s="412"/>
      <c r="ELR86" s="415"/>
      <c r="ELS86" s="413"/>
      <c r="EMC86" s="396"/>
      <c r="EMD86" s="452"/>
      <c r="EME86" s="412"/>
      <c r="EMF86" s="415"/>
      <c r="EMG86" s="413"/>
      <c r="EMQ86" s="396"/>
      <c r="EMR86" s="452"/>
      <c r="EMS86" s="412"/>
      <c r="EMT86" s="415"/>
      <c r="EMU86" s="413"/>
      <c r="ENE86" s="396"/>
      <c r="ENF86" s="452"/>
      <c r="ENG86" s="412"/>
      <c r="ENH86" s="415"/>
      <c r="ENI86" s="413"/>
      <c r="ENS86" s="396"/>
      <c r="ENT86" s="452"/>
      <c r="ENU86" s="412"/>
      <c r="ENV86" s="415"/>
      <c r="ENW86" s="413"/>
      <c r="EOG86" s="396"/>
      <c r="EOH86" s="452"/>
      <c r="EOI86" s="412"/>
      <c r="EOJ86" s="415"/>
      <c r="EOK86" s="413"/>
      <c r="EOU86" s="396"/>
      <c r="EOV86" s="452"/>
      <c r="EOW86" s="412"/>
      <c r="EOX86" s="415"/>
      <c r="EOY86" s="413"/>
      <c r="EPI86" s="396"/>
      <c r="EPJ86" s="452"/>
      <c r="EPK86" s="412"/>
      <c r="EPL86" s="415"/>
      <c r="EPM86" s="413"/>
      <c r="EPW86" s="396"/>
      <c r="EPX86" s="452"/>
      <c r="EPY86" s="412"/>
      <c r="EPZ86" s="415"/>
      <c r="EQA86" s="413"/>
      <c r="EQK86" s="396"/>
      <c r="EQL86" s="452"/>
      <c r="EQM86" s="412"/>
      <c r="EQN86" s="415"/>
      <c r="EQO86" s="413"/>
      <c r="EQY86" s="396"/>
      <c r="EQZ86" s="452"/>
      <c r="ERA86" s="412"/>
      <c r="ERB86" s="415"/>
      <c r="ERC86" s="413"/>
      <c r="ERM86" s="396"/>
      <c r="ERN86" s="452"/>
      <c r="ERO86" s="412"/>
      <c r="ERP86" s="415"/>
      <c r="ERQ86" s="413"/>
      <c r="ESA86" s="396"/>
      <c r="ESB86" s="452"/>
      <c r="ESC86" s="412"/>
      <c r="ESD86" s="415"/>
      <c r="ESE86" s="413"/>
      <c r="ESO86" s="396"/>
      <c r="ESP86" s="452"/>
      <c r="ESQ86" s="412"/>
      <c r="ESR86" s="415"/>
      <c r="ESS86" s="413"/>
      <c r="ETC86" s="396"/>
      <c r="ETD86" s="452"/>
      <c r="ETE86" s="412"/>
      <c r="ETF86" s="415"/>
      <c r="ETG86" s="413"/>
      <c r="ETQ86" s="396"/>
      <c r="ETR86" s="452"/>
      <c r="ETS86" s="412"/>
      <c r="ETT86" s="415"/>
      <c r="ETU86" s="413"/>
      <c r="EUE86" s="396"/>
      <c r="EUF86" s="452"/>
      <c r="EUG86" s="412"/>
      <c r="EUH86" s="415"/>
      <c r="EUI86" s="413"/>
      <c r="EUS86" s="396"/>
      <c r="EUT86" s="452"/>
      <c r="EUU86" s="412"/>
      <c r="EUV86" s="415"/>
      <c r="EUW86" s="413"/>
      <c r="EVG86" s="396"/>
      <c r="EVH86" s="452"/>
      <c r="EVI86" s="412"/>
      <c r="EVJ86" s="415"/>
      <c r="EVK86" s="413"/>
      <c r="EVU86" s="396"/>
      <c r="EVV86" s="452"/>
      <c r="EVW86" s="412"/>
      <c r="EVX86" s="415"/>
      <c r="EVY86" s="413"/>
      <c r="EWI86" s="396"/>
      <c r="EWJ86" s="452"/>
      <c r="EWK86" s="412"/>
      <c r="EWL86" s="415"/>
      <c r="EWM86" s="413"/>
      <c r="EWW86" s="396"/>
      <c r="EWX86" s="452"/>
      <c r="EWY86" s="412"/>
      <c r="EWZ86" s="415"/>
      <c r="EXA86" s="413"/>
      <c r="EXK86" s="396"/>
      <c r="EXL86" s="452"/>
      <c r="EXM86" s="412"/>
      <c r="EXN86" s="415"/>
      <c r="EXO86" s="413"/>
      <c r="EXY86" s="396"/>
      <c r="EXZ86" s="452"/>
      <c r="EYA86" s="412"/>
      <c r="EYB86" s="415"/>
      <c r="EYC86" s="413"/>
      <c r="EYM86" s="396"/>
      <c r="EYN86" s="452"/>
      <c r="EYO86" s="412"/>
      <c r="EYP86" s="415"/>
      <c r="EYQ86" s="413"/>
      <c r="EZA86" s="396"/>
      <c r="EZB86" s="452"/>
      <c r="EZC86" s="412"/>
      <c r="EZD86" s="415"/>
      <c r="EZE86" s="413"/>
      <c r="EZO86" s="396"/>
      <c r="EZP86" s="452"/>
      <c r="EZQ86" s="412"/>
      <c r="EZR86" s="415"/>
      <c r="EZS86" s="413"/>
      <c r="FAC86" s="396"/>
      <c r="FAD86" s="452"/>
      <c r="FAE86" s="412"/>
      <c r="FAF86" s="415"/>
      <c r="FAG86" s="413"/>
      <c r="FAQ86" s="396"/>
      <c r="FAR86" s="452"/>
      <c r="FAS86" s="412"/>
      <c r="FAT86" s="415"/>
      <c r="FAU86" s="413"/>
      <c r="FBE86" s="396"/>
      <c r="FBF86" s="452"/>
      <c r="FBG86" s="412"/>
      <c r="FBH86" s="415"/>
      <c r="FBI86" s="413"/>
      <c r="FBS86" s="396"/>
      <c r="FBT86" s="452"/>
      <c r="FBU86" s="412"/>
      <c r="FBV86" s="415"/>
      <c r="FBW86" s="413"/>
      <c r="FCG86" s="396"/>
      <c r="FCH86" s="452"/>
      <c r="FCI86" s="412"/>
      <c r="FCJ86" s="415"/>
      <c r="FCK86" s="413"/>
      <c r="FCU86" s="396"/>
      <c r="FCV86" s="452"/>
      <c r="FCW86" s="412"/>
      <c r="FCX86" s="415"/>
      <c r="FCY86" s="413"/>
      <c r="FDI86" s="396"/>
      <c r="FDJ86" s="452"/>
      <c r="FDK86" s="412"/>
      <c r="FDL86" s="415"/>
      <c r="FDM86" s="413"/>
      <c r="FDW86" s="396"/>
      <c r="FDX86" s="452"/>
      <c r="FDY86" s="412"/>
      <c r="FDZ86" s="415"/>
      <c r="FEA86" s="413"/>
      <c r="FEK86" s="396"/>
      <c r="FEL86" s="452"/>
      <c r="FEM86" s="412"/>
      <c r="FEN86" s="415"/>
      <c r="FEO86" s="413"/>
      <c r="FEY86" s="396"/>
      <c r="FEZ86" s="452"/>
      <c r="FFA86" s="412"/>
      <c r="FFB86" s="415"/>
      <c r="FFC86" s="413"/>
      <c r="FFM86" s="396"/>
      <c r="FFN86" s="452"/>
      <c r="FFO86" s="412"/>
      <c r="FFP86" s="415"/>
      <c r="FFQ86" s="413"/>
      <c r="FGA86" s="396"/>
      <c r="FGB86" s="452"/>
      <c r="FGC86" s="412"/>
      <c r="FGD86" s="415"/>
      <c r="FGE86" s="413"/>
      <c r="FGO86" s="396"/>
      <c r="FGP86" s="452"/>
      <c r="FGQ86" s="412"/>
      <c r="FGR86" s="415"/>
      <c r="FGS86" s="413"/>
      <c r="FHC86" s="396"/>
      <c r="FHD86" s="452"/>
      <c r="FHE86" s="412"/>
      <c r="FHF86" s="415"/>
      <c r="FHG86" s="413"/>
      <c r="FHQ86" s="396"/>
      <c r="FHR86" s="452"/>
      <c r="FHS86" s="412"/>
      <c r="FHT86" s="415"/>
      <c r="FHU86" s="413"/>
      <c r="FIE86" s="396"/>
      <c r="FIF86" s="452"/>
      <c r="FIG86" s="412"/>
      <c r="FIH86" s="415"/>
      <c r="FII86" s="413"/>
      <c r="FIS86" s="396"/>
      <c r="FIT86" s="452"/>
      <c r="FIU86" s="412"/>
      <c r="FIV86" s="415"/>
      <c r="FIW86" s="413"/>
      <c r="FJG86" s="396"/>
      <c r="FJH86" s="452"/>
      <c r="FJI86" s="412"/>
      <c r="FJJ86" s="415"/>
      <c r="FJK86" s="413"/>
      <c r="FJU86" s="396"/>
      <c r="FJV86" s="452"/>
      <c r="FJW86" s="412"/>
      <c r="FJX86" s="415"/>
      <c r="FJY86" s="413"/>
      <c r="FKI86" s="396"/>
      <c r="FKJ86" s="452"/>
      <c r="FKK86" s="412"/>
      <c r="FKL86" s="415"/>
      <c r="FKM86" s="413"/>
      <c r="FKW86" s="396"/>
      <c r="FKX86" s="452"/>
      <c r="FKY86" s="412"/>
      <c r="FKZ86" s="415"/>
      <c r="FLA86" s="413"/>
      <c r="FLK86" s="396"/>
      <c r="FLL86" s="452"/>
      <c r="FLM86" s="412"/>
      <c r="FLN86" s="415"/>
      <c r="FLO86" s="413"/>
      <c r="FLY86" s="396"/>
      <c r="FLZ86" s="452"/>
      <c r="FMA86" s="412"/>
      <c r="FMB86" s="415"/>
      <c r="FMC86" s="413"/>
      <c r="FMM86" s="396"/>
      <c r="FMN86" s="452"/>
      <c r="FMO86" s="412"/>
      <c r="FMP86" s="415"/>
      <c r="FMQ86" s="413"/>
      <c r="FNA86" s="396"/>
      <c r="FNB86" s="452"/>
      <c r="FNC86" s="412"/>
      <c r="FND86" s="415"/>
      <c r="FNE86" s="413"/>
      <c r="FNO86" s="396"/>
      <c r="FNP86" s="452"/>
      <c r="FNQ86" s="412"/>
      <c r="FNR86" s="415"/>
      <c r="FNS86" s="413"/>
      <c r="FOC86" s="396"/>
      <c r="FOD86" s="452"/>
      <c r="FOE86" s="412"/>
      <c r="FOF86" s="415"/>
      <c r="FOG86" s="413"/>
      <c r="FOQ86" s="396"/>
      <c r="FOR86" s="452"/>
      <c r="FOS86" s="412"/>
      <c r="FOT86" s="415"/>
      <c r="FOU86" s="413"/>
      <c r="FPE86" s="396"/>
      <c r="FPF86" s="452"/>
      <c r="FPG86" s="412"/>
      <c r="FPH86" s="415"/>
      <c r="FPI86" s="413"/>
      <c r="FPS86" s="396"/>
      <c r="FPT86" s="452"/>
      <c r="FPU86" s="412"/>
      <c r="FPV86" s="415"/>
      <c r="FPW86" s="413"/>
      <c r="FQG86" s="396"/>
      <c r="FQH86" s="452"/>
      <c r="FQI86" s="412"/>
      <c r="FQJ86" s="415"/>
      <c r="FQK86" s="413"/>
      <c r="FQU86" s="396"/>
      <c r="FQV86" s="452"/>
      <c r="FQW86" s="412"/>
      <c r="FQX86" s="415"/>
      <c r="FQY86" s="413"/>
      <c r="FRI86" s="396"/>
      <c r="FRJ86" s="452"/>
      <c r="FRK86" s="412"/>
      <c r="FRL86" s="415"/>
      <c r="FRM86" s="413"/>
      <c r="FRW86" s="396"/>
      <c r="FRX86" s="452"/>
      <c r="FRY86" s="412"/>
      <c r="FRZ86" s="415"/>
      <c r="FSA86" s="413"/>
      <c r="FSK86" s="396"/>
      <c r="FSL86" s="452"/>
      <c r="FSM86" s="412"/>
      <c r="FSN86" s="415"/>
      <c r="FSO86" s="413"/>
      <c r="FSY86" s="396"/>
      <c r="FSZ86" s="452"/>
      <c r="FTA86" s="412"/>
      <c r="FTB86" s="415"/>
      <c r="FTC86" s="413"/>
      <c r="FTM86" s="396"/>
      <c r="FTN86" s="452"/>
      <c r="FTO86" s="412"/>
      <c r="FTP86" s="415"/>
      <c r="FTQ86" s="413"/>
      <c r="FUA86" s="396"/>
      <c r="FUB86" s="452"/>
      <c r="FUC86" s="412"/>
      <c r="FUD86" s="415"/>
      <c r="FUE86" s="413"/>
      <c r="FUO86" s="396"/>
      <c r="FUP86" s="452"/>
      <c r="FUQ86" s="412"/>
      <c r="FUR86" s="415"/>
      <c r="FUS86" s="413"/>
      <c r="FVC86" s="396"/>
      <c r="FVD86" s="452"/>
      <c r="FVE86" s="412"/>
      <c r="FVF86" s="415"/>
      <c r="FVG86" s="413"/>
      <c r="FVQ86" s="396"/>
      <c r="FVR86" s="452"/>
      <c r="FVS86" s="412"/>
      <c r="FVT86" s="415"/>
      <c r="FVU86" s="413"/>
      <c r="FWE86" s="396"/>
      <c r="FWF86" s="452"/>
      <c r="FWG86" s="412"/>
      <c r="FWH86" s="415"/>
      <c r="FWI86" s="413"/>
      <c r="FWS86" s="396"/>
      <c r="FWT86" s="452"/>
      <c r="FWU86" s="412"/>
      <c r="FWV86" s="415"/>
      <c r="FWW86" s="413"/>
      <c r="FXG86" s="396"/>
      <c r="FXH86" s="452"/>
      <c r="FXI86" s="412"/>
      <c r="FXJ86" s="415"/>
      <c r="FXK86" s="413"/>
      <c r="FXU86" s="396"/>
      <c r="FXV86" s="452"/>
      <c r="FXW86" s="412"/>
      <c r="FXX86" s="415"/>
      <c r="FXY86" s="413"/>
      <c r="FYI86" s="396"/>
      <c r="FYJ86" s="452"/>
      <c r="FYK86" s="412"/>
      <c r="FYL86" s="415"/>
      <c r="FYM86" s="413"/>
      <c r="FYW86" s="396"/>
      <c r="FYX86" s="452"/>
      <c r="FYY86" s="412"/>
      <c r="FYZ86" s="415"/>
      <c r="FZA86" s="413"/>
      <c r="FZK86" s="396"/>
      <c r="FZL86" s="452"/>
      <c r="FZM86" s="412"/>
      <c r="FZN86" s="415"/>
      <c r="FZO86" s="413"/>
      <c r="FZY86" s="396"/>
      <c r="FZZ86" s="452"/>
      <c r="GAA86" s="412"/>
      <c r="GAB86" s="415"/>
      <c r="GAC86" s="413"/>
      <c r="GAM86" s="396"/>
      <c r="GAN86" s="452"/>
      <c r="GAO86" s="412"/>
      <c r="GAP86" s="415"/>
      <c r="GAQ86" s="413"/>
      <c r="GBA86" s="396"/>
      <c r="GBB86" s="452"/>
      <c r="GBC86" s="412"/>
      <c r="GBD86" s="415"/>
      <c r="GBE86" s="413"/>
      <c r="GBO86" s="396"/>
      <c r="GBP86" s="452"/>
      <c r="GBQ86" s="412"/>
      <c r="GBR86" s="415"/>
      <c r="GBS86" s="413"/>
      <c r="GCC86" s="396"/>
      <c r="GCD86" s="452"/>
      <c r="GCE86" s="412"/>
      <c r="GCF86" s="415"/>
      <c r="GCG86" s="413"/>
      <c r="GCQ86" s="396"/>
      <c r="GCR86" s="452"/>
      <c r="GCS86" s="412"/>
      <c r="GCT86" s="415"/>
      <c r="GCU86" s="413"/>
      <c r="GDE86" s="396"/>
      <c r="GDF86" s="452"/>
      <c r="GDG86" s="412"/>
      <c r="GDH86" s="415"/>
      <c r="GDI86" s="413"/>
      <c r="GDS86" s="396"/>
      <c r="GDT86" s="452"/>
      <c r="GDU86" s="412"/>
      <c r="GDV86" s="415"/>
      <c r="GDW86" s="413"/>
      <c r="GEG86" s="396"/>
      <c r="GEH86" s="452"/>
      <c r="GEI86" s="412"/>
      <c r="GEJ86" s="415"/>
      <c r="GEK86" s="413"/>
      <c r="GEU86" s="396"/>
      <c r="GEV86" s="452"/>
      <c r="GEW86" s="412"/>
      <c r="GEX86" s="415"/>
      <c r="GEY86" s="413"/>
      <c r="GFI86" s="396"/>
      <c r="GFJ86" s="452"/>
      <c r="GFK86" s="412"/>
      <c r="GFL86" s="415"/>
      <c r="GFM86" s="413"/>
      <c r="GFW86" s="396"/>
      <c r="GFX86" s="452"/>
      <c r="GFY86" s="412"/>
      <c r="GFZ86" s="415"/>
      <c r="GGA86" s="413"/>
      <c r="GGK86" s="396"/>
      <c r="GGL86" s="452"/>
      <c r="GGM86" s="412"/>
      <c r="GGN86" s="415"/>
      <c r="GGO86" s="413"/>
      <c r="GGY86" s="396"/>
      <c r="GGZ86" s="452"/>
      <c r="GHA86" s="412"/>
      <c r="GHB86" s="415"/>
      <c r="GHC86" s="413"/>
      <c r="GHM86" s="396"/>
      <c r="GHN86" s="452"/>
      <c r="GHO86" s="412"/>
      <c r="GHP86" s="415"/>
      <c r="GHQ86" s="413"/>
      <c r="GIA86" s="396"/>
      <c r="GIB86" s="452"/>
      <c r="GIC86" s="412"/>
      <c r="GID86" s="415"/>
      <c r="GIE86" s="413"/>
      <c r="GIO86" s="396"/>
      <c r="GIP86" s="452"/>
      <c r="GIQ86" s="412"/>
      <c r="GIR86" s="415"/>
      <c r="GIS86" s="413"/>
      <c r="GJC86" s="396"/>
      <c r="GJD86" s="452"/>
      <c r="GJE86" s="412"/>
      <c r="GJF86" s="415"/>
      <c r="GJG86" s="413"/>
      <c r="GJQ86" s="396"/>
      <c r="GJR86" s="452"/>
      <c r="GJS86" s="412"/>
      <c r="GJT86" s="415"/>
      <c r="GJU86" s="413"/>
      <c r="GKE86" s="396"/>
      <c r="GKF86" s="452"/>
      <c r="GKG86" s="412"/>
      <c r="GKH86" s="415"/>
      <c r="GKI86" s="413"/>
      <c r="GKS86" s="396"/>
      <c r="GKT86" s="452"/>
      <c r="GKU86" s="412"/>
      <c r="GKV86" s="415"/>
      <c r="GKW86" s="413"/>
      <c r="GLG86" s="396"/>
      <c r="GLH86" s="452"/>
      <c r="GLI86" s="412"/>
      <c r="GLJ86" s="415"/>
      <c r="GLK86" s="413"/>
      <c r="GLU86" s="396"/>
      <c r="GLV86" s="452"/>
      <c r="GLW86" s="412"/>
      <c r="GLX86" s="415"/>
      <c r="GLY86" s="413"/>
      <c r="GMI86" s="396"/>
      <c r="GMJ86" s="452"/>
      <c r="GMK86" s="412"/>
      <c r="GML86" s="415"/>
      <c r="GMM86" s="413"/>
      <c r="GMW86" s="396"/>
      <c r="GMX86" s="452"/>
      <c r="GMY86" s="412"/>
      <c r="GMZ86" s="415"/>
      <c r="GNA86" s="413"/>
      <c r="GNK86" s="396"/>
      <c r="GNL86" s="452"/>
      <c r="GNM86" s="412"/>
      <c r="GNN86" s="415"/>
      <c r="GNO86" s="413"/>
      <c r="GNY86" s="396"/>
      <c r="GNZ86" s="452"/>
      <c r="GOA86" s="412"/>
      <c r="GOB86" s="415"/>
      <c r="GOC86" s="413"/>
      <c r="GOM86" s="396"/>
      <c r="GON86" s="452"/>
      <c r="GOO86" s="412"/>
      <c r="GOP86" s="415"/>
      <c r="GOQ86" s="413"/>
      <c r="GPA86" s="396"/>
      <c r="GPB86" s="452"/>
      <c r="GPC86" s="412"/>
      <c r="GPD86" s="415"/>
      <c r="GPE86" s="413"/>
      <c r="GPO86" s="396"/>
      <c r="GPP86" s="452"/>
      <c r="GPQ86" s="412"/>
      <c r="GPR86" s="415"/>
      <c r="GPS86" s="413"/>
      <c r="GQC86" s="396"/>
      <c r="GQD86" s="452"/>
      <c r="GQE86" s="412"/>
      <c r="GQF86" s="415"/>
      <c r="GQG86" s="413"/>
      <c r="GQQ86" s="396"/>
      <c r="GQR86" s="452"/>
      <c r="GQS86" s="412"/>
      <c r="GQT86" s="415"/>
      <c r="GQU86" s="413"/>
      <c r="GRE86" s="396"/>
      <c r="GRF86" s="452"/>
      <c r="GRG86" s="412"/>
      <c r="GRH86" s="415"/>
      <c r="GRI86" s="413"/>
      <c r="GRS86" s="396"/>
      <c r="GRT86" s="452"/>
      <c r="GRU86" s="412"/>
      <c r="GRV86" s="415"/>
      <c r="GRW86" s="413"/>
      <c r="GSG86" s="396"/>
      <c r="GSH86" s="452"/>
      <c r="GSI86" s="412"/>
      <c r="GSJ86" s="415"/>
      <c r="GSK86" s="413"/>
      <c r="GSU86" s="396"/>
      <c r="GSV86" s="452"/>
      <c r="GSW86" s="412"/>
      <c r="GSX86" s="415"/>
      <c r="GSY86" s="413"/>
      <c r="GTI86" s="396"/>
      <c r="GTJ86" s="452"/>
      <c r="GTK86" s="412"/>
      <c r="GTL86" s="415"/>
      <c r="GTM86" s="413"/>
      <c r="GTW86" s="396"/>
      <c r="GTX86" s="452"/>
      <c r="GTY86" s="412"/>
      <c r="GTZ86" s="415"/>
      <c r="GUA86" s="413"/>
      <c r="GUK86" s="396"/>
      <c r="GUL86" s="452"/>
      <c r="GUM86" s="412"/>
      <c r="GUN86" s="415"/>
      <c r="GUO86" s="413"/>
      <c r="GUY86" s="396"/>
      <c r="GUZ86" s="452"/>
      <c r="GVA86" s="412"/>
      <c r="GVB86" s="415"/>
      <c r="GVC86" s="413"/>
      <c r="GVM86" s="396"/>
      <c r="GVN86" s="452"/>
      <c r="GVO86" s="412"/>
      <c r="GVP86" s="415"/>
      <c r="GVQ86" s="413"/>
      <c r="GWA86" s="396"/>
      <c r="GWB86" s="452"/>
      <c r="GWC86" s="412"/>
      <c r="GWD86" s="415"/>
      <c r="GWE86" s="413"/>
      <c r="GWO86" s="396"/>
      <c r="GWP86" s="452"/>
      <c r="GWQ86" s="412"/>
      <c r="GWR86" s="415"/>
      <c r="GWS86" s="413"/>
      <c r="GXC86" s="396"/>
      <c r="GXD86" s="452"/>
      <c r="GXE86" s="412"/>
      <c r="GXF86" s="415"/>
      <c r="GXG86" s="413"/>
      <c r="GXQ86" s="396"/>
      <c r="GXR86" s="452"/>
      <c r="GXS86" s="412"/>
      <c r="GXT86" s="415"/>
      <c r="GXU86" s="413"/>
      <c r="GYE86" s="396"/>
      <c r="GYF86" s="452"/>
      <c r="GYG86" s="412"/>
      <c r="GYH86" s="415"/>
      <c r="GYI86" s="413"/>
      <c r="GYS86" s="396"/>
      <c r="GYT86" s="452"/>
      <c r="GYU86" s="412"/>
      <c r="GYV86" s="415"/>
      <c r="GYW86" s="413"/>
      <c r="GZG86" s="396"/>
      <c r="GZH86" s="452"/>
      <c r="GZI86" s="412"/>
      <c r="GZJ86" s="415"/>
      <c r="GZK86" s="413"/>
      <c r="GZU86" s="396"/>
      <c r="GZV86" s="452"/>
      <c r="GZW86" s="412"/>
      <c r="GZX86" s="415"/>
      <c r="GZY86" s="413"/>
      <c r="HAI86" s="396"/>
      <c r="HAJ86" s="452"/>
      <c r="HAK86" s="412"/>
      <c r="HAL86" s="415"/>
      <c r="HAM86" s="413"/>
      <c r="HAW86" s="396"/>
      <c r="HAX86" s="452"/>
      <c r="HAY86" s="412"/>
      <c r="HAZ86" s="415"/>
      <c r="HBA86" s="413"/>
      <c r="HBK86" s="396"/>
      <c r="HBL86" s="452"/>
      <c r="HBM86" s="412"/>
      <c r="HBN86" s="415"/>
      <c r="HBO86" s="413"/>
      <c r="HBY86" s="396"/>
      <c r="HBZ86" s="452"/>
      <c r="HCA86" s="412"/>
      <c r="HCB86" s="415"/>
      <c r="HCC86" s="413"/>
      <c r="HCM86" s="396"/>
      <c r="HCN86" s="452"/>
      <c r="HCO86" s="412"/>
      <c r="HCP86" s="415"/>
      <c r="HCQ86" s="413"/>
      <c r="HDA86" s="396"/>
      <c r="HDB86" s="452"/>
      <c r="HDC86" s="412"/>
      <c r="HDD86" s="415"/>
      <c r="HDE86" s="413"/>
      <c r="HDO86" s="396"/>
      <c r="HDP86" s="452"/>
      <c r="HDQ86" s="412"/>
      <c r="HDR86" s="415"/>
      <c r="HDS86" s="413"/>
      <c r="HEC86" s="396"/>
      <c r="HED86" s="452"/>
      <c r="HEE86" s="412"/>
      <c r="HEF86" s="415"/>
      <c r="HEG86" s="413"/>
      <c r="HEQ86" s="396"/>
      <c r="HER86" s="452"/>
      <c r="HES86" s="412"/>
      <c r="HET86" s="415"/>
      <c r="HEU86" s="413"/>
      <c r="HFE86" s="396"/>
      <c r="HFF86" s="452"/>
      <c r="HFG86" s="412"/>
      <c r="HFH86" s="415"/>
      <c r="HFI86" s="413"/>
      <c r="HFS86" s="396"/>
      <c r="HFT86" s="452"/>
      <c r="HFU86" s="412"/>
      <c r="HFV86" s="415"/>
      <c r="HFW86" s="413"/>
      <c r="HGG86" s="396"/>
      <c r="HGH86" s="452"/>
      <c r="HGI86" s="412"/>
      <c r="HGJ86" s="415"/>
      <c r="HGK86" s="413"/>
      <c r="HGU86" s="396"/>
      <c r="HGV86" s="452"/>
      <c r="HGW86" s="412"/>
      <c r="HGX86" s="415"/>
      <c r="HGY86" s="413"/>
      <c r="HHI86" s="396"/>
      <c r="HHJ86" s="452"/>
      <c r="HHK86" s="412"/>
      <c r="HHL86" s="415"/>
      <c r="HHM86" s="413"/>
      <c r="HHW86" s="396"/>
      <c r="HHX86" s="452"/>
      <c r="HHY86" s="412"/>
      <c r="HHZ86" s="415"/>
      <c r="HIA86" s="413"/>
      <c r="HIK86" s="396"/>
      <c r="HIL86" s="452"/>
      <c r="HIM86" s="412"/>
      <c r="HIN86" s="415"/>
      <c r="HIO86" s="413"/>
      <c r="HIY86" s="396"/>
      <c r="HIZ86" s="452"/>
      <c r="HJA86" s="412"/>
      <c r="HJB86" s="415"/>
      <c r="HJC86" s="413"/>
      <c r="HJM86" s="396"/>
      <c r="HJN86" s="452"/>
      <c r="HJO86" s="412"/>
      <c r="HJP86" s="415"/>
      <c r="HJQ86" s="413"/>
      <c r="HKA86" s="396"/>
      <c r="HKB86" s="452"/>
      <c r="HKC86" s="412"/>
      <c r="HKD86" s="415"/>
      <c r="HKE86" s="413"/>
      <c r="HKO86" s="396"/>
      <c r="HKP86" s="452"/>
      <c r="HKQ86" s="412"/>
      <c r="HKR86" s="415"/>
      <c r="HKS86" s="413"/>
      <c r="HLC86" s="396"/>
      <c r="HLD86" s="452"/>
      <c r="HLE86" s="412"/>
      <c r="HLF86" s="415"/>
      <c r="HLG86" s="413"/>
      <c r="HLQ86" s="396"/>
      <c r="HLR86" s="452"/>
      <c r="HLS86" s="412"/>
      <c r="HLT86" s="415"/>
      <c r="HLU86" s="413"/>
      <c r="HME86" s="396"/>
      <c r="HMF86" s="452"/>
      <c r="HMG86" s="412"/>
      <c r="HMH86" s="415"/>
      <c r="HMI86" s="413"/>
      <c r="HMS86" s="396"/>
      <c r="HMT86" s="452"/>
      <c r="HMU86" s="412"/>
      <c r="HMV86" s="415"/>
      <c r="HMW86" s="413"/>
      <c r="HNG86" s="396"/>
      <c r="HNH86" s="452"/>
      <c r="HNI86" s="412"/>
      <c r="HNJ86" s="415"/>
      <c r="HNK86" s="413"/>
      <c r="HNU86" s="396"/>
      <c r="HNV86" s="452"/>
      <c r="HNW86" s="412"/>
      <c r="HNX86" s="415"/>
      <c r="HNY86" s="413"/>
      <c r="HOI86" s="396"/>
      <c r="HOJ86" s="452"/>
      <c r="HOK86" s="412"/>
      <c r="HOL86" s="415"/>
      <c r="HOM86" s="413"/>
      <c r="HOW86" s="396"/>
      <c r="HOX86" s="452"/>
      <c r="HOY86" s="412"/>
      <c r="HOZ86" s="415"/>
      <c r="HPA86" s="413"/>
      <c r="HPK86" s="396"/>
      <c r="HPL86" s="452"/>
      <c r="HPM86" s="412"/>
      <c r="HPN86" s="415"/>
      <c r="HPO86" s="413"/>
      <c r="HPY86" s="396"/>
      <c r="HPZ86" s="452"/>
      <c r="HQA86" s="412"/>
      <c r="HQB86" s="415"/>
      <c r="HQC86" s="413"/>
      <c r="HQM86" s="396"/>
      <c r="HQN86" s="452"/>
      <c r="HQO86" s="412"/>
      <c r="HQP86" s="415"/>
      <c r="HQQ86" s="413"/>
      <c r="HRA86" s="396"/>
      <c r="HRB86" s="452"/>
      <c r="HRC86" s="412"/>
      <c r="HRD86" s="415"/>
      <c r="HRE86" s="413"/>
      <c r="HRO86" s="396"/>
      <c r="HRP86" s="452"/>
      <c r="HRQ86" s="412"/>
      <c r="HRR86" s="415"/>
      <c r="HRS86" s="413"/>
      <c r="HSC86" s="396"/>
      <c r="HSD86" s="452"/>
      <c r="HSE86" s="412"/>
      <c r="HSF86" s="415"/>
      <c r="HSG86" s="413"/>
      <c r="HSQ86" s="396"/>
      <c r="HSR86" s="452"/>
      <c r="HSS86" s="412"/>
      <c r="HST86" s="415"/>
      <c r="HSU86" s="413"/>
      <c r="HTE86" s="396"/>
      <c r="HTF86" s="452"/>
      <c r="HTG86" s="412"/>
      <c r="HTH86" s="415"/>
      <c r="HTI86" s="413"/>
      <c r="HTS86" s="396"/>
      <c r="HTT86" s="452"/>
      <c r="HTU86" s="412"/>
      <c r="HTV86" s="415"/>
      <c r="HTW86" s="413"/>
      <c r="HUG86" s="396"/>
      <c r="HUH86" s="452"/>
      <c r="HUI86" s="412"/>
      <c r="HUJ86" s="415"/>
      <c r="HUK86" s="413"/>
      <c r="HUU86" s="396"/>
      <c r="HUV86" s="452"/>
      <c r="HUW86" s="412"/>
      <c r="HUX86" s="415"/>
      <c r="HUY86" s="413"/>
      <c r="HVI86" s="396"/>
      <c r="HVJ86" s="452"/>
      <c r="HVK86" s="412"/>
      <c r="HVL86" s="415"/>
      <c r="HVM86" s="413"/>
      <c r="HVW86" s="396"/>
      <c r="HVX86" s="452"/>
      <c r="HVY86" s="412"/>
      <c r="HVZ86" s="415"/>
      <c r="HWA86" s="413"/>
      <c r="HWK86" s="396"/>
      <c r="HWL86" s="452"/>
      <c r="HWM86" s="412"/>
      <c r="HWN86" s="415"/>
      <c r="HWO86" s="413"/>
      <c r="HWY86" s="396"/>
      <c r="HWZ86" s="452"/>
      <c r="HXA86" s="412"/>
      <c r="HXB86" s="415"/>
      <c r="HXC86" s="413"/>
      <c r="HXM86" s="396"/>
      <c r="HXN86" s="452"/>
      <c r="HXO86" s="412"/>
      <c r="HXP86" s="415"/>
      <c r="HXQ86" s="413"/>
      <c r="HYA86" s="396"/>
      <c r="HYB86" s="452"/>
      <c r="HYC86" s="412"/>
      <c r="HYD86" s="415"/>
      <c r="HYE86" s="413"/>
      <c r="HYO86" s="396"/>
      <c r="HYP86" s="452"/>
      <c r="HYQ86" s="412"/>
      <c r="HYR86" s="415"/>
      <c r="HYS86" s="413"/>
      <c r="HZC86" s="396"/>
      <c r="HZD86" s="452"/>
      <c r="HZE86" s="412"/>
      <c r="HZF86" s="415"/>
      <c r="HZG86" s="413"/>
      <c r="HZQ86" s="396"/>
      <c r="HZR86" s="452"/>
      <c r="HZS86" s="412"/>
      <c r="HZT86" s="415"/>
      <c r="HZU86" s="413"/>
      <c r="IAE86" s="396"/>
      <c r="IAF86" s="452"/>
      <c r="IAG86" s="412"/>
      <c r="IAH86" s="415"/>
      <c r="IAI86" s="413"/>
      <c r="IAS86" s="396"/>
      <c r="IAT86" s="452"/>
      <c r="IAU86" s="412"/>
      <c r="IAV86" s="415"/>
      <c r="IAW86" s="413"/>
      <c r="IBG86" s="396"/>
      <c r="IBH86" s="452"/>
      <c r="IBI86" s="412"/>
      <c r="IBJ86" s="415"/>
      <c r="IBK86" s="413"/>
      <c r="IBU86" s="396"/>
      <c r="IBV86" s="452"/>
      <c r="IBW86" s="412"/>
      <c r="IBX86" s="415"/>
      <c r="IBY86" s="413"/>
      <c r="ICI86" s="396"/>
      <c r="ICJ86" s="452"/>
      <c r="ICK86" s="412"/>
      <c r="ICL86" s="415"/>
      <c r="ICM86" s="413"/>
      <c r="ICW86" s="396"/>
      <c r="ICX86" s="452"/>
      <c r="ICY86" s="412"/>
      <c r="ICZ86" s="415"/>
      <c r="IDA86" s="413"/>
      <c r="IDK86" s="396"/>
      <c r="IDL86" s="452"/>
      <c r="IDM86" s="412"/>
      <c r="IDN86" s="415"/>
      <c r="IDO86" s="413"/>
      <c r="IDY86" s="396"/>
      <c r="IDZ86" s="452"/>
      <c r="IEA86" s="412"/>
      <c r="IEB86" s="415"/>
      <c r="IEC86" s="413"/>
      <c r="IEM86" s="396"/>
      <c r="IEN86" s="452"/>
      <c r="IEO86" s="412"/>
      <c r="IEP86" s="415"/>
      <c r="IEQ86" s="413"/>
      <c r="IFA86" s="396"/>
      <c r="IFB86" s="452"/>
      <c r="IFC86" s="412"/>
      <c r="IFD86" s="415"/>
      <c r="IFE86" s="413"/>
      <c r="IFO86" s="396"/>
      <c r="IFP86" s="452"/>
      <c r="IFQ86" s="412"/>
      <c r="IFR86" s="415"/>
      <c r="IFS86" s="413"/>
      <c r="IGC86" s="396"/>
      <c r="IGD86" s="452"/>
      <c r="IGE86" s="412"/>
      <c r="IGF86" s="415"/>
      <c r="IGG86" s="413"/>
      <c r="IGQ86" s="396"/>
      <c r="IGR86" s="452"/>
      <c r="IGS86" s="412"/>
      <c r="IGT86" s="415"/>
      <c r="IGU86" s="413"/>
      <c r="IHE86" s="396"/>
      <c r="IHF86" s="452"/>
      <c r="IHG86" s="412"/>
      <c r="IHH86" s="415"/>
      <c r="IHI86" s="413"/>
      <c r="IHS86" s="396"/>
      <c r="IHT86" s="452"/>
      <c r="IHU86" s="412"/>
      <c r="IHV86" s="415"/>
      <c r="IHW86" s="413"/>
      <c r="IIG86" s="396"/>
      <c r="IIH86" s="452"/>
      <c r="III86" s="412"/>
      <c r="IIJ86" s="415"/>
      <c r="IIK86" s="413"/>
      <c r="IIU86" s="396"/>
      <c r="IIV86" s="452"/>
      <c r="IIW86" s="412"/>
      <c r="IIX86" s="415"/>
      <c r="IIY86" s="413"/>
      <c r="IJI86" s="396"/>
      <c r="IJJ86" s="452"/>
      <c r="IJK86" s="412"/>
      <c r="IJL86" s="415"/>
      <c r="IJM86" s="413"/>
      <c r="IJW86" s="396"/>
      <c r="IJX86" s="452"/>
      <c r="IJY86" s="412"/>
      <c r="IJZ86" s="415"/>
      <c r="IKA86" s="413"/>
      <c r="IKK86" s="396"/>
      <c r="IKL86" s="452"/>
      <c r="IKM86" s="412"/>
      <c r="IKN86" s="415"/>
      <c r="IKO86" s="413"/>
      <c r="IKY86" s="396"/>
      <c r="IKZ86" s="452"/>
      <c r="ILA86" s="412"/>
      <c r="ILB86" s="415"/>
      <c r="ILC86" s="413"/>
      <c r="ILM86" s="396"/>
      <c r="ILN86" s="452"/>
      <c r="ILO86" s="412"/>
      <c r="ILP86" s="415"/>
      <c r="ILQ86" s="413"/>
      <c r="IMA86" s="396"/>
      <c r="IMB86" s="452"/>
      <c r="IMC86" s="412"/>
      <c r="IMD86" s="415"/>
      <c r="IME86" s="413"/>
      <c r="IMO86" s="396"/>
      <c r="IMP86" s="452"/>
      <c r="IMQ86" s="412"/>
      <c r="IMR86" s="415"/>
      <c r="IMS86" s="413"/>
      <c r="INC86" s="396"/>
      <c r="IND86" s="452"/>
      <c r="INE86" s="412"/>
      <c r="INF86" s="415"/>
      <c r="ING86" s="413"/>
      <c r="INQ86" s="396"/>
      <c r="INR86" s="452"/>
      <c r="INS86" s="412"/>
      <c r="INT86" s="415"/>
      <c r="INU86" s="413"/>
      <c r="IOE86" s="396"/>
      <c r="IOF86" s="452"/>
      <c r="IOG86" s="412"/>
      <c r="IOH86" s="415"/>
      <c r="IOI86" s="413"/>
      <c r="IOS86" s="396"/>
      <c r="IOT86" s="452"/>
      <c r="IOU86" s="412"/>
      <c r="IOV86" s="415"/>
      <c r="IOW86" s="413"/>
      <c r="IPG86" s="396"/>
      <c r="IPH86" s="452"/>
      <c r="IPI86" s="412"/>
      <c r="IPJ86" s="415"/>
      <c r="IPK86" s="413"/>
      <c r="IPU86" s="396"/>
      <c r="IPV86" s="452"/>
      <c r="IPW86" s="412"/>
      <c r="IPX86" s="415"/>
      <c r="IPY86" s="413"/>
      <c r="IQI86" s="396"/>
      <c r="IQJ86" s="452"/>
      <c r="IQK86" s="412"/>
      <c r="IQL86" s="415"/>
      <c r="IQM86" s="413"/>
      <c r="IQW86" s="396"/>
      <c r="IQX86" s="452"/>
      <c r="IQY86" s="412"/>
      <c r="IQZ86" s="415"/>
      <c r="IRA86" s="413"/>
      <c r="IRK86" s="396"/>
      <c r="IRL86" s="452"/>
      <c r="IRM86" s="412"/>
      <c r="IRN86" s="415"/>
      <c r="IRO86" s="413"/>
      <c r="IRY86" s="396"/>
      <c r="IRZ86" s="452"/>
      <c r="ISA86" s="412"/>
      <c r="ISB86" s="415"/>
      <c r="ISC86" s="413"/>
      <c r="ISM86" s="396"/>
      <c r="ISN86" s="452"/>
      <c r="ISO86" s="412"/>
      <c r="ISP86" s="415"/>
      <c r="ISQ86" s="413"/>
      <c r="ITA86" s="396"/>
      <c r="ITB86" s="452"/>
      <c r="ITC86" s="412"/>
      <c r="ITD86" s="415"/>
      <c r="ITE86" s="413"/>
      <c r="ITO86" s="396"/>
      <c r="ITP86" s="452"/>
      <c r="ITQ86" s="412"/>
      <c r="ITR86" s="415"/>
      <c r="ITS86" s="413"/>
      <c r="IUC86" s="396"/>
      <c r="IUD86" s="452"/>
      <c r="IUE86" s="412"/>
      <c r="IUF86" s="415"/>
      <c r="IUG86" s="413"/>
      <c r="IUQ86" s="396"/>
      <c r="IUR86" s="452"/>
      <c r="IUS86" s="412"/>
      <c r="IUT86" s="415"/>
      <c r="IUU86" s="413"/>
      <c r="IVE86" s="396"/>
      <c r="IVF86" s="452"/>
      <c r="IVG86" s="412"/>
      <c r="IVH86" s="415"/>
      <c r="IVI86" s="413"/>
      <c r="IVS86" s="396"/>
      <c r="IVT86" s="452"/>
      <c r="IVU86" s="412"/>
      <c r="IVV86" s="415"/>
      <c r="IVW86" s="413"/>
      <c r="IWG86" s="396"/>
      <c r="IWH86" s="452"/>
      <c r="IWI86" s="412"/>
      <c r="IWJ86" s="415"/>
      <c r="IWK86" s="413"/>
      <c r="IWU86" s="396"/>
      <c r="IWV86" s="452"/>
      <c r="IWW86" s="412"/>
      <c r="IWX86" s="415"/>
      <c r="IWY86" s="413"/>
      <c r="IXI86" s="396"/>
      <c r="IXJ86" s="452"/>
      <c r="IXK86" s="412"/>
      <c r="IXL86" s="415"/>
      <c r="IXM86" s="413"/>
      <c r="IXW86" s="396"/>
      <c r="IXX86" s="452"/>
      <c r="IXY86" s="412"/>
      <c r="IXZ86" s="415"/>
      <c r="IYA86" s="413"/>
      <c r="IYK86" s="396"/>
      <c r="IYL86" s="452"/>
      <c r="IYM86" s="412"/>
      <c r="IYN86" s="415"/>
      <c r="IYO86" s="413"/>
      <c r="IYY86" s="396"/>
      <c r="IYZ86" s="452"/>
      <c r="IZA86" s="412"/>
      <c r="IZB86" s="415"/>
      <c r="IZC86" s="413"/>
      <c r="IZM86" s="396"/>
      <c r="IZN86" s="452"/>
      <c r="IZO86" s="412"/>
      <c r="IZP86" s="415"/>
      <c r="IZQ86" s="413"/>
      <c r="JAA86" s="396"/>
      <c r="JAB86" s="452"/>
      <c r="JAC86" s="412"/>
      <c r="JAD86" s="415"/>
      <c r="JAE86" s="413"/>
      <c r="JAO86" s="396"/>
      <c r="JAP86" s="452"/>
      <c r="JAQ86" s="412"/>
      <c r="JAR86" s="415"/>
      <c r="JAS86" s="413"/>
      <c r="JBC86" s="396"/>
      <c r="JBD86" s="452"/>
      <c r="JBE86" s="412"/>
      <c r="JBF86" s="415"/>
      <c r="JBG86" s="413"/>
      <c r="JBQ86" s="396"/>
      <c r="JBR86" s="452"/>
      <c r="JBS86" s="412"/>
      <c r="JBT86" s="415"/>
      <c r="JBU86" s="413"/>
      <c r="JCE86" s="396"/>
      <c r="JCF86" s="452"/>
      <c r="JCG86" s="412"/>
      <c r="JCH86" s="415"/>
      <c r="JCI86" s="413"/>
      <c r="JCS86" s="396"/>
      <c r="JCT86" s="452"/>
      <c r="JCU86" s="412"/>
      <c r="JCV86" s="415"/>
      <c r="JCW86" s="413"/>
      <c r="JDG86" s="396"/>
      <c r="JDH86" s="452"/>
      <c r="JDI86" s="412"/>
      <c r="JDJ86" s="415"/>
      <c r="JDK86" s="413"/>
      <c r="JDU86" s="396"/>
      <c r="JDV86" s="452"/>
      <c r="JDW86" s="412"/>
      <c r="JDX86" s="415"/>
      <c r="JDY86" s="413"/>
      <c r="JEI86" s="396"/>
      <c r="JEJ86" s="452"/>
      <c r="JEK86" s="412"/>
      <c r="JEL86" s="415"/>
      <c r="JEM86" s="413"/>
      <c r="JEW86" s="396"/>
      <c r="JEX86" s="452"/>
      <c r="JEY86" s="412"/>
      <c r="JEZ86" s="415"/>
      <c r="JFA86" s="413"/>
      <c r="JFK86" s="396"/>
      <c r="JFL86" s="452"/>
      <c r="JFM86" s="412"/>
      <c r="JFN86" s="415"/>
      <c r="JFO86" s="413"/>
      <c r="JFY86" s="396"/>
      <c r="JFZ86" s="452"/>
      <c r="JGA86" s="412"/>
      <c r="JGB86" s="415"/>
      <c r="JGC86" s="413"/>
      <c r="JGM86" s="396"/>
      <c r="JGN86" s="452"/>
      <c r="JGO86" s="412"/>
      <c r="JGP86" s="415"/>
      <c r="JGQ86" s="413"/>
      <c r="JHA86" s="396"/>
      <c r="JHB86" s="452"/>
      <c r="JHC86" s="412"/>
      <c r="JHD86" s="415"/>
      <c r="JHE86" s="413"/>
      <c r="JHO86" s="396"/>
      <c r="JHP86" s="452"/>
      <c r="JHQ86" s="412"/>
      <c r="JHR86" s="415"/>
      <c r="JHS86" s="413"/>
      <c r="JIC86" s="396"/>
      <c r="JID86" s="452"/>
      <c r="JIE86" s="412"/>
      <c r="JIF86" s="415"/>
      <c r="JIG86" s="413"/>
      <c r="JIQ86" s="396"/>
      <c r="JIR86" s="452"/>
      <c r="JIS86" s="412"/>
      <c r="JIT86" s="415"/>
      <c r="JIU86" s="413"/>
      <c r="JJE86" s="396"/>
      <c r="JJF86" s="452"/>
      <c r="JJG86" s="412"/>
      <c r="JJH86" s="415"/>
      <c r="JJI86" s="413"/>
      <c r="JJS86" s="396"/>
      <c r="JJT86" s="452"/>
      <c r="JJU86" s="412"/>
      <c r="JJV86" s="415"/>
      <c r="JJW86" s="413"/>
      <c r="JKG86" s="396"/>
      <c r="JKH86" s="452"/>
      <c r="JKI86" s="412"/>
      <c r="JKJ86" s="415"/>
      <c r="JKK86" s="413"/>
      <c r="JKU86" s="396"/>
      <c r="JKV86" s="452"/>
      <c r="JKW86" s="412"/>
      <c r="JKX86" s="415"/>
      <c r="JKY86" s="413"/>
      <c r="JLI86" s="396"/>
      <c r="JLJ86" s="452"/>
      <c r="JLK86" s="412"/>
      <c r="JLL86" s="415"/>
      <c r="JLM86" s="413"/>
      <c r="JLW86" s="396"/>
      <c r="JLX86" s="452"/>
      <c r="JLY86" s="412"/>
      <c r="JLZ86" s="415"/>
      <c r="JMA86" s="413"/>
      <c r="JMK86" s="396"/>
      <c r="JML86" s="452"/>
      <c r="JMM86" s="412"/>
      <c r="JMN86" s="415"/>
      <c r="JMO86" s="413"/>
      <c r="JMY86" s="396"/>
      <c r="JMZ86" s="452"/>
      <c r="JNA86" s="412"/>
      <c r="JNB86" s="415"/>
      <c r="JNC86" s="413"/>
      <c r="JNM86" s="396"/>
      <c r="JNN86" s="452"/>
      <c r="JNO86" s="412"/>
      <c r="JNP86" s="415"/>
      <c r="JNQ86" s="413"/>
      <c r="JOA86" s="396"/>
      <c r="JOB86" s="452"/>
      <c r="JOC86" s="412"/>
      <c r="JOD86" s="415"/>
      <c r="JOE86" s="413"/>
      <c r="JOO86" s="396"/>
      <c r="JOP86" s="452"/>
      <c r="JOQ86" s="412"/>
      <c r="JOR86" s="415"/>
      <c r="JOS86" s="413"/>
      <c r="JPC86" s="396"/>
      <c r="JPD86" s="452"/>
      <c r="JPE86" s="412"/>
      <c r="JPF86" s="415"/>
      <c r="JPG86" s="413"/>
      <c r="JPQ86" s="396"/>
      <c r="JPR86" s="452"/>
      <c r="JPS86" s="412"/>
      <c r="JPT86" s="415"/>
      <c r="JPU86" s="413"/>
      <c r="JQE86" s="396"/>
      <c r="JQF86" s="452"/>
      <c r="JQG86" s="412"/>
      <c r="JQH86" s="415"/>
      <c r="JQI86" s="413"/>
      <c r="JQS86" s="396"/>
      <c r="JQT86" s="452"/>
      <c r="JQU86" s="412"/>
      <c r="JQV86" s="415"/>
      <c r="JQW86" s="413"/>
      <c r="JRG86" s="396"/>
      <c r="JRH86" s="452"/>
      <c r="JRI86" s="412"/>
      <c r="JRJ86" s="415"/>
      <c r="JRK86" s="413"/>
      <c r="JRU86" s="396"/>
      <c r="JRV86" s="452"/>
      <c r="JRW86" s="412"/>
      <c r="JRX86" s="415"/>
      <c r="JRY86" s="413"/>
      <c r="JSI86" s="396"/>
      <c r="JSJ86" s="452"/>
      <c r="JSK86" s="412"/>
      <c r="JSL86" s="415"/>
      <c r="JSM86" s="413"/>
      <c r="JSW86" s="396"/>
      <c r="JSX86" s="452"/>
      <c r="JSY86" s="412"/>
      <c r="JSZ86" s="415"/>
      <c r="JTA86" s="413"/>
      <c r="JTK86" s="396"/>
      <c r="JTL86" s="452"/>
      <c r="JTM86" s="412"/>
      <c r="JTN86" s="415"/>
      <c r="JTO86" s="413"/>
      <c r="JTY86" s="396"/>
      <c r="JTZ86" s="452"/>
      <c r="JUA86" s="412"/>
      <c r="JUB86" s="415"/>
      <c r="JUC86" s="413"/>
      <c r="JUM86" s="396"/>
      <c r="JUN86" s="452"/>
      <c r="JUO86" s="412"/>
      <c r="JUP86" s="415"/>
      <c r="JUQ86" s="413"/>
      <c r="JVA86" s="396"/>
      <c r="JVB86" s="452"/>
      <c r="JVC86" s="412"/>
      <c r="JVD86" s="415"/>
      <c r="JVE86" s="413"/>
      <c r="JVO86" s="396"/>
      <c r="JVP86" s="452"/>
      <c r="JVQ86" s="412"/>
      <c r="JVR86" s="415"/>
      <c r="JVS86" s="413"/>
      <c r="JWC86" s="396"/>
      <c r="JWD86" s="452"/>
      <c r="JWE86" s="412"/>
      <c r="JWF86" s="415"/>
      <c r="JWG86" s="413"/>
      <c r="JWQ86" s="396"/>
      <c r="JWR86" s="452"/>
      <c r="JWS86" s="412"/>
      <c r="JWT86" s="415"/>
      <c r="JWU86" s="413"/>
      <c r="JXE86" s="396"/>
      <c r="JXF86" s="452"/>
      <c r="JXG86" s="412"/>
      <c r="JXH86" s="415"/>
      <c r="JXI86" s="413"/>
      <c r="JXS86" s="396"/>
      <c r="JXT86" s="452"/>
      <c r="JXU86" s="412"/>
      <c r="JXV86" s="415"/>
      <c r="JXW86" s="413"/>
      <c r="JYG86" s="396"/>
      <c r="JYH86" s="452"/>
      <c r="JYI86" s="412"/>
      <c r="JYJ86" s="415"/>
      <c r="JYK86" s="413"/>
      <c r="JYU86" s="396"/>
      <c r="JYV86" s="452"/>
      <c r="JYW86" s="412"/>
      <c r="JYX86" s="415"/>
      <c r="JYY86" s="413"/>
      <c r="JZI86" s="396"/>
      <c r="JZJ86" s="452"/>
      <c r="JZK86" s="412"/>
      <c r="JZL86" s="415"/>
      <c r="JZM86" s="413"/>
      <c r="JZW86" s="396"/>
      <c r="JZX86" s="452"/>
      <c r="JZY86" s="412"/>
      <c r="JZZ86" s="415"/>
      <c r="KAA86" s="413"/>
      <c r="KAK86" s="396"/>
      <c r="KAL86" s="452"/>
      <c r="KAM86" s="412"/>
      <c r="KAN86" s="415"/>
      <c r="KAO86" s="413"/>
      <c r="KAY86" s="396"/>
      <c r="KAZ86" s="452"/>
      <c r="KBA86" s="412"/>
      <c r="KBB86" s="415"/>
      <c r="KBC86" s="413"/>
      <c r="KBM86" s="396"/>
      <c r="KBN86" s="452"/>
      <c r="KBO86" s="412"/>
      <c r="KBP86" s="415"/>
      <c r="KBQ86" s="413"/>
      <c r="KCA86" s="396"/>
      <c r="KCB86" s="452"/>
      <c r="KCC86" s="412"/>
      <c r="KCD86" s="415"/>
      <c r="KCE86" s="413"/>
      <c r="KCO86" s="396"/>
      <c r="KCP86" s="452"/>
      <c r="KCQ86" s="412"/>
      <c r="KCR86" s="415"/>
      <c r="KCS86" s="413"/>
      <c r="KDC86" s="396"/>
      <c r="KDD86" s="452"/>
      <c r="KDE86" s="412"/>
      <c r="KDF86" s="415"/>
      <c r="KDG86" s="413"/>
      <c r="KDQ86" s="396"/>
      <c r="KDR86" s="452"/>
      <c r="KDS86" s="412"/>
      <c r="KDT86" s="415"/>
      <c r="KDU86" s="413"/>
      <c r="KEE86" s="396"/>
      <c r="KEF86" s="452"/>
      <c r="KEG86" s="412"/>
      <c r="KEH86" s="415"/>
      <c r="KEI86" s="413"/>
      <c r="KES86" s="396"/>
      <c r="KET86" s="452"/>
      <c r="KEU86" s="412"/>
      <c r="KEV86" s="415"/>
      <c r="KEW86" s="413"/>
      <c r="KFG86" s="396"/>
      <c r="KFH86" s="452"/>
      <c r="KFI86" s="412"/>
      <c r="KFJ86" s="415"/>
      <c r="KFK86" s="413"/>
      <c r="KFU86" s="396"/>
      <c r="KFV86" s="452"/>
      <c r="KFW86" s="412"/>
      <c r="KFX86" s="415"/>
      <c r="KFY86" s="413"/>
      <c r="KGI86" s="396"/>
      <c r="KGJ86" s="452"/>
      <c r="KGK86" s="412"/>
      <c r="KGL86" s="415"/>
      <c r="KGM86" s="413"/>
      <c r="KGW86" s="396"/>
      <c r="KGX86" s="452"/>
      <c r="KGY86" s="412"/>
      <c r="KGZ86" s="415"/>
      <c r="KHA86" s="413"/>
      <c r="KHK86" s="396"/>
      <c r="KHL86" s="452"/>
      <c r="KHM86" s="412"/>
      <c r="KHN86" s="415"/>
      <c r="KHO86" s="413"/>
      <c r="KHY86" s="396"/>
      <c r="KHZ86" s="452"/>
      <c r="KIA86" s="412"/>
      <c r="KIB86" s="415"/>
      <c r="KIC86" s="413"/>
      <c r="KIM86" s="396"/>
      <c r="KIN86" s="452"/>
      <c r="KIO86" s="412"/>
      <c r="KIP86" s="415"/>
      <c r="KIQ86" s="413"/>
      <c r="KJA86" s="396"/>
      <c r="KJB86" s="452"/>
      <c r="KJC86" s="412"/>
      <c r="KJD86" s="415"/>
      <c r="KJE86" s="413"/>
      <c r="KJO86" s="396"/>
      <c r="KJP86" s="452"/>
      <c r="KJQ86" s="412"/>
      <c r="KJR86" s="415"/>
      <c r="KJS86" s="413"/>
      <c r="KKC86" s="396"/>
      <c r="KKD86" s="452"/>
      <c r="KKE86" s="412"/>
      <c r="KKF86" s="415"/>
      <c r="KKG86" s="413"/>
      <c r="KKQ86" s="396"/>
      <c r="KKR86" s="452"/>
      <c r="KKS86" s="412"/>
      <c r="KKT86" s="415"/>
      <c r="KKU86" s="413"/>
      <c r="KLE86" s="396"/>
      <c r="KLF86" s="452"/>
      <c r="KLG86" s="412"/>
      <c r="KLH86" s="415"/>
      <c r="KLI86" s="413"/>
      <c r="KLS86" s="396"/>
      <c r="KLT86" s="452"/>
      <c r="KLU86" s="412"/>
      <c r="KLV86" s="415"/>
      <c r="KLW86" s="413"/>
      <c r="KMG86" s="396"/>
      <c r="KMH86" s="452"/>
      <c r="KMI86" s="412"/>
      <c r="KMJ86" s="415"/>
      <c r="KMK86" s="413"/>
      <c r="KMU86" s="396"/>
      <c r="KMV86" s="452"/>
      <c r="KMW86" s="412"/>
      <c r="KMX86" s="415"/>
      <c r="KMY86" s="413"/>
      <c r="KNI86" s="396"/>
      <c r="KNJ86" s="452"/>
      <c r="KNK86" s="412"/>
      <c r="KNL86" s="415"/>
      <c r="KNM86" s="413"/>
      <c r="KNW86" s="396"/>
      <c r="KNX86" s="452"/>
      <c r="KNY86" s="412"/>
      <c r="KNZ86" s="415"/>
      <c r="KOA86" s="413"/>
      <c r="KOK86" s="396"/>
      <c r="KOL86" s="452"/>
      <c r="KOM86" s="412"/>
      <c r="KON86" s="415"/>
      <c r="KOO86" s="413"/>
      <c r="KOY86" s="396"/>
      <c r="KOZ86" s="452"/>
      <c r="KPA86" s="412"/>
      <c r="KPB86" s="415"/>
      <c r="KPC86" s="413"/>
      <c r="KPM86" s="396"/>
      <c r="KPN86" s="452"/>
      <c r="KPO86" s="412"/>
      <c r="KPP86" s="415"/>
      <c r="KPQ86" s="413"/>
      <c r="KQA86" s="396"/>
      <c r="KQB86" s="452"/>
      <c r="KQC86" s="412"/>
      <c r="KQD86" s="415"/>
      <c r="KQE86" s="413"/>
      <c r="KQO86" s="396"/>
      <c r="KQP86" s="452"/>
      <c r="KQQ86" s="412"/>
      <c r="KQR86" s="415"/>
      <c r="KQS86" s="413"/>
      <c r="KRC86" s="396"/>
      <c r="KRD86" s="452"/>
      <c r="KRE86" s="412"/>
      <c r="KRF86" s="415"/>
      <c r="KRG86" s="413"/>
      <c r="KRQ86" s="396"/>
      <c r="KRR86" s="452"/>
      <c r="KRS86" s="412"/>
      <c r="KRT86" s="415"/>
      <c r="KRU86" s="413"/>
      <c r="KSE86" s="396"/>
      <c r="KSF86" s="452"/>
      <c r="KSG86" s="412"/>
      <c r="KSH86" s="415"/>
      <c r="KSI86" s="413"/>
      <c r="KSS86" s="396"/>
      <c r="KST86" s="452"/>
      <c r="KSU86" s="412"/>
      <c r="KSV86" s="415"/>
      <c r="KSW86" s="413"/>
      <c r="KTG86" s="396"/>
      <c r="KTH86" s="452"/>
      <c r="KTI86" s="412"/>
      <c r="KTJ86" s="415"/>
      <c r="KTK86" s="413"/>
      <c r="KTU86" s="396"/>
      <c r="KTV86" s="452"/>
      <c r="KTW86" s="412"/>
      <c r="KTX86" s="415"/>
      <c r="KTY86" s="413"/>
      <c r="KUI86" s="396"/>
      <c r="KUJ86" s="452"/>
      <c r="KUK86" s="412"/>
      <c r="KUL86" s="415"/>
      <c r="KUM86" s="413"/>
      <c r="KUW86" s="396"/>
      <c r="KUX86" s="452"/>
      <c r="KUY86" s="412"/>
      <c r="KUZ86" s="415"/>
      <c r="KVA86" s="413"/>
      <c r="KVK86" s="396"/>
      <c r="KVL86" s="452"/>
      <c r="KVM86" s="412"/>
      <c r="KVN86" s="415"/>
      <c r="KVO86" s="413"/>
      <c r="KVY86" s="396"/>
      <c r="KVZ86" s="452"/>
      <c r="KWA86" s="412"/>
      <c r="KWB86" s="415"/>
      <c r="KWC86" s="413"/>
      <c r="KWM86" s="396"/>
      <c r="KWN86" s="452"/>
      <c r="KWO86" s="412"/>
      <c r="KWP86" s="415"/>
      <c r="KWQ86" s="413"/>
      <c r="KXA86" s="396"/>
      <c r="KXB86" s="452"/>
      <c r="KXC86" s="412"/>
      <c r="KXD86" s="415"/>
      <c r="KXE86" s="413"/>
      <c r="KXO86" s="396"/>
      <c r="KXP86" s="452"/>
      <c r="KXQ86" s="412"/>
      <c r="KXR86" s="415"/>
      <c r="KXS86" s="413"/>
      <c r="KYC86" s="396"/>
      <c r="KYD86" s="452"/>
      <c r="KYE86" s="412"/>
      <c r="KYF86" s="415"/>
      <c r="KYG86" s="413"/>
      <c r="KYQ86" s="396"/>
      <c r="KYR86" s="452"/>
      <c r="KYS86" s="412"/>
      <c r="KYT86" s="415"/>
      <c r="KYU86" s="413"/>
      <c r="KZE86" s="396"/>
      <c r="KZF86" s="452"/>
      <c r="KZG86" s="412"/>
      <c r="KZH86" s="415"/>
      <c r="KZI86" s="413"/>
      <c r="KZS86" s="396"/>
      <c r="KZT86" s="452"/>
      <c r="KZU86" s="412"/>
      <c r="KZV86" s="415"/>
      <c r="KZW86" s="413"/>
      <c r="LAG86" s="396"/>
      <c r="LAH86" s="452"/>
      <c r="LAI86" s="412"/>
      <c r="LAJ86" s="415"/>
      <c r="LAK86" s="413"/>
      <c r="LAU86" s="396"/>
      <c r="LAV86" s="452"/>
      <c r="LAW86" s="412"/>
      <c r="LAX86" s="415"/>
      <c r="LAY86" s="413"/>
      <c r="LBI86" s="396"/>
      <c r="LBJ86" s="452"/>
      <c r="LBK86" s="412"/>
      <c r="LBL86" s="415"/>
      <c r="LBM86" s="413"/>
      <c r="LBW86" s="396"/>
      <c r="LBX86" s="452"/>
      <c r="LBY86" s="412"/>
      <c r="LBZ86" s="415"/>
      <c r="LCA86" s="413"/>
      <c r="LCK86" s="396"/>
      <c r="LCL86" s="452"/>
      <c r="LCM86" s="412"/>
      <c r="LCN86" s="415"/>
      <c r="LCO86" s="413"/>
      <c r="LCY86" s="396"/>
      <c r="LCZ86" s="452"/>
      <c r="LDA86" s="412"/>
      <c r="LDB86" s="415"/>
      <c r="LDC86" s="413"/>
      <c r="LDM86" s="396"/>
      <c r="LDN86" s="452"/>
      <c r="LDO86" s="412"/>
      <c r="LDP86" s="415"/>
      <c r="LDQ86" s="413"/>
      <c r="LEA86" s="396"/>
      <c r="LEB86" s="452"/>
      <c r="LEC86" s="412"/>
      <c r="LED86" s="415"/>
      <c r="LEE86" s="413"/>
      <c r="LEO86" s="396"/>
      <c r="LEP86" s="452"/>
      <c r="LEQ86" s="412"/>
      <c r="LER86" s="415"/>
      <c r="LES86" s="413"/>
      <c r="LFC86" s="396"/>
      <c r="LFD86" s="452"/>
      <c r="LFE86" s="412"/>
      <c r="LFF86" s="415"/>
      <c r="LFG86" s="413"/>
      <c r="LFQ86" s="396"/>
      <c r="LFR86" s="452"/>
      <c r="LFS86" s="412"/>
      <c r="LFT86" s="415"/>
      <c r="LFU86" s="413"/>
      <c r="LGE86" s="396"/>
      <c r="LGF86" s="452"/>
      <c r="LGG86" s="412"/>
      <c r="LGH86" s="415"/>
      <c r="LGI86" s="413"/>
      <c r="LGS86" s="396"/>
      <c r="LGT86" s="452"/>
      <c r="LGU86" s="412"/>
      <c r="LGV86" s="415"/>
      <c r="LGW86" s="413"/>
      <c r="LHG86" s="396"/>
      <c r="LHH86" s="452"/>
      <c r="LHI86" s="412"/>
      <c r="LHJ86" s="415"/>
      <c r="LHK86" s="413"/>
      <c r="LHU86" s="396"/>
      <c r="LHV86" s="452"/>
      <c r="LHW86" s="412"/>
      <c r="LHX86" s="415"/>
      <c r="LHY86" s="413"/>
      <c r="LII86" s="396"/>
      <c r="LIJ86" s="452"/>
      <c r="LIK86" s="412"/>
      <c r="LIL86" s="415"/>
      <c r="LIM86" s="413"/>
      <c r="LIW86" s="396"/>
      <c r="LIX86" s="452"/>
      <c r="LIY86" s="412"/>
      <c r="LIZ86" s="415"/>
      <c r="LJA86" s="413"/>
      <c r="LJK86" s="396"/>
      <c r="LJL86" s="452"/>
      <c r="LJM86" s="412"/>
      <c r="LJN86" s="415"/>
      <c r="LJO86" s="413"/>
      <c r="LJY86" s="396"/>
      <c r="LJZ86" s="452"/>
      <c r="LKA86" s="412"/>
      <c r="LKB86" s="415"/>
      <c r="LKC86" s="413"/>
      <c r="LKM86" s="396"/>
      <c r="LKN86" s="452"/>
      <c r="LKO86" s="412"/>
      <c r="LKP86" s="415"/>
      <c r="LKQ86" s="413"/>
      <c r="LLA86" s="396"/>
      <c r="LLB86" s="452"/>
      <c r="LLC86" s="412"/>
      <c r="LLD86" s="415"/>
      <c r="LLE86" s="413"/>
      <c r="LLO86" s="396"/>
      <c r="LLP86" s="452"/>
      <c r="LLQ86" s="412"/>
      <c r="LLR86" s="415"/>
      <c r="LLS86" s="413"/>
      <c r="LMC86" s="396"/>
      <c r="LMD86" s="452"/>
      <c r="LME86" s="412"/>
      <c r="LMF86" s="415"/>
      <c r="LMG86" s="413"/>
      <c r="LMQ86" s="396"/>
      <c r="LMR86" s="452"/>
      <c r="LMS86" s="412"/>
      <c r="LMT86" s="415"/>
      <c r="LMU86" s="413"/>
      <c r="LNE86" s="396"/>
      <c r="LNF86" s="452"/>
      <c r="LNG86" s="412"/>
      <c r="LNH86" s="415"/>
      <c r="LNI86" s="413"/>
      <c r="LNS86" s="396"/>
      <c r="LNT86" s="452"/>
      <c r="LNU86" s="412"/>
      <c r="LNV86" s="415"/>
      <c r="LNW86" s="413"/>
      <c r="LOG86" s="396"/>
      <c r="LOH86" s="452"/>
      <c r="LOI86" s="412"/>
      <c r="LOJ86" s="415"/>
      <c r="LOK86" s="413"/>
      <c r="LOU86" s="396"/>
      <c r="LOV86" s="452"/>
      <c r="LOW86" s="412"/>
      <c r="LOX86" s="415"/>
      <c r="LOY86" s="413"/>
      <c r="LPI86" s="396"/>
      <c r="LPJ86" s="452"/>
      <c r="LPK86" s="412"/>
      <c r="LPL86" s="415"/>
      <c r="LPM86" s="413"/>
      <c r="LPW86" s="396"/>
      <c r="LPX86" s="452"/>
      <c r="LPY86" s="412"/>
      <c r="LPZ86" s="415"/>
      <c r="LQA86" s="413"/>
      <c r="LQK86" s="396"/>
      <c r="LQL86" s="452"/>
      <c r="LQM86" s="412"/>
      <c r="LQN86" s="415"/>
      <c r="LQO86" s="413"/>
      <c r="LQY86" s="396"/>
      <c r="LQZ86" s="452"/>
      <c r="LRA86" s="412"/>
      <c r="LRB86" s="415"/>
      <c r="LRC86" s="413"/>
      <c r="LRM86" s="396"/>
      <c r="LRN86" s="452"/>
      <c r="LRO86" s="412"/>
      <c r="LRP86" s="415"/>
      <c r="LRQ86" s="413"/>
      <c r="LSA86" s="396"/>
      <c r="LSB86" s="452"/>
      <c r="LSC86" s="412"/>
      <c r="LSD86" s="415"/>
      <c r="LSE86" s="413"/>
      <c r="LSO86" s="396"/>
      <c r="LSP86" s="452"/>
      <c r="LSQ86" s="412"/>
      <c r="LSR86" s="415"/>
      <c r="LSS86" s="413"/>
      <c r="LTC86" s="396"/>
      <c r="LTD86" s="452"/>
      <c r="LTE86" s="412"/>
      <c r="LTF86" s="415"/>
      <c r="LTG86" s="413"/>
      <c r="LTQ86" s="396"/>
      <c r="LTR86" s="452"/>
      <c r="LTS86" s="412"/>
      <c r="LTT86" s="415"/>
      <c r="LTU86" s="413"/>
      <c r="LUE86" s="396"/>
      <c r="LUF86" s="452"/>
      <c r="LUG86" s="412"/>
      <c r="LUH86" s="415"/>
      <c r="LUI86" s="413"/>
      <c r="LUS86" s="396"/>
      <c r="LUT86" s="452"/>
      <c r="LUU86" s="412"/>
      <c r="LUV86" s="415"/>
      <c r="LUW86" s="413"/>
      <c r="LVG86" s="396"/>
      <c r="LVH86" s="452"/>
      <c r="LVI86" s="412"/>
      <c r="LVJ86" s="415"/>
      <c r="LVK86" s="413"/>
      <c r="LVU86" s="396"/>
      <c r="LVV86" s="452"/>
      <c r="LVW86" s="412"/>
      <c r="LVX86" s="415"/>
      <c r="LVY86" s="413"/>
      <c r="LWI86" s="396"/>
      <c r="LWJ86" s="452"/>
      <c r="LWK86" s="412"/>
      <c r="LWL86" s="415"/>
      <c r="LWM86" s="413"/>
      <c r="LWW86" s="396"/>
      <c r="LWX86" s="452"/>
      <c r="LWY86" s="412"/>
      <c r="LWZ86" s="415"/>
      <c r="LXA86" s="413"/>
      <c r="LXK86" s="396"/>
      <c r="LXL86" s="452"/>
      <c r="LXM86" s="412"/>
      <c r="LXN86" s="415"/>
      <c r="LXO86" s="413"/>
      <c r="LXY86" s="396"/>
      <c r="LXZ86" s="452"/>
      <c r="LYA86" s="412"/>
      <c r="LYB86" s="415"/>
      <c r="LYC86" s="413"/>
      <c r="LYM86" s="396"/>
      <c r="LYN86" s="452"/>
      <c r="LYO86" s="412"/>
      <c r="LYP86" s="415"/>
      <c r="LYQ86" s="413"/>
      <c r="LZA86" s="396"/>
      <c r="LZB86" s="452"/>
      <c r="LZC86" s="412"/>
      <c r="LZD86" s="415"/>
      <c r="LZE86" s="413"/>
      <c r="LZO86" s="396"/>
      <c r="LZP86" s="452"/>
      <c r="LZQ86" s="412"/>
      <c r="LZR86" s="415"/>
      <c r="LZS86" s="413"/>
      <c r="MAC86" s="396"/>
      <c r="MAD86" s="452"/>
      <c r="MAE86" s="412"/>
      <c r="MAF86" s="415"/>
      <c r="MAG86" s="413"/>
      <c r="MAQ86" s="396"/>
      <c r="MAR86" s="452"/>
      <c r="MAS86" s="412"/>
      <c r="MAT86" s="415"/>
      <c r="MAU86" s="413"/>
      <c r="MBE86" s="396"/>
      <c r="MBF86" s="452"/>
      <c r="MBG86" s="412"/>
      <c r="MBH86" s="415"/>
      <c r="MBI86" s="413"/>
      <c r="MBS86" s="396"/>
      <c r="MBT86" s="452"/>
      <c r="MBU86" s="412"/>
      <c r="MBV86" s="415"/>
      <c r="MBW86" s="413"/>
      <c r="MCG86" s="396"/>
      <c r="MCH86" s="452"/>
      <c r="MCI86" s="412"/>
      <c r="MCJ86" s="415"/>
      <c r="MCK86" s="413"/>
      <c r="MCU86" s="396"/>
      <c r="MCV86" s="452"/>
      <c r="MCW86" s="412"/>
      <c r="MCX86" s="415"/>
      <c r="MCY86" s="413"/>
      <c r="MDI86" s="396"/>
      <c r="MDJ86" s="452"/>
      <c r="MDK86" s="412"/>
      <c r="MDL86" s="415"/>
      <c r="MDM86" s="413"/>
      <c r="MDW86" s="396"/>
      <c r="MDX86" s="452"/>
      <c r="MDY86" s="412"/>
      <c r="MDZ86" s="415"/>
      <c r="MEA86" s="413"/>
      <c r="MEK86" s="396"/>
      <c r="MEL86" s="452"/>
      <c r="MEM86" s="412"/>
      <c r="MEN86" s="415"/>
      <c r="MEO86" s="413"/>
      <c r="MEY86" s="396"/>
      <c r="MEZ86" s="452"/>
      <c r="MFA86" s="412"/>
      <c r="MFB86" s="415"/>
      <c r="MFC86" s="413"/>
      <c r="MFM86" s="396"/>
      <c r="MFN86" s="452"/>
      <c r="MFO86" s="412"/>
      <c r="MFP86" s="415"/>
      <c r="MFQ86" s="413"/>
      <c r="MGA86" s="396"/>
      <c r="MGB86" s="452"/>
      <c r="MGC86" s="412"/>
      <c r="MGD86" s="415"/>
      <c r="MGE86" s="413"/>
      <c r="MGO86" s="396"/>
      <c r="MGP86" s="452"/>
      <c r="MGQ86" s="412"/>
      <c r="MGR86" s="415"/>
      <c r="MGS86" s="413"/>
      <c r="MHC86" s="396"/>
      <c r="MHD86" s="452"/>
      <c r="MHE86" s="412"/>
      <c r="MHF86" s="415"/>
      <c r="MHG86" s="413"/>
      <c r="MHQ86" s="396"/>
      <c r="MHR86" s="452"/>
      <c r="MHS86" s="412"/>
      <c r="MHT86" s="415"/>
      <c r="MHU86" s="413"/>
      <c r="MIE86" s="396"/>
      <c r="MIF86" s="452"/>
      <c r="MIG86" s="412"/>
      <c r="MIH86" s="415"/>
      <c r="MII86" s="413"/>
      <c r="MIS86" s="396"/>
      <c r="MIT86" s="452"/>
      <c r="MIU86" s="412"/>
      <c r="MIV86" s="415"/>
      <c r="MIW86" s="413"/>
      <c r="MJG86" s="396"/>
      <c r="MJH86" s="452"/>
      <c r="MJI86" s="412"/>
      <c r="MJJ86" s="415"/>
      <c r="MJK86" s="413"/>
      <c r="MJU86" s="396"/>
      <c r="MJV86" s="452"/>
      <c r="MJW86" s="412"/>
      <c r="MJX86" s="415"/>
      <c r="MJY86" s="413"/>
      <c r="MKI86" s="396"/>
      <c r="MKJ86" s="452"/>
      <c r="MKK86" s="412"/>
      <c r="MKL86" s="415"/>
      <c r="MKM86" s="413"/>
      <c r="MKW86" s="396"/>
      <c r="MKX86" s="452"/>
      <c r="MKY86" s="412"/>
      <c r="MKZ86" s="415"/>
      <c r="MLA86" s="413"/>
      <c r="MLK86" s="396"/>
      <c r="MLL86" s="452"/>
      <c r="MLM86" s="412"/>
      <c r="MLN86" s="415"/>
      <c r="MLO86" s="413"/>
      <c r="MLY86" s="396"/>
      <c r="MLZ86" s="452"/>
      <c r="MMA86" s="412"/>
      <c r="MMB86" s="415"/>
      <c r="MMC86" s="413"/>
      <c r="MMM86" s="396"/>
      <c r="MMN86" s="452"/>
      <c r="MMO86" s="412"/>
      <c r="MMP86" s="415"/>
      <c r="MMQ86" s="413"/>
      <c r="MNA86" s="396"/>
      <c r="MNB86" s="452"/>
      <c r="MNC86" s="412"/>
      <c r="MND86" s="415"/>
      <c r="MNE86" s="413"/>
      <c r="MNO86" s="396"/>
      <c r="MNP86" s="452"/>
      <c r="MNQ86" s="412"/>
      <c r="MNR86" s="415"/>
      <c r="MNS86" s="413"/>
      <c r="MOC86" s="396"/>
      <c r="MOD86" s="452"/>
      <c r="MOE86" s="412"/>
      <c r="MOF86" s="415"/>
      <c r="MOG86" s="413"/>
      <c r="MOQ86" s="396"/>
      <c r="MOR86" s="452"/>
      <c r="MOS86" s="412"/>
      <c r="MOT86" s="415"/>
      <c r="MOU86" s="413"/>
      <c r="MPE86" s="396"/>
      <c r="MPF86" s="452"/>
      <c r="MPG86" s="412"/>
      <c r="MPH86" s="415"/>
      <c r="MPI86" s="413"/>
      <c r="MPS86" s="396"/>
      <c r="MPT86" s="452"/>
      <c r="MPU86" s="412"/>
      <c r="MPV86" s="415"/>
      <c r="MPW86" s="413"/>
      <c r="MQG86" s="396"/>
      <c r="MQH86" s="452"/>
      <c r="MQI86" s="412"/>
      <c r="MQJ86" s="415"/>
      <c r="MQK86" s="413"/>
      <c r="MQU86" s="396"/>
      <c r="MQV86" s="452"/>
      <c r="MQW86" s="412"/>
      <c r="MQX86" s="415"/>
      <c r="MQY86" s="413"/>
      <c r="MRI86" s="396"/>
      <c r="MRJ86" s="452"/>
      <c r="MRK86" s="412"/>
      <c r="MRL86" s="415"/>
      <c r="MRM86" s="413"/>
      <c r="MRW86" s="396"/>
      <c r="MRX86" s="452"/>
      <c r="MRY86" s="412"/>
      <c r="MRZ86" s="415"/>
      <c r="MSA86" s="413"/>
      <c r="MSK86" s="396"/>
      <c r="MSL86" s="452"/>
      <c r="MSM86" s="412"/>
      <c r="MSN86" s="415"/>
      <c r="MSO86" s="413"/>
      <c r="MSY86" s="396"/>
      <c r="MSZ86" s="452"/>
      <c r="MTA86" s="412"/>
      <c r="MTB86" s="415"/>
      <c r="MTC86" s="413"/>
      <c r="MTM86" s="396"/>
      <c r="MTN86" s="452"/>
      <c r="MTO86" s="412"/>
      <c r="MTP86" s="415"/>
      <c r="MTQ86" s="413"/>
      <c r="MUA86" s="396"/>
      <c r="MUB86" s="452"/>
      <c r="MUC86" s="412"/>
      <c r="MUD86" s="415"/>
      <c r="MUE86" s="413"/>
      <c r="MUO86" s="396"/>
      <c r="MUP86" s="452"/>
      <c r="MUQ86" s="412"/>
      <c r="MUR86" s="415"/>
      <c r="MUS86" s="413"/>
      <c r="MVC86" s="396"/>
      <c r="MVD86" s="452"/>
      <c r="MVE86" s="412"/>
      <c r="MVF86" s="415"/>
      <c r="MVG86" s="413"/>
      <c r="MVQ86" s="396"/>
      <c r="MVR86" s="452"/>
      <c r="MVS86" s="412"/>
      <c r="MVT86" s="415"/>
      <c r="MVU86" s="413"/>
      <c r="MWE86" s="396"/>
      <c r="MWF86" s="452"/>
      <c r="MWG86" s="412"/>
      <c r="MWH86" s="415"/>
      <c r="MWI86" s="413"/>
      <c r="MWS86" s="396"/>
      <c r="MWT86" s="452"/>
      <c r="MWU86" s="412"/>
      <c r="MWV86" s="415"/>
      <c r="MWW86" s="413"/>
      <c r="MXG86" s="396"/>
      <c r="MXH86" s="452"/>
      <c r="MXI86" s="412"/>
      <c r="MXJ86" s="415"/>
      <c r="MXK86" s="413"/>
      <c r="MXU86" s="396"/>
      <c r="MXV86" s="452"/>
      <c r="MXW86" s="412"/>
      <c r="MXX86" s="415"/>
      <c r="MXY86" s="413"/>
      <c r="MYI86" s="396"/>
      <c r="MYJ86" s="452"/>
      <c r="MYK86" s="412"/>
      <c r="MYL86" s="415"/>
      <c r="MYM86" s="413"/>
      <c r="MYW86" s="396"/>
      <c r="MYX86" s="452"/>
      <c r="MYY86" s="412"/>
      <c r="MYZ86" s="415"/>
      <c r="MZA86" s="413"/>
      <c r="MZK86" s="396"/>
      <c r="MZL86" s="452"/>
      <c r="MZM86" s="412"/>
      <c r="MZN86" s="415"/>
      <c r="MZO86" s="413"/>
      <c r="MZY86" s="396"/>
      <c r="MZZ86" s="452"/>
      <c r="NAA86" s="412"/>
      <c r="NAB86" s="415"/>
      <c r="NAC86" s="413"/>
      <c r="NAM86" s="396"/>
      <c r="NAN86" s="452"/>
      <c r="NAO86" s="412"/>
      <c r="NAP86" s="415"/>
      <c r="NAQ86" s="413"/>
      <c r="NBA86" s="396"/>
      <c r="NBB86" s="452"/>
      <c r="NBC86" s="412"/>
      <c r="NBD86" s="415"/>
      <c r="NBE86" s="413"/>
      <c r="NBO86" s="396"/>
      <c r="NBP86" s="452"/>
      <c r="NBQ86" s="412"/>
      <c r="NBR86" s="415"/>
      <c r="NBS86" s="413"/>
      <c r="NCC86" s="396"/>
      <c r="NCD86" s="452"/>
      <c r="NCE86" s="412"/>
      <c r="NCF86" s="415"/>
      <c r="NCG86" s="413"/>
      <c r="NCQ86" s="396"/>
      <c r="NCR86" s="452"/>
      <c r="NCS86" s="412"/>
      <c r="NCT86" s="415"/>
      <c r="NCU86" s="413"/>
      <c r="NDE86" s="396"/>
      <c r="NDF86" s="452"/>
      <c r="NDG86" s="412"/>
      <c r="NDH86" s="415"/>
      <c r="NDI86" s="413"/>
      <c r="NDS86" s="396"/>
      <c r="NDT86" s="452"/>
      <c r="NDU86" s="412"/>
      <c r="NDV86" s="415"/>
      <c r="NDW86" s="413"/>
      <c r="NEG86" s="396"/>
      <c r="NEH86" s="452"/>
      <c r="NEI86" s="412"/>
      <c r="NEJ86" s="415"/>
      <c r="NEK86" s="413"/>
      <c r="NEU86" s="396"/>
      <c r="NEV86" s="452"/>
      <c r="NEW86" s="412"/>
      <c r="NEX86" s="415"/>
      <c r="NEY86" s="413"/>
      <c r="NFI86" s="396"/>
      <c r="NFJ86" s="452"/>
      <c r="NFK86" s="412"/>
      <c r="NFL86" s="415"/>
      <c r="NFM86" s="413"/>
      <c r="NFW86" s="396"/>
      <c r="NFX86" s="452"/>
      <c r="NFY86" s="412"/>
      <c r="NFZ86" s="415"/>
      <c r="NGA86" s="413"/>
      <c r="NGK86" s="396"/>
      <c r="NGL86" s="452"/>
      <c r="NGM86" s="412"/>
      <c r="NGN86" s="415"/>
      <c r="NGO86" s="413"/>
      <c r="NGY86" s="396"/>
      <c r="NGZ86" s="452"/>
      <c r="NHA86" s="412"/>
      <c r="NHB86" s="415"/>
      <c r="NHC86" s="413"/>
      <c r="NHM86" s="396"/>
      <c r="NHN86" s="452"/>
      <c r="NHO86" s="412"/>
      <c r="NHP86" s="415"/>
      <c r="NHQ86" s="413"/>
      <c r="NIA86" s="396"/>
      <c r="NIB86" s="452"/>
      <c r="NIC86" s="412"/>
      <c r="NID86" s="415"/>
      <c r="NIE86" s="413"/>
      <c r="NIO86" s="396"/>
      <c r="NIP86" s="452"/>
      <c r="NIQ86" s="412"/>
      <c r="NIR86" s="415"/>
      <c r="NIS86" s="413"/>
      <c r="NJC86" s="396"/>
      <c r="NJD86" s="452"/>
      <c r="NJE86" s="412"/>
      <c r="NJF86" s="415"/>
      <c r="NJG86" s="413"/>
      <c r="NJQ86" s="396"/>
      <c r="NJR86" s="452"/>
      <c r="NJS86" s="412"/>
      <c r="NJT86" s="415"/>
      <c r="NJU86" s="413"/>
      <c r="NKE86" s="396"/>
      <c r="NKF86" s="452"/>
      <c r="NKG86" s="412"/>
      <c r="NKH86" s="415"/>
      <c r="NKI86" s="413"/>
      <c r="NKS86" s="396"/>
      <c r="NKT86" s="452"/>
      <c r="NKU86" s="412"/>
      <c r="NKV86" s="415"/>
      <c r="NKW86" s="413"/>
      <c r="NLG86" s="396"/>
      <c r="NLH86" s="452"/>
      <c r="NLI86" s="412"/>
      <c r="NLJ86" s="415"/>
      <c r="NLK86" s="413"/>
      <c r="NLU86" s="396"/>
      <c r="NLV86" s="452"/>
      <c r="NLW86" s="412"/>
      <c r="NLX86" s="415"/>
      <c r="NLY86" s="413"/>
      <c r="NMI86" s="396"/>
      <c r="NMJ86" s="452"/>
      <c r="NMK86" s="412"/>
      <c r="NML86" s="415"/>
      <c r="NMM86" s="413"/>
      <c r="NMW86" s="396"/>
      <c r="NMX86" s="452"/>
      <c r="NMY86" s="412"/>
      <c r="NMZ86" s="415"/>
      <c r="NNA86" s="413"/>
      <c r="NNK86" s="396"/>
      <c r="NNL86" s="452"/>
      <c r="NNM86" s="412"/>
      <c r="NNN86" s="415"/>
      <c r="NNO86" s="413"/>
      <c r="NNY86" s="396"/>
      <c r="NNZ86" s="452"/>
      <c r="NOA86" s="412"/>
      <c r="NOB86" s="415"/>
      <c r="NOC86" s="413"/>
      <c r="NOM86" s="396"/>
      <c r="NON86" s="452"/>
      <c r="NOO86" s="412"/>
      <c r="NOP86" s="415"/>
      <c r="NOQ86" s="413"/>
      <c r="NPA86" s="396"/>
      <c r="NPB86" s="452"/>
      <c r="NPC86" s="412"/>
      <c r="NPD86" s="415"/>
      <c r="NPE86" s="413"/>
      <c r="NPO86" s="396"/>
      <c r="NPP86" s="452"/>
      <c r="NPQ86" s="412"/>
      <c r="NPR86" s="415"/>
      <c r="NPS86" s="413"/>
      <c r="NQC86" s="396"/>
      <c r="NQD86" s="452"/>
      <c r="NQE86" s="412"/>
      <c r="NQF86" s="415"/>
      <c r="NQG86" s="413"/>
      <c r="NQQ86" s="396"/>
      <c r="NQR86" s="452"/>
      <c r="NQS86" s="412"/>
      <c r="NQT86" s="415"/>
      <c r="NQU86" s="413"/>
      <c r="NRE86" s="396"/>
      <c r="NRF86" s="452"/>
      <c r="NRG86" s="412"/>
      <c r="NRH86" s="415"/>
      <c r="NRI86" s="413"/>
      <c r="NRS86" s="396"/>
      <c r="NRT86" s="452"/>
      <c r="NRU86" s="412"/>
      <c r="NRV86" s="415"/>
      <c r="NRW86" s="413"/>
      <c r="NSG86" s="396"/>
      <c r="NSH86" s="452"/>
      <c r="NSI86" s="412"/>
      <c r="NSJ86" s="415"/>
      <c r="NSK86" s="413"/>
      <c r="NSU86" s="396"/>
      <c r="NSV86" s="452"/>
      <c r="NSW86" s="412"/>
      <c r="NSX86" s="415"/>
      <c r="NSY86" s="413"/>
      <c r="NTI86" s="396"/>
      <c r="NTJ86" s="452"/>
      <c r="NTK86" s="412"/>
      <c r="NTL86" s="415"/>
      <c r="NTM86" s="413"/>
      <c r="NTW86" s="396"/>
      <c r="NTX86" s="452"/>
      <c r="NTY86" s="412"/>
      <c r="NTZ86" s="415"/>
      <c r="NUA86" s="413"/>
      <c r="NUK86" s="396"/>
      <c r="NUL86" s="452"/>
      <c r="NUM86" s="412"/>
      <c r="NUN86" s="415"/>
      <c r="NUO86" s="413"/>
      <c r="NUY86" s="396"/>
      <c r="NUZ86" s="452"/>
      <c r="NVA86" s="412"/>
      <c r="NVB86" s="415"/>
      <c r="NVC86" s="413"/>
      <c r="NVM86" s="396"/>
      <c r="NVN86" s="452"/>
      <c r="NVO86" s="412"/>
      <c r="NVP86" s="415"/>
      <c r="NVQ86" s="413"/>
      <c r="NWA86" s="396"/>
      <c r="NWB86" s="452"/>
      <c r="NWC86" s="412"/>
      <c r="NWD86" s="415"/>
      <c r="NWE86" s="413"/>
      <c r="NWO86" s="396"/>
      <c r="NWP86" s="452"/>
      <c r="NWQ86" s="412"/>
      <c r="NWR86" s="415"/>
      <c r="NWS86" s="413"/>
      <c r="NXC86" s="396"/>
      <c r="NXD86" s="452"/>
      <c r="NXE86" s="412"/>
      <c r="NXF86" s="415"/>
      <c r="NXG86" s="413"/>
      <c r="NXQ86" s="396"/>
      <c r="NXR86" s="452"/>
      <c r="NXS86" s="412"/>
      <c r="NXT86" s="415"/>
      <c r="NXU86" s="413"/>
      <c r="NYE86" s="396"/>
      <c r="NYF86" s="452"/>
      <c r="NYG86" s="412"/>
      <c r="NYH86" s="415"/>
      <c r="NYI86" s="413"/>
      <c r="NYS86" s="396"/>
      <c r="NYT86" s="452"/>
      <c r="NYU86" s="412"/>
      <c r="NYV86" s="415"/>
      <c r="NYW86" s="413"/>
      <c r="NZG86" s="396"/>
      <c r="NZH86" s="452"/>
      <c r="NZI86" s="412"/>
      <c r="NZJ86" s="415"/>
      <c r="NZK86" s="413"/>
      <c r="NZU86" s="396"/>
      <c r="NZV86" s="452"/>
      <c r="NZW86" s="412"/>
      <c r="NZX86" s="415"/>
      <c r="NZY86" s="413"/>
      <c r="OAI86" s="396"/>
      <c r="OAJ86" s="452"/>
      <c r="OAK86" s="412"/>
      <c r="OAL86" s="415"/>
      <c r="OAM86" s="413"/>
      <c r="OAW86" s="396"/>
      <c r="OAX86" s="452"/>
      <c r="OAY86" s="412"/>
      <c r="OAZ86" s="415"/>
      <c r="OBA86" s="413"/>
      <c r="OBK86" s="396"/>
      <c r="OBL86" s="452"/>
      <c r="OBM86" s="412"/>
      <c r="OBN86" s="415"/>
      <c r="OBO86" s="413"/>
      <c r="OBY86" s="396"/>
      <c r="OBZ86" s="452"/>
      <c r="OCA86" s="412"/>
      <c r="OCB86" s="415"/>
      <c r="OCC86" s="413"/>
      <c r="OCM86" s="396"/>
      <c r="OCN86" s="452"/>
      <c r="OCO86" s="412"/>
      <c r="OCP86" s="415"/>
      <c r="OCQ86" s="413"/>
      <c r="ODA86" s="396"/>
      <c r="ODB86" s="452"/>
      <c r="ODC86" s="412"/>
      <c r="ODD86" s="415"/>
      <c r="ODE86" s="413"/>
      <c r="ODO86" s="396"/>
      <c r="ODP86" s="452"/>
      <c r="ODQ86" s="412"/>
      <c r="ODR86" s="415"/>
      <c r="ODS86" s="413"/>
      <c r="OEC86" s="396"/>
      <c r="OED86" s="452"/>
      <c r="OEE86" s="412"/>
      <c r="OEF86" s="415"/>
      <c r="OEG86" s="413"/>
      <c r="OEQ86" s="396"/>
      <c r="OER86" s="452"/>
      <c r="OES86" s="412"/>
      <c r="OET86" s="415"/>
      <c r="OEU86" s="413"/>
      <c r="OFE86" s="396"/>
      <c r="OFF86" s="452"/>
      <c r="OFG86" s="412"/>
      <c r="OFH86" s="415"/>
      <c r="OFI86" s="413"/>
      <c r="OFS86" s="396"/>
      <c r="OFT86" s="452"/>
      <c r="OFU86" s="412"/>
      <c r="OFV86" s="415"/>
      <c r="OFW86" s="413"/>
      <c r="OGG86" s="396"/>
      <c r="OGH86" s="452"/>
      <c r="OGI86" s="412"/>
      <c r="OGJ86" s="415"/>
      <c r="OGK86" s="413"/>
      <c r="OGU86" s="396"/>
      <c r="OGV86" s="452"/>
      <c r="OGW86" s="412"/>
      <c r="OGX86" s="415"/>
      <c r="OGY86" s="413"/>
      <c r="OHI86" s="396"/>
      <c r="OHJ86" s="452"/>
      <c r="OHK86" s="412"/>
      <c r="OHL86" s="415"/>
      <c r="OHM86" s="413"/>
      <c r="OHW86" s="396"/>
      <c r="OHX86" s="452"/>
      <c r="OHY86" s="412"/>
      <c r="OHZ86" s="415"/>
      <c r="OIA86" s="413"/>
      <c r="OIK86" s="396"/>
      <c r="OIL86" s="452"/>
      <c r="OIM86" s="412"/>
      <c r="OIN86" s="415"/>
      <c r="OIO86" s="413"/>
      <c r="OIY86" s="396"/>
      <c r="OIZ86" s="452"/>
      <c r="OJA86" s="412"/>
      <c r="OJB86" s="415"/>
      <c r="OJC86" s="413"/>
      <c r="OJM86" s="396"/>
      <c r="OJN86" s="452"/>
      <c r="OJO86" s="412"/>
      <c r="OJP86" s="415"/>
      <c r="OJQ86" s="413"/>
      <c r="OKA86" s="396"/>
      <c r="OKB86" s="452"/>
      <c r="OKC86" s="412"/>
      <c r="OKD86" s="415"/>
      <c r="OKE86" s="413"/>
      <c r="OKO86" s="396"/>
      <c r="OKP86" s="452"/>
      <c r="OKQ86" s="412"/>
      <c r="OKR86" s="415"/>
      <c r="OKS86" s="413"/>
      <c r="OLC86" s="396"/>
      <c r="OLD86" s="452"/>
      <c r="OLE86" s="412"/>
      <c r="OLF86" s="415"/>
      <c r="OLG86" s="413"/>
      <c r="OLQ86" s="396"/>
      <c r="OLR86" s="452"/>
      <c r="OLS86" s="412"/>
      <c r="OLT86" s="415"/>
      <c r="OLU86" s="413"/>
      <c r="OME86" s="396"/>
      <c r="OMF86" s="452"/>
      <c r="OMG86" s="412"/>
      <c r="OMH86" s="415"/>
      <c r="OMI86" s="413"/>
      <c r="OMS86" s="396"/>
      <c r="OMT86" s="452"/>
      <c r="OMU86" s="412"/>
      <c r="OMV86" s="415"/>
      <c r="OMW86" s="413"/>
      <c r="ONG86" s="396"/>
      <c r="ONH86" s="452"/>
      <c r="ONI86" s="412"/>
      <c r="ONJ86" s="415"/>
      <c r="ONK86" s="413"/>
      <c r="ONU86" s="396"/>
      <c r="ONV86" s="452"/>
      <c r="ONW86" s="412"/>
      <c r="ONX86" s="415"/>
      <c r="ONY86" s="413"/>
      <c r="OOI86" s="396"/>
      <c r="OOJ86" s="452"/>
      <c r="OOK86" s="412"/>
      <c r="OOL86" s="415"/>
      <c r="OOM86" s="413"/>
      <c r="OOW86" s="396"/>
      <c r="OOX86" s="452"/>
      <c r="OOY86" s="412"/>
      <c r="OOZ86" s="415"/>
      <c r="OPA86" s="413"/>
      <c r="OPK86" s="396"/>
      <c r="OPL86" s="452"/>
      <c r="OPM86" s="412"/>
      <c r="OPN86" s="415"/>
      <c r="OPO86" s="413"/>
      <c r="OPY86" s="396"/>
      <c r="OPZ86" s="452"/>
      <c r="OQA86" s="412"/>
      <c r="OQB86" s="415"/>
      <c r="OQC86" s="413"/>
      <c r="OQM86" s="396"/>
      <c r="OQN86" s="452"/>
      <c r="OQO86" s="412"/>
      <c r="OQP86" s="415"/>
      <c r="OQQ86" s="413"/>
      <c r="ORA86" s="396"/>
      <c r="ORB86" s="452"/>
      <c r="ORC86" s="412"/>
      <c r="ORD86" s="415"/>
      <c r="ORE86" s="413"/>
      <c r="ORO86" s="396"/>
      <c r="ORP86" s="452"/>
      <c r="ORQ86" s="412"/>
      <c r="ORR86" s="415"/>
      <c r="ORS86" s="413"/>
      <c r="OSC86" s="396"/>
      <c r="OSD86" s="452"/>
      <c r="OSE86" s="412"/>
      <c r="OSF86" s="415"/>
      <c r="OSG86" s="413"/>
      <c r="OSQ86" s="396"/>
      <c r="OSR86" s="452"/>
      <c r="OSS86" s="412"/>
      <c r="OST86" s="415"/>
      <c r="OSU86" s="413"/>
      <c r="OTE86" s="396"/>
      <c r="OTF86" s="452"/>
      <c r="OTG86" s="412"/>
      <c r="OTH86" s="415"/>
      <c r="OTI86" s="413"/>
      <c r="OTS86" s="396"/>
      <c r="OTT86" s="452"/>
      <c r="OTU86" s="412"/>
      <c r="OTV86" s="415"/>
      <c r="OTW86" s="413"/>
      <c r="OUG86" s="396"/>
      <c r="OUH86" s="452"/>
      <c r="OUI86" s="412"/>
      <c r="OUJ86" s="415"/>
      <c r="OUK86" s="413"/>
      <c r="OUU86" s="396"/>
      <c r="OUV86" s="452"/>
      <c r="OUW86" s="412"/>
      <c r="OUX86" s="415"/>
      <c r="OUY86" s="413"/>
      <c r="OVI86" s="396"/>
      <c r="OVJ86" s="452"/>
      <c r="OVK86" s="412"/>
      <c r="OVL86" s="415"/>
      <c r="OVM86" s="413"/>
      <c r="OVW86" s="396"/>
      <c r="OVX86" s="452"/>
      <c r="OVY86" s="412"/>
      <c r="OVZ86" s="415"/>
      <c r="OWA86" s="413"/>
      <c r="OWK86" s="396"/>
      <c r="OWL86" s="452"/>
      <c r="OWM86" s="412"/>
      <c r="OWN86" s="415"/>
      <c r="OWO86" s="413"/>
      <c r="OWY86" s="396"/>
      <c r="OWZ86" s="452"/>
      <c r="OXA86" s="412"/>
      <c r="OXB86" s="415"/>
      <c r="OXC86" s="413"/>
      <c r="OXM86" s="396"/>
      <c r="OXN86" s="452"/>
      <c r="OXO86" s="412"/>
      <c r="OXP86" s="415"/>
      <c r="OXQ86" s="413"/>
      <c r="OYA86" s="396"/>
      <c r="OYB86" s="452"/>
      <c r="OYC86" s="412"/>
      <c r="OYD86" s="415"/>
      <c r="OYE86" s="413"/>
      <c r="OYO86" s="396"/>
      <c r="OYP86" s="452"/>
      <c r="OYQ86" s="412"/>
      <c r="OYR86" s="415"/>
      <c r="OYS86" s="413"/>
      <c r="OZC86" s="396"/>
      <c r="OZD86" s="452"/>
      <c r="OZE86" s="412"/>
      <c r="OZF86" s="415"/>
      <c r="OZG86" s="413"/>
      <c r="OZQ86" s="396"/>
      <c r="OZR86" s="452"/>
      <c r="OZS86" s="412"/>
      <c r="OZT86" s="415"/>
      <c r="OZU86" s="413"/>
      <c r="PAE86" s="396"/>
      <c r="PAF86" s="452"/>
      <c r="PAG86" s="412"/>
      <c r="PAH86" s="415"/>
      <c r="PAI86" s="413"/>
      <c r="PAS86" s="396"/>
      <c r="PAT86" s="452"/>
      <c r="PAU86" s="412"/>
      <c r="PAV86" s="415"/>
      <c r="PAW86" s="413"/>
      <c r="PBG86" s="396"/>
      <c r="PBH86" s="452"/>
      <c r="PBI86" s="412"/>
      <c r="PBJ86" s="415"/>
      <c r="PBK86" s="413"/>
      <c r="PBU86" s="396"/>
      <c r="PBV86" s="452"/>
      <c r="PBW86" s="412"/>
      <c r="PBX86" s="415"/>
      <c r="PBY86" s="413"/>
      <c r="PCI86" s="396"/>
      <c r="PCJ86" s="452"/>
      <c r="PCK86" s="412"/>
      <c r="PCL86" s="415"/>
      <c r="PCM86" s="413"/>
      <c r="PCW86" s="396"/>
      <c r="PCX86" s="452"/>
      <c r="PCY86" s="412"/>
      <c r="PCZ86" s="415"/>
      <c r="PDA86" s="413"/>
      <c r="PDK86" s="396"/>
      <c r="PDL86" s="452"/>
      <c r="PDM86" s="412"/>
      <c r="PDN86" s="415"/>
      <c r="PDO86" s="413"/>
      <c r="PDY86" s="396"/>
      <c r="PDZ86" s="452"/>
      <c r="PEA86" s="412"/>
      <c r="PEB86" s="415"/>
      <c r="PEC86" s="413"/>
      <c r="PEM86" s="396"/>
      <c r="PEN86" s="452"/>
      <c r="PEO86" s="412"/>
      <c r="PEP86" s="415"/>
      <c r="PEQ86" s="413"/>
      <c r="PFA86" s="396"/>
      <c r="PFB86" s="452"/>
      <c r="PFC86" s="412"/>
      <c r="PFD86" s="415"/>
      <c r="PFE86" s="413"/>
      <c r="PFO86" s="396"/>
      <c r="PFP86" s="452"/>
      <c r="PFQ86" s="412"/>
      <c r="PFR86" s="415"/>
      <c r="PFS86" s="413"/>
      <c r="PGC86" s="396"/>
      <c r="PGD86" s="452"/>
      <c r="PGE86" s="412"/>
      <c r="PGF86" s="415"/>
      <c r="PGG86" s="413"/>
      <c r="PGQ86" s="396"/>
      <c r="PGR86" s="452"/>
      <c r="PGS86" s="412"/>
      <c r="PGT86" s="415"/>
      <c r="PGU86" s="413"/>
      <c r="PHE86" s="396"/>
      <c r="PHF86" s="452"/>
      <c r="PHG86" s="412"/>
      <c r="PHH86" s="415"/>
      <c r="PHI86" s="413"/>
      <c r="PHS86" s="396"/>
      <c r="PHT86" s="452"/>
      <c r="PHU86" s="412"/>
      <c r="PHV86" s="415"/>
      <c r="PHW86" s="413"/>
      <c r="PIG86" s="396"/>
      <c r="PIH86" s="452"/>
      <c r="PII86" s="412"/>
      <c r="PIJ86" s="415"/>
      <c r="PIK86" s="413"/>
      <c r="PIU86" s="396"/>
      <c r="PIV86" s="452"/>
      <c r="PIW86" s="412"/>
      <c r="PIX86" s="415"/>
      <c r="PIY86" s="413"/>
      <c r="PJI86" s="396"/>
      <c r="PJJ86" s="452"/>
      <c r="PJK86" s="412"/>
      <c r="PJL86" s="415"/>
      <c r="PJM86" s="413"/>
      <c r="PJW86" s="396"/>
      <c r="PJX86" s="452"/>
      <c r="PJY86" s="412"/>
      <c r="PJZ86" s="415"/>
      <c r="PKA86" s="413"/>
      <c r="PKK86" s="396"/>
      <c r="PKL86" s="452"/>
      <c r="PKM86" s="412"/>
      <c r="PKN86" s="415"/>
      <c r="PKO86" s="413"/>
      <c r="PKY86" s="396"/>
      <c r="PKZ86" s="452"/>
      <c r="PLA86" s="412"/>
      <c r="PLB86" s="415"/>
      <c r="PLC86" s="413"/>
      <c r="PLM86" s="396"/>
      <c r="PLN86" s="452"/>
      <c r="PLO86" s="412"/>
      <c r="PLP86" s="415"/>
      <c r="PLQ86" s="413"/>
      <c r="PMA86" s="396"/>
      <c r="PMB86" s="452"/>
      <c r="PMC86" s="412"/>
      <c r="PMD86" s="415"/>
      <c r="PME86" s="413"/>
      <c r="PMO86" s="396"/>
      <c r="PMP86" s="452"/>
      <c r="PMQ86" s="412"/>
      <c r="PMR86" s="415"/>
      <c r="PMS86" s="413"/>
      <c r="PNC86" s="396"/>
      <c r="PND86" s="452"/>
      <c r="PNE86" s="412"/>
      <c r="PNF86" s="415"/>
      <c r="PNG86" s="413"/>
      <c r="PNQ86" s="396"/>
      <c r="PNR86" s="452"/>
      <c r="PNS86" s="412"/>
      <c r="PNT86" s="415"/>
      <c r="PNU86" s="413"/>
      <c r="POE86" s="396"/>
      <c r="POF86" s="452"/>
      <c r="POG86" s="412"/>
      <c r="POH86" s="415"/>
      <c r="POI86" s="413"/>
      <c r="POS86" s="396"/>
      <c r="POT86" s="452"/>
      <c r="POU86" s="412"/>
      <c r="POV86" s="415"/>
      <c r="POW86" s="413"/>
      <c r="PPG86" s="396"/>
      <c r="PPH86" s="452"/>
      <c r="PPI86" s="412"/>
      <c r="PPJ86" s="415"/>
      <c r="PPK86" s="413"/>
      <c r="PPU86" s="396"/>
      <c r="PPV86" s="452"/>
      <c r="PPW86" s="412"/>
      <c r="PPX86" s="415"/>
      <c r="PPY86" s="413"/>
      <c r="PQI86" s="396"/>
      <c r="PQJ86" s="452"/>
      <c r="PQK86" s="412"/>
      <c r="PQL86" s="415"/>
      <c r="PQM86" s="413"/>
      <c r="PQW86" s="396"/>
      <c r="PQX86" s="452"/>
      <c r="PQY86" s="412"/>
      <c r="PQZ86" s="415"/>
      <c r="PRA86" s="413"/>
      <c r="PRK86" s="396"/>
      <c r="PRL86" s="452"/>
      <c r="PRM86" s="412"/>
      <c r="PRN86" s="415"/>
      <c r="PRO86" s="413"/>
      <c r="PRY86" s="396"/>
      <c r="PRZ86" s="452"/>
      <c r="PSA86" s="412"/>
      <c r="PSB86" s="415"/>
      <c r="PSC86" s="413"/>
      <c r="PSM86" s="396"/>
      <c r="PSN86" s="452"/>
      <c r="PSO86" s="412"/>
      <c r="PSP86" s="415"/>
      <c r="PSQ86" s="413"/>
      <c r="PTA86" s="396"/>
      <c r="PTB86" s="452"/>
      <c r="PTC86" s="412"/>
      <c r="PTD86" s="415"/>
      <c r="PTE86" s="413"/>
      <c r="PTO86" s="396"/>
      <c r="PTP86" s="452"/>
      <c r="PTQ86" s="412"/>
      <c r="PTR86" s="415"/>
      <c r="PTS86" s="413"/>
      <c r="PUC86" s="396"/>
      <c r="PUD86" s="452"/>
      <c r="PUE86" s="412"/>
      <c r="PUF86" s="415"/>
      <c r="PUG86" s="413"/>
      <c r="PUQ86" s="396"/>
      <c r="PUR86" s="452"/>
      <c r="PUS86" s="412"/>
      <c r="PUT86" s="415"/>
      <c r="PUU86" s="413"/>
      <c r="PVE86" s="396"/>
      <c r="PVF86" s="452"/>
      <c r="PVG86" s="412"/>
      <c r="PVH86" s="415"/>
      <c r="PVI86" s="413"/>
      <c r="PVS86" s="396"/>
      <c r="PVT86" s="452"/>
      <c r="PVU86" s="412"/>
      <c r="PVV86" s="415"/>
      <c r="PVW86" s="413"/>
      <c r="PWG86" s="396"/>
      <c r="PWH86" s="452"/>
      <c r="PWI86" s="412"/>
      <c r="PWJ86" s="415"/>
      <c r="PWK86" s="413"/>
      <c r="PWU86" s="396"/>
      <c r="PWV86" s="452"/>
      <c r="PWW86" s="412"/>
      <c r="PWX86" s="415"/>
      <c r="PWY86" s="413"/>
      <c r="PXI86" s="396"/>
      <c r="PXJ86" s="452"/>
      <c r="PXK86" s="412"/>
      <c r="PXL86" s="415"/>
      <c r="PXM86" s="413"/>
      <c r="PXW86" s="396"/>
      <c r="PXX86" s="452"/>
      <c r="PXY86" s="412"/>
      <c r="PXZ86" s="415"/>
      <c r="PYA86" s="413"/>
      <c r="PYK86" s="396"/>
      <c r="PYL86" s="452"/>
      <c r="PYM86" s="412"/>
      <c r="PYN86" s="415"/>
      <c r="PYO86" s="413"/>
      <c r="PYY86" s="396"/>
      <c r="PYZ86" s="452"/>
      <c r="PZA86" s="412"/>
      <c r="PZB86" s="415"/>
      <c r="PZC86" s="413"/>
      <c r="PZM86" s="396"/>
      <c r="PZN86" s="452"/>
      <c r="PZO86" s="412"/>
      <c r="PZP86" s="415"/>
      <c r="PZQ86" s="413"/>
      <c r="QAA86" s="396"/>
      <c r="QAB86" s="452"/>
      <c r="QAC86" s="412"/>
      <c r="QAD86" s="415"/>
      <c r="QAE86" s="413"/>
      <c r="QAO86" s="396"/>
      <c r="QAP86" s="452"/>
      <c r="QAQ86" s="412"/>
      <c r="QAR86" s="415"/>
      <c r="QAS86" s="413"/>
      <c r="QBC86" s="396"/>
      <c r="QBD86" s="452"/>
      <c r="QBE86" s="412"/>
      <c r="QBF86" s="415"/>
      <c r="QBG86" s="413"/>
      <c r="QBQ86" s="396"/>
      <c r="QBR86" s="452"/>
      <c r="QBS86" s="412"/>
      <c r="QBT86" s="415"/>
      <c r="QBU86" s="413"/>
      <c r="QCE86" s="396"/>
      <c r="QCF86" s="452"/>
      <c r="QCG86" s="412"/>
      <c r="QCH86" s="415"/>
      <c r="QCI86" s="413"/>
      <c r="QCS86" s="396"/>
      <c r="QCT86" s="452"/>
      <c r="QCU86" s="412"/>
      <c r="QCV86" s="415"/>
      <c r="QCW86" s="413"/>
      <c r="QDG86" s="396"/>
      <c r="QDH86" s="452"/>
      <c r="QDI86" s="412"/>
      <c r="QDJ86" s="415"/>
      <c r="QDK86" s="413"/>
      <c r="QDU86" s="396"/>
      <c r="QDV86" s="452"/>
      <c r="QDW86" s="412"/>
      <c r="QDX86" s="415"/>
      <c r="QDY86" s="413"/>
      <c r="QEI86" s="396"/>
      <c r="QEJ86" s="452"/>
      <c r="QEK86" s="412"/>
      <c r="QEL86" s="415"/>
      <c r="QEM86" s="413"/>
      <c r="QEW86" s="396"/>
      <c r="QEX86" s="452"/>
      <c r="QEY86" s="412"/>
      <c r="QEZ86" s="415"/>
      <c r="QFA86" s="413"/>
      <c r="QFK86" s="396"/>
      <c r="QFL86" s="452"/>
      <c r="QFM86" s="412"/>
      <c r="QFN86" s="415"/>
      <c r="QFO86" s="413"/>
      <c r="QFY86" s="396"/>
      <c r="QFZ86" s="452"/>
      <c r="QGA86" s="412"/>
      <c r="QGB86" s="415"/>
      <c r="QGC86" s="413"/>
      <c r="QGM86" s="396"/>
      <c r="QGN86" s="452"/>
      <c r="QGO86" s="412"/>
      <c r="QGP86" s="415"/>
      <c r="QGQ86" s="413"/>
      <c r="QHA86" s="396"/>
      <c r="QHB86" s="452"/>
      <c r="QHC86" s="412"/>
      <c r="QHD86" s="415"/>
      <c r="QHE86" s="413"/>
      <c r="QHO86" s="396"/>
      <c r="QHP86" s="452"/>
      <c r="QHQ86" s="412"/>
      <c r="QHR86" s="415"/>
      <c r="QHS86" s="413"/>
      <c r="QIC86" s="396"/>
      <c r="QID86" s="452"/>
      <c r="QIE86" s="412"/>
      <c r="QIF86" s="415"/>
      <c r="QIG86" s="413"/>
      <c r="QIQ86" s="396"/>
      <c r="QIR86" s="452"/>
      <c r="QIS86" s="412"/>
      <c r="QIT86" s="415"/>
      <c r="QIU86" s="413"/>
      <c r="QJE86" s="396"/>
      <c r="QJF86" s="452"/>
      <c r="QJG86" s="412"/>
      <c r="QJH86" s="415"/>
      <c r="QJI86" s="413"/>
      <c r="QJS86" s="396"/>
      <c r="QJT86" s="452"/>
      <c r="QJU86" s="412"/>
      <c r="QJV86" s="415"/>
      <c r="QJW86" s="413"/>
      <c r="QKG86" s="396"/>
      <c r="QKH86" s="452"/>
      <c r="QKI86" s="412"/>
      <c r="QKJ86" s="415"/>
      <c r="QKK86" s="413"/>
      <c r="QKU86" s="396"/>
      <c r="QKV86" s="452"/>
      <c r="QKW86" s="412"/>
      <c r="QKX86" s="415"/>
      <c r="QKY86" s="413"/>
      <c r="QLI86" s="396"/>
      <c r="QLJ86" s="452"/>
      <c r="QLK86" s="412"/>
      <c r="QLL86" s="415"/>
      <c r="QLM86" s="413"/>
      <c r="QLW86" s="396"/>
      <c r="QLX86" s="452"/>
      <c r="QLY86" s="412"/>
      <c r="QLZ86" s="415"/>
      <c r="QMA86" s="413"/>
      <c r="QMK86" s="396"/>
      <c r="QML86" s="452"/>
      <c r="QMM86" s="412"/>
      <c r="QMN86" s="415"/>
      <c r="QMO86" s="413"/>
      <c r="QMY86" s="396"/>
      <c r="QMZ86" s="452"/>
      <c r="QNA86" s="412"/>
      <c r="QNB86" s="415"/>
      <c r="QNC86" s="413"/>
      <c r="QNM86" s="396"/>
      <c r="QNN86" s="452"/>
      <c r="QNO86" s="412"/>
      <c r="QNP86" s="415"/>
      <c r="QNQ86" s="413"/>
      <c r="QOA86" s="396"/>
      <c r="QOB86" s="452"/>
      <c r="QOC86" s="412"/>
      <c r="QOD86" s="415"/>
      <c r="QOE86" s="413"/>
      <c r="QOO86" s="396"/>
      <c r="QOP86" s="452"/>
      <c r="QOQ86" s="412"/>
      <c r="QOR86" s="415"/>
      <c r="QOS86" s="413"/>
      <c r="QPC86" s="396"/>
      <c r="QPD86" s="452"/>
      <c r="QPE86" s="412"/>
      <c r="QPF86" s="415"/>
      <c r="QPG86" s="413"/>
      <c r="QPQ86" s="396"/>
      <c r="QPR86" s="452"/>
      <c r="QPS86" s="412"/>
      <c r="QPT86" s="415"/>
      <c r="QPU86" s="413"/>
      <c r="QQE86" s="396"/>
      <c r="QQF86" s="452"/>
      <c r="QQG86" s="412"/>
      <c r="QQH86" s="415"/>
      <c r="QQI86" s="413"/>
      <c r="QQS86" s="396"/>
      <c r="QQT86" s="452"/>
      <c r="QQU86" s="412"/>
      <c r="QQV86" s="415"/>
      <c r="QQW86" s="413"/>
      <c r="QRG86" s="396"/>
      <c r="QRH86" s="452"/>
      <c r="QRI86" s="412"/>
      <c r="QRJ86" s="415"/>
      <c r="QRK86" s="413"/>
      <c r="QRU86" s="396"/>
      <c r="QRV86" s="452"/>
      <c r="QRW86" s="412"/>
      <c r="QRX86" s="415"/>
      <c r="QRY86" s="413"/>
      <c r="QSI86" s="396"/>
      <c r="QSJ86" s="452"/>
      <c r="QSK86" s="412"/>
      <c r="QSL86" s="415"/>
      <c r="QSM86" s="413"/>
      <c r="QSW86" s="396"/>
      <c r="QSX86" s="452"/>
      <c r="QSY86" s="412"/>
      <c r="QSZ86" s="415"/>
      <c r="QTA86" s="413"/>
      <c r="QTK86" s="396"/>
      <c r="QTL86" s="452"/>
      <c r="QTM86" s="412"/>
      <c r="QTN86" s="415"/>
      <c r="QTO86" s="413"/>
      <c r="QTY86" s="396"/>
      <c r="QTZ86" s="452"/>
      <c r="QUA86" s="412"/>
      <c r="QUB86" s="415"/>
      <c r="QUC86" s="413"/>
      <c r="QUM86" s="396"/>
      <c r="QUN86" s="452"/>
      <c r="QUO86" s="412"/>
      <c r="QUP86" s="415"/>
      <c r="QUQ86" s="413"/>
      <c r="QVA86" s="396"/>
      <c r="QVB86" s="452"/>
      <c r="QVC86" s="412"/>
      <c r="QVD86" s="415"/>
      <c r="QVE86" s="413"/>
      <c r="QVO86" s="396"/>
      <c r="QVP86" s="452"/>
      <c r="QVQ86" s="412"/>
      <c r="QVR86" s="415"/>
      <c r="QVS86" s="413"/>
      <c r="QWC86" s="396"/>
      <c r="QWD86" s="452"/>
      <c r="QWE86" s="412"/>
      <c r="QWF86" s="415"/>
      <c r="QWG86" s="413"/>
      <c r="QWQ86" s="396"/>
      <c r="QWR86" s="452"/>
      <c r="QWS86" s="412"/>
      <c r="QWT86" s="415"/>
      <c r="QWU86" s="413"/>
      <c r="QXE86" s="396"/>
      <c r="QXF86" s="452"/>
      <c r="QXG86" s="412"/>
      <c r="QXH86" s="415"/>
      <c r="QXI86" s="413"/>
      <c r="QXS86" s="396"/>
      <c r="QXT86" s="452"/>
      <c r="QXU86" s="412"/>
      <c r="QXV86" s="415"/>
      <c r="QXW86" s="413"/>
      <c r="QYG86" s="396"/>
      <c r="QYH86" s="452"/>
      <c r="QYI86" s="412"/>
      <c r="QYJ86" s="415"/>
      <c r="QYK86" s="413"/>
      <c r="QYU86" s="396"/>
      <c r="QYV86" s="452"/>
      <c r="QYW86" s="412"/>
      <c r="QYX86" s="415"/>
      <c r="QYY86" s="413"/>
      <c r="QZI86" s="396"/>
      <c r="QZJ86" s="452"/>
      <c r="QZK86" s="412"/>
      <c r="QZL86" s="415"/>
      <c r="QZM86" s="413"/>
      <c r="QZW86" s="396"/>
      <c r="QZX86" s="452"/>
      <c r="QZY86" s="412"/>
      <c r="QZZ86" s="415"/>
      <c r="RAA86" s="413"/>
      <c r="RAK86" s="396"/>
      <c r="RAL86" s="452"/>
      <c r="RAM86" s="412"/>
      <c r="RAN86" s="415"/>
      <c r="RAO86" s="413"/>
      <c r="RAY86" s="396"/>
      <c r="RAZ86" s="452"/>
      <c r="RBA86" s="412"/>
      <c r="RBB86" s="415"/>
      <c r="RBC86" s="413"/>
      <c r="RBM86" s="396"/>
      <c r="RBN86" s="452"/>
      <c r="RBO86" s="412"/>
      <c r="RBP86" s="415"/>
      <c r="RBQ86" s="413"/>
      <c r="RCA86" s="396"/>
      <c r="RCB86" s="452"/>
      <c r="RCC86" s="412"/>
      <c r="RCD86" s="415"/>
      <c r="RCE86" s="413"/>
      <c r="RCO86" s="396"/>
      <c r="RCP86" s="452"/>
      <c r="RCQ86" s="412"/>
      <c r="RCR86" s="415"/>
      <c r="RCS86" s="413"/>
      <c r="RDC86" s="396"/>
      <c r="RDD86" s="452"/>
      <c r="RDE86" s="412"/>
      <c r="RDF86" s="415"/>
      <c r="RDG86" s="413"/>
      <c r="RDQ86" s="396"/>
      <c r="RDR86" s="452"/>
      <c r="RDS86" s="412"/>
      <c r="RDT86" s="415"/>
      <c r="RDU86" s="413"/>
      <c r="REE86" s="396"/>
      <c r="REF86" s="452"/>
      <c r="REG86" s="412"/>
      <c r="REH86" s="415"/>
      <c r="REI86" s="413"/>
      <c r="RES86" s="396"/>
      <c r="RET86" s="452"/>
      <c r="REU86" s="412"/>
      <c r="REV86" s="415"/>
      <c r="REW86" s="413"/>
      <c r="RFG86" s="396"/>
      <c r="RFH86" s="452"/>
      <c r="RFI86" s="412"/>
      <c r="RFJ86" s="415"/>
      <c r="RFK86" s="413"/>
      <c r="RFU86" s="396"/>
      <c r="RFV86" s="452"/>
      <c r="RFW86" s="412"/>
      <c r="RFX86" s="415"/>
      <c r="RFY86" s="413"/>
      <c r="RGI86" s="396"/>
      <c r="RGJ86" s="452"/>
      <c r="RGK86" s="412"/>
      <c r="RGL86" s="415"/>
      <c r="RGM86" s="413"/>
      <c r="RGW86" s="396"/>
      <c r="RGX86" s="452"/>
      <c r="RGY86" s="412"/>
      <c r="RGZ86" s="415"/>
      <c r="RHA86" s="413"/>
      <c r="RHK86" s="396"/>
      <c r="RHL86" s="452"/>
      <c r="RHM86" s="412"/>
      <c r="RHN86" s="415"/>
      <c r="RHO86" s="413"/>
      <c r="RHY86" s="396"/>
      <c r="RHZ86" s="452"/>
      <c r="RIA86" s="412"/>
      <c r="RIB86" s="415"/>
      <c r="RIC86" s="413"/>
      <c r="RIM86" s="396"/>
      <c r="RIN86" s="452"/>
      <c r="RIO86" s="412"/>
      <c r="RIP86" s="415"/>
      <c r="RIQ86" s="413"/>
      <c r="RJA86" s="396"/>
      <c r="RJB86" s="452"/>
      <c r="RJC86" s="412"/>
      <c r="RJD86" s="415"/>
      <c r="RJE86" s="413"/>
      <c r="RJO86" s="396"/>
      <c r="RJP86" s="452"/>
      <c r="RJQ86" s="412"/>
      <c r="RJR86" s="415"/>
      <c r="RJS86" s="413"/>
      <c r="RKC86" s="396"/>
      <c r="RKD86" s="452"/>
      <c r="RKE86" s="412"/>
      <c r="RKF86" s="415"/>
      <c r="RKG86" s="413"/>
      <c r="RKQ86" s="396"/>
      <c r="RKR86" s="452"/>
      <c r="RKS86" s="412"/>
      <c r="RKT86" s="415"/>
      <c r="RKU86" s="413"/>
      <c r="RLE86" s="396"/>
      <c r="RLF86" s="452"/>
      <c r="RLG86" s="412"/>
      <c r="RLH86" s="415"/>
      <c r="RLI86" s="413"/>
      <c r="RLS86" s="396"/>
      <c r="RLT86" s="452"/>
      <c r="RLU86" s="412"/>
      <c r="RLV86" s="415"/>
      <c r="RLW86" s="413"/>
      <c r="RMG86" s="396"/>
      <c r="RMH86" s="452"/>
      <c r="RMI86" s="412"/>
      <c r="RMJ86" s="415"/>
      <c r="RMK86" s="413"/>
      <c r="RMU86" s="396"/>
      <c r="RMV86" s="452"/>
      <c r="RMW86" s="412"/>
      <c r="RMX86" s="415"/>
      <c r="RMY86" s="413"/>
      <c r="RNI86" s="396"/>
      <c r="RNJ86" s="452"/>
      <c r="RNK86" s="412"/>
      <c r="RNL86" s="415"/>
      <c r="RNM86" s="413"/>
      <c r="RNW86" s="396"/>
      <c r="RNX86" s="452"/>
      <c r="RNY86" s="412"/>
      <c r="RNZ86" s="415"/>
      <c r="ROA86" s="413"/>
      <c r="ROK86" s="396"/>
      <c r="ROL86" s="452"/>
      <c r="ROM86" s="412"/>
      <c r="RON86" s="415"/>
      <c r="ROO86" s="413"/>
      <c r="ROY86" s="396"/>
      <c r="ROZ86" s="452"/>
      <c r="RPA86" s="412"/>
      <c r="RPB86" s="415"/>
      <c r="RPC86" s="413"/>
      <c r="RPM86" s="396"/>
      <c r="RPN86" s="452"/>
      <c r="RPO86" s="412"/>
      <c r="RPP86" s="415"/>
      <c r="RPQ86" s="413"/>
      <c r="RQA86" s="396"/>
      <c r="RQB86" s="452"/>
      <c r="RQC86" s="412"/>
      <c r="RQD86" s="415"/>
      <c r="RQE86" s="413"/>
      <c r="RQO86" s="396"/>
      <c r="RQP86" s="452"/>
      <c r="RQQ86" s="412"/>
      <c r="RQR86" s="415"/>
      <c r="RQS86" s="413"/>
      <c r="RRC86" s="396"/>
      <c r="RRD86" s="452"/>
      <c r="RRE86" s="412"/>
      <c r="RRF86" s="415"/>
      <c r="RRG86" s="413"/>
      <c r="RRQ86" s="396"/>
      <c r="RRR86" s="452"/>
      <c r="RRS86" s="412"/>
      <c r="RRT86" s="415"/>
      <c r="RRU86" s="413"/>
      <c r="RSE86" s="396"/>
      <c r="RSF86" s="452"/>
      <c r="RSG86" s="412"/>
      <c r="RSH86" s="415"/>
      <c r="RSI86" s="413"/>
      <c r="RSS86" s="396"/>
      <c r="RST86" s="452"/>
      <c r="RSU86" s="412"/>
      <c r="RSV86" s="415"/>
      <c r="RSW86" s="413"/>
      <c r="RTG86" s="396"/>
      <c r="RTH86" s="452"/>
      <c r="RTI86" s="412"/>
      <c r="RTJ86" s="415"/>
      <c r="RTK86" s="413"/>
      <c r="RTU86" s="396"/>
      <c r="RTV86" s="452"/>
      <c r="RTW86" s="412"/>
      <c r="RTX86" s="415"/>
      <c r="RTY86" s="413"/>
      <c r="RUI86" s="396"/>
      <c r="RUJ86" s="452"/>
      <c r="RUK86" s="412"/>
      <c r="RUL86" s="415"/>
      <c r="RUM86" s="413"/>
      <c r="RUW86" s="396"/>
      <c r="RUX86" s="452"/>
      <c r="RUY86" s="412"/>
      <c r="RUZ86" s="415"/>
      <c r="RVA86" s="413"/>
      <c r="RVK86" s="396"/>
      <c r="RVL86" s="452"/>
      <c r="RVM86" s="412"/>
      <c r="RVN86" s="415"/>
      <c r="RVO86" s="413"/>
      <c r="RVY86" s="396"/>
      <c r="RVZ86" s="452"/>
      <c r="RWA86" s="412"/>
      <c r="RWB86" s="415"/>
      <c r="RWC86" s="413"/>
      <c r="RWM86" s="396"/>
      <c r="RWN86" s="452"/>
      <c r="RWO86" s="412"/>
      <c r="RWP86" s="415"/>
      <c r="RWQ86" s="413"/>
      <c r="RXA86" s="396"/>
      <c r="RXB86" s="452"/>
      <c r="RXC86" s="412"/>
      <c r="RXD86" s="415"/>
      <c r="RXE86" s="413"/>
      <c r="RXO86" s="396"/>
      <c r="RXP86" s="452"/>
      <c r="RXQ86" s="412"/>
      <c r="RXR86" s="415"/>
      <c r="RXS86" s="413"/>
      <c r="RYC86" s="396"/>
      <c r="RYD86" s="452"/>
      <c r="RYE86" s="412"/>
      <c r="RYF86" s="415"/>
      <c r="RYG86" s="413"/>
      <c r="RYQ86" s="396"/>
      <c r="RYR86" s="452"/>
      <c r="RYS86" s="412"/>
      <c r="RYT86" s="415"/>
      <c r="RYU86" s="413"/>
      <c r="RZE86" s="396"/>
      <c r="RZF86" s="452"/>
      <c r="RZG86" s="412"/>
      <c r="RZH86" s="415"/>
      <c r="RZI86" s="413"/>
      <c r="RZS86" s="396"/>
      <c r="RZT86" s="452"/>
      <c r="RZU86" s="412"/>
      <c r="RZV86" s="415"/>
      <c r="RZW86" s="413"/>
      <c r="SAG86" s="396"/>
      <c r="SAH86" s="452"/>
      <c r="SAI86" s="412"/>
      <c r="SAJ86" s="415"/>
      <c r="SAK86" s="413"/>
      <c r="SAU86" s="396"/>
      <c r="SAV86" s="452"/>
      <c r="SAW86" s="412"/>
      <c r="SAX86" s="415"/>
      <c r="SAY86" s="413"/>
      <c r="SBI86" s="396"/>
      <c r="SBJ86" s="452"/>
      <c r="SBK86" s="412"/>
      <c r="SBL86" s="415"/>
      <c r="SBM86" s="413"/>
      <c r="SBW86" s="396"/>
      <c r="SBX86" s="452"/>
      <c r="SBY86" s="412"/>
      <c r="SBZ86" s="415"/>
      <c r="SCA86" s="413"/>
      <c r="SCK86" s="396"/>
      <c r="SCL86" s="452"/>
      <c r="SCM86" s="412"/>
      <c r="SCN86" s="415"/>
      <c r="SCO86" s="413"/>
      <c r="SCY86" s="396"/>
      <c r="SCZ86" s="452"/>
      <c r="SDA86" s="412"/>
      <c r="SDB86" s="415"/>
      <c r="SDC86" s="413"/>
      <c r="SDM86" s="396"/>
      <c r="SDN86" s="452"/>
      <c r="SDO86" s="412"/>
      <c r="SDP86" s="415"/>
      <c r="SDQ86" s="413"/>
      <c r="SEA86" s="396"/>
      <c r="SEB86" s="452"/>
      <c r="SEC86" s="412"/>
      <c r="SED86" s="415"/>
      <c r="SEE86" s="413"/>
      <c r="SEO86" s="396"/>
      <c r="SEP86" s="452"/>
      <c r="SEQ86" s="412"/>
      <c r="SER86" s="415"/>
      <c r="SES86" s="413"/>
      <c r="SFC86" s="396"/>
      <c r="SFD86" s="452"/>
      <c r="SFE86" s="412"/>
      <c r="SFF86" s="415"/>
      <c r="SFG86" s="413"/>
      <c r="SFQ86" s="396"/>
      <c r="SFR86" s="452"/>
      <c r="SFS86" s="412"/>
      <c r="SFT86" s="415"/>
      <c r="SFU86" s="413"/>
      <c r="SGE86" s="396"/>
      <c r="SGF86" s="452"/>
      <c r="SGG86" s="412"/>
      <c r="SGH86" s="415"/>
      <c r="SGI86" s="413"/>
      <c r="SGS86" s="396"/>
      <c r="SGT86" s="452"/>
      <c r="SGU86" s="412"/>
      <c r="SGV86" s="415"/>
      <c r="SGW86" s="413"/>
      <c r="SHG86" s="396"/>
      <c r="SHH86" s="452"/>
      <c r="SHI86" s="412"/>
      <c r="SHJ86" s="415"/>
      <c r="SHK86" s="413"/>
      <c r="SHU86" s="396"/>
      <c r="SHV86" s="452"/>
      <c r="SHW86" s="412"/>
      <c r="SHX86" s="415"/>
      <c r="SHY86" s="413"/>
      <c r="SII86" s="396"/>
      <c r="SIJ86" s="452"/>
      <c r="SIK86" s="412"/>
      <c r="SIL86" s="415"/>
      <c r="SIM86" s="413"/>
      <c r="SIW86" s="396"/>
      <c r="SIX86" s="452"/>
      <c r="SIY86" s="412"/>
      <c r="SIZ86" s="415"/>
      <c r="SJA86" s="413"/>
      <c r="SJK86" s="396"/>
      <c r="SJL86" s="452"/>
      <c r="SJM86" s="412"/>
      <c r="SJN86" s="415"/>
      <c r="SJO86" s="413"/>
      <c r="SJY86" s="396"/>
      <c r="SJZ86" s="452"/>
      <c r="SKA86" s="412"/>
      <c r="SKB86" s="415"/>
      <c r="SKC86" s="413"/>
      <c r="SKM86" s="396"/>
      <c r="SKN86" s="452"/>
      <c r="SKO86" s="412"/>
      <c r="SKP86" s="415"/>
      <c r="SKQ86" s="413"/>
      <c r="SLA86" s="396"/>
      <c r="SLB86" s="452"/>
      <c r="SLC86" s="412"/>
      <c r="SLD86" s="415"/>
      <c r="SLE86" s="413"/>
      <c r="SLO86" s="396"/>
      <c r="SLP86" s="452"/>
      <c r="SLQ86" s="412"/>
      <c r="SLR86" s="415"/>
      <c r="SLS86" s="413"/>
      <c r="SMC86" s="396"/>
      <c r="SMD86" s="452"/>
      <c r="SME86" s="412"/>
      <c r="SMF86" s="415"/>
      <c r="SMG86" s="413"/>
      <c r="SMQ86" s="396"/>
      <c r="SMR86" s="452"/>
      <c r="SMS86" s="412"/>
      <c r="SMT86" s="415"/>
      <c r="SMU86" s="413"/>
      <c r="SNE86" s="396"/>
      <c r="SNF86" s="452"/>
      <c r="SNG86" s="412"/>
      <c r="SNH86" s="415"/>
      <c r="SNI86" s="413"/>
      <c r="SNS86" s="396"/>
      <c r="SNT86" s="452"/>
      <c r="SNU86" s="412"/>
      <c r="SNV86" s="415"/>
      <c r="SNW86" s="413"/>
      <c r="SOG86" s="396"/>
      <c r="SOH86" s="452"/>
      <c r="SOI86" s="412"/>
      <c r="SOJ86" s="415"/>
      <c r="SOK86" s="413"/>
      <c r="SOU86" s="396"/>
      <c r="SOV86" s="452"/>
      <c r="SOW86" s="412"/>
      <c r="SOX86" s="415"/>
      <c r="SOY86" s="413"/>
      <c r="SPI86" s="396"/>
      <c r="SPJ86" s="452"/>
      <c r="SPK86" s="412"/>
      <c r="SPL86" s="415"/>
      <c r="SPM86" s="413"/>
      <c r="SPW86" s="396"/>
      <c r="SPX86" s="452"/>
      <c r="SPY86" s="412"/>
      <c r="SPZ86" s="415"/>
      <c r="SQA86" s="413"/>
      <c r="SQK86" s="396"/>
      <c r="SQL86" s="452"/>
      <c r="SQM86" s="412"/>
      <c r="SQN86" s="415"/>
      <c r="SQO86" s="413"/>
      <c r="SQY86" s="396"/>
      <c r="SQZ86" s="452"/>
      <c r="SRA86" s="412"/>
      <c r="SRB86" s="415"/>
      <c r="SRC86" s="413"/>
      <c r="SRM86" s="396"/>
      <c r="SRN86" s="452"/>
      <c r="SRO86" s="412"/>
      <c r="SRP86" s="415"/>
      <c r="SRQ86" s="413"/>
      <c r="SSA86" s="396"/>
      <c r="SSB86" s="452"/>
      <c r="SSC86" s="412"/>
      <c r="SSD86" s="415"/>
      <c r="SSE86" s="413"/>
      <c r="SSO86" s="396"/>
      <c r="SSP86" s="452"/>
      <c r="SSQ86" s="412"/>
      <c r="SSR86" s="415"/>
      <c r="SSS86" s="413"/>
      <c r="STC86" s="396"/>
      <c r="STD86" s="452"/>
      <c r="STE86" s="412"/>
      <c r="STF86" s="415"/>
      <c r="STG86" s="413"/>
      <c r="STQ86" s="396"/>
      <c r="STR86" s="452"/>
      <c r="STS86" s="412"/>
      <c r="STT86" s="415"/>
      <c r="STU86" s="413"/>
      <c r="SUE86" s="396"/>
      <c r="SUF86" s="452"/>
      <c r="SUG86" s="412"/>
      <c r="SUH86" s="415"/>
      <c r="SUI86" s="413"/>
      <c r="SUS86" s="396"/>
      <c r="SUT86" s="452"/>
      <c r="SUU86" s="412"/>
      <c r="SUV86" s="415"/>
      <c r="SUW86" s="413"/>
      <c r="SVG86" s="396"/>
      <c r="SVH86" s="452"/>
      <c r="SVI86" s="412"/>
      <c r="SVJ86" s="415"/>
      <c r="SVK86" s="413"/>
      <c r="SVU86" s="396"/>
      <c r="SVV86" s="452"/>
      <c r="SVW86" s="412"/>
      <c r="SVX86" s="415"/>
      <c r="SVY86" s="413"/>
      <c r="SWI86" s="396"/>
      <c r="SWJ86" s="452"/>
      <c r="SWK86" s="412"/>
      <c r="SWL86" s="415"/>
      <c r="SWM86" s="413"/>
      <c r="SWW86" s="396"/>
      <c r="SWX86" s="452"/>
      <c r="SWY86" s="412"/>
      <c r="SWZ86" s="415"/>
      <c r="SXA86" s="413"/>
      <c r="SXK86" s="396"/>
      <c r="SXL86" s="452"/>
      <c r="SXM86" s="412"/>
      <c r="SXN86" s="415"/>
      <c r="SXO86" s="413"/>
      <c r="SXY86" s="396"/>
      <c r="SXZ86" s="452"/>
      <c r="SYA86" s="412"/>
      <c r="SYB86" s="415"/>
      <c r="SYC86" s="413"/>
      <c r="SYM86" s="396"/>
      <c r="SYN86" s="452"/>
      <c r="SYO86" s="412"/>
      <c r="SYP86" s="415"/>
      <c r="SYQ86" s="413"/>
      <c r="SZA86" s="396"/>
      <c r="SZB86" s="452"/>
      <c r="SZC86" s="412"/>
      <c r="SZD86" s="415"/>
      <c r="SZE86" s="413"/>
      <c r="SZO86" s="396"/>
      <c r="SZP86" s="452"/>
      <c r="SZQ86" s="412"/>
      <c r="SZR86" s="415"/>
      <c r="SZS86" s="413"/>
      <c r="TAC86" s="396"/>
      <c r="TAD86" s="452"/>
      <c r="TAE86" s="412"/>
      <c r="TAF86" s="415"/>
      <c r="TAG86" s="413"/>
      <c r="TAQ86" s="396"/>
      <c r="TAR86" s="452"/>
      <c r="TAS86" s="412"/>
      <c r="TAT86" s="415"/>
      <c r="TAU86" s="413"/>
      <c r="TBE86" s="396"/>
      <c r="TBF86" s="452"/>
      <c r="TBG86" s="412"/>
      <c r="TBH86" s="415"/>
      <c r="TBI86" s="413"/>
      <c r="TBS86" s="396"/>
      <c r="TBT86" s="452"/>
      <c r="TBU86" s="412"/>
      <c r="TBV86" s="415"/>
      <c r="TBW86" s="413"/>
      <c r="TCG86" s="396"/>
      <c r="TCH86" s="452"/>
      <c r="TCI86" s="412"/>
      <c r="TCJ86" s="415"/>
      <c r="TCK86" s="413"/>
      <c r="TCU86" s="396"/>
      <c r="TCV86" s="452"/>
      <c r="TCW86" s="412"/>
      <c r="TCX86" s="415"/>
      <c r="TCY86" s="413"/>
      <c r="TDI86" s="396"/>
      <c r="TDJ86" s="452"/>
      <c r="TDK86" s="412"/>
      <c r="TDL86" s="415"/>
      <c r="TDM86" s="413"/>
      <c r="TDW86" s="396"/>
      <c r="TDX86" s="452"/>
      <c r="TDY86" s="412"/>
      <c r="TDZ86" s="415"/>
      <c r="TEA86" s="413"/>
      <c r="TEK86" s="396"/>
      <c r="TEL86" s="452"/>
      <c r="TEM86" s="412"/>
      <c r="TEN86" s="415"/>
      <c r="TEO86" s="413"/>
      <c r="TEY86" s="396"/>
      <c r="TEZ86" s="452"/>
      <c r="TFA86" s="412"/>
      <c r="TFB86" s="415"/>
      <c r="TFC86" s="413"/>
      <c r="TFM86" s="396"/>
      <c r="TFN86" s="452"/>
      <c r="TFO86" s="412"/>
      <c r="TFP86" s="415"/>
      <c r="TFQ86" s="413"/>
      <c r="TGA86" s="396"/>
      <c r="TGB86" s="452"/>
      <c r="TGC86" s="412"/>
      <c r="TGD86" s="415"/>
      <c r="TGE86" s="413"/>
      <c r="TGO86" s="396"/>
      <c r="TGP86" s="452"/>
      <c r="TGQ86" s="412"/>
      <c r="TGR86" s="415"/>
      <c r="TGS86" s="413"/>
      <c r="THC86" s="396"/>
      <c r="THD86" s="452"/>
      <c r="THE86" s="412"/>
      <c r="THF86" s="415"/>
      <c r="THG86" s="413"/>
      <c r="THQ86" s="396"/>
      <c r="THR86" s="452"/>
      <c r="THS86" s="412"/>
      <c r="THT86" s="415"/>
      <c r="THU86" s="413"/>
      <c r="TIE86" s="396"/>
      <c r="TIF86" s="452"/>
      <c r="TIG86" s="412"/>
      <c r="TIH86" s="415"/>
      <c r="TII86" s="413"/>
      <c r="TIS86" s="396"/>
      <c r="TIT86" s="452"/>
      <c r="TIU86" s="412"/>
      <c r="TIV86" s="415"/>
      <c r="TIW86" s="413"/>
      <c r="TJG86" s="396"/>
      <c r="TJH86" s="452"/>
      <c r="TJI86" s="412"/>
      <c r="TJJ86" s="415"/>
      <c r="TJK86" s="413"/>
      <c r="TJU86" s="396"/>
      <c r="TJV86" s="452"/>
      <c r="TJW86" s="412"/>
      <c r="TJX86" s="415"/>
      <c r="TJY86" s="413"/>
      <c r="TKI86" s="396"/>
      <c r="TKJ86" s="452"/>
      <c r="TKK86" s="412"/>
      <c r="TKL86" s="415"/>
      <c r="TKM86" s="413"/>
      <c r="TKW86" s="396"/>
      <c r="TKX86" s="452"/>
      <c r="TKY86" s="412"/>
      <c r="TKZ86" s="415"/>
      <c r="TLA86" s="413"/>
      <c r="TLK86" s="396"/>
      <c r="TLL86" s="452"/>
      <c r="TLM86" s="412"/>
      <c r="TLN86" s="415"/>
      <c r="TLO86" s="413"/>
      <c r="TLY86" s="396"/>
      <c r="TLZ86" s="452"/>
      <c r="TMA86" s="412"/>
      <c r="TMB86" s="415"/>
      <c r="TMC86" s="413"/>
      <c r="TMM86" s="396"/>
      <c r="TMN86" s="452"/>
      <c r="TMO86" s="412"/>
      <c r="TMP86" s="415"/>
      <c r="TMQ86" s="413"/>
      <c r="TNA86" s="396"/>
      <c r="TNB86" s="452"/>
      <c r="TNC86" s="412"/>
      <c r="TND86" s="415"/>
      <c r="TNE86" s="413"/>
      <c r="TNO86" s="396"/>
      <c r="TNP86" s="452"/>
      <c r="TNQ86" s="412"/>
      <c r="TNR86" s="415"/>
      <c r="TNS86" s="413"/>
      <c r="TOC86" s="396"/>
      <c r="TOD86" s="452"/>
      <c r="TOE86" s="412"/>
      <c r="TOF86" s="415"/>
      <c r="TOG86" s="413"/>
      <c r="TOQ86" s="396"/>
      <c r="TOR86" s="452"/>
      <c r="TOS86" s="412"/>
      <c r="TOT86" s="415"/>
      <c r="TOU86" s="413"/>
      <c r="TPE86" s="396"/>
      <c r="TPF86" s="452"/>
      <c r="TPG86" s="412"/>
      <c r="TPH86" s="415"/>
      <c r="TPI86" s="413"/>
      <c r="TPS86" s="396"/>
      <c r="TPT86" s="452"/>
      <c r="TPU86" s="412"/>
      <c r="TPV86" s="415"/>
      <c r="TPW86" s="413"/>
      <c r="TQG86" s="396"/>
      <c r="TQH86" s="452"/>
      <c r="TQI86" s="412"/>
      <c r="TQJ86" s="415"/>
      <c r="TQK86" s="413"/>
      <c r="TQU86" s="396"/>
      <c r="TQV86" s="452"/>
      <c r="TQW86" s="412"/>
      <c r="TQX86" s="415"/>
      <c r="TQY86" s="413"/>
      <c r="TRI86" s="396"/>
      <c r="TRJ86" s="452"/>
      <c r="TRK86" s="412"/>
      <c r="TRL86" s="415"/>
      <c r="TRM86" s="413"/>
      <c r="TRW86" s="396"/>
      <c r="TRX86" s="452"/>
      <c r="TRY86" s="412"/>
      <c r="TRZ86" s="415"/>
      <c r="TSA86" s="413"/>
      <c r="TSK86" s="396"/>
      <c r="TSL86" s="452"/>
      <c r="TSM86" s="412"/>
      <c r="TSN86" s="415"/>
      <c r="TSO86" s="413"/>
      <c r="TSY86" s="396"/>
      <c r="TSZ86" s="452"/>
      <c r="TTA86" s="412"/>
      <c r="TTB86" s="415"/>
      <c r="TTC86" s="413"/>
      <c r="TTM86" s="396"/>
      <c r="TTN86" s="452"/>
      <c r="TTO86" s="412"/>
      <c r="TTP86" s="415"/>
      <c r="TTQ86" s="413"/>
      <c r="TUA86" s="396"/>
      <c r="TUB86" s="452"/>
      <c r="TUC86" s="412"/>
      <c r="TUD86" s="415"/>
      <c r="TUE86" s="413"/>
      <c r="TUO86" s="396"/>
      <c r="TUP86" s="452"/>
      <c r="TUQ86" s="412"/>
      <c r="TUR86" s="415"/>
      <c r="TUS86" s="413"/>
      <c r="TVC86" s="396"/>
      <c r="TVD86" s="452"/>
      <c r="TVE86" s="412"/>
      <c r="TVF86" s="415"/>
      <c r="TVG86" s="413"/>
      <c r="TVQ86" s="396"/>
      <c r="TVR86" s="452"/>
      <c r="TVS86" s="412"/>
      <c r="TVT86" s="415"/>
      <c r="TVU86" s="413"/>
      <c r="TWE86" s="396"/>
      <c r="TWF86" s="452"/>
      <c r="TWG86" s="412"/>
      <c r="TWH86" s="415"/>
      <c r="TWI86" s="413"/>
      <c r="TWS86" s="396"/>
      <c r="TWT86" s="452"/>
      <c r="TWU86" s="412"/>
      <c r="TWV86" s="415"/>
      <c r="TWW86" s="413"/>
      <c r="TXG86" s="396"/>
      <c r="TXH86" s="452"/>
      <c r="TXI86" s="412"/>
      <c r="TXJ86" s="415"/>
      <c r="TXK86" s="413"/>
      <c r="TXU86" s="396"/>
      <c r="TXV86" s="452"/>
      <c r="TXW86" s="412"/>
      <c r="TXX86" s="415"/>
      <c r="TXY86" s="413"/>
      <c r="TYI86" s="396"/>
      <c r="TYJ86" s="452"/>
      <c r="TYK86" s="412"/>
      <c r="TYL86" s="415"/>
      <c r="TYM86" s="413"/>
      <c r="TYW86" s="396"/>
      <c r="TYX86" s="452"/>
      <c r="TYY86" s="412"/>
      <c r="TYZ86" s="415"/>
      <c r="TZA86" s="413"/>
      <c r="TZK86" s="396"/>
      <c r="TZL86" s="452"/>
      <c r="TZM86" s="412"/>
      <c r="TZN86" s="415"/>
      <c r="TZO86" s="413"/>
      <c r="TZY86" s="396"/>
      <c r="TZZ86" s="452"/>
      <c r="UAA86" s="412"/>
      <c r="UAB86" s="415"/>
      <c r="UAC86" s="413"/>
      <c r="UAM86" s="396"/>
      <c r="UAN86" s="452"/>
      <c r="UAO86" s="412"/>
      <c r="UAP86" s="415"/>
      <c r="UAQ86" s="413"/>
      <c r="UBA86" s="396"/>
      <c r="UBB86" s="452"/>
      <c r="UBC86" s="412"/>
      <c r="UBD86" s="415"/>
      <c r="UBE86" s="413"/>
      <c r="UBO86" s="396"/>
      <c r="UBP86" s="452"/>
      <c r="UBQ86" s="412"/>
      <c r="UBR86" s="415"/>
      <c r="UBS86" s="413"/>
      <c r="UCC86" s="396"/>
      <c r="UCD86" s="452"/>
      <c r="UCE86" s="412"/>
      <c r="UCF86" s="415"/>
      <c r="UCG86" s="413"/>
      <c r="UCQ86" s="396"/>
      <c r="UCR86" s="452"/>
      <c r="UCS86" s="412"/>
      <c r="UCT86" s="415"/>
      <c r="UCU86" s="413"/>
      <c r="UDE86" s="396"/>
      <c r="UDF86" s="452"/>
      <c r="UDG86" s="412"/>
      <c r="UDH86" s="415"/>
      <c r="UDI86" s="413"/>
      <c r="UDS86" s="396"/>
      <c r="UDT86" s="452"/>
      <c r="UDU86" s="412"/>
      <c r="UDV86" s="415"/>
      <c r="UDW86" s="413"/>
      <c r="UEG86" s="396"/>
      <c r="UEH86" s="452"/>
      <c r="UEI86" s="412"/>
      <c r="UEJ86" s="415"/>
      <c r="UEK86" s="413"/>
      <c r="UEU86" s="396"/>
      <c r="UEV86" s="452"/>
      <c r="UEW86" s="412"/>
      <c r="UEX86" s="415"/>
      <c r="UEY86" s="413"/>
      <c r="UFI86" s="396"/>
      <c r="UFJ86" s="452"/>
      <c r="UFK86" s="412"/>
      <c r="UFL86" s="415"/>
      <c r="UFM86" s="413"/>
      <c r="UFW86" s="396"/>
      <c r="UFX86" s="452"/>
      <c r="UFY86" s="412"/>
      <c r="UFZ86" s="415"/>
      <c r="UGA86" s="413"/>
      <c r="UGK86" s="396"/>
      <c r="UGL86" s="452"/>
      <c r="UGM86" s="412"/>
      <c r="UGN86" s="415"/>
      <c r="UGO86" s="413"/>
      <c r="UGY86" s="396"/>
      <c r="UGZ86" s="452"/>
      <c r="UHA86" s="412"/>
      <c r="UHB86" s="415"/>
      <c r="UHC86" s="413"/>
      <c r="UHM86" s="396"/>
      <c r="UHN86" s="452"/>
      <c r="UHO86" s="412"/>
      <c r="UHP86" s="415"/>
      <c r="UHQ86" s="413"/>
      <c r="UIA86" s="396"/>
      <c r="UIB86" s="452"/>
      <c r="UIC86" s="412"/>
      <c r="UID86" s="415"/>
      <c r="UIE86" s="413"/>
      <c r="UIO86" s="396"/>
      <c r="UIP86" s="452"/>
      <c r="UIQ86" s="412"/>
      <c r="UIR86" s="415"/>
      <c r="UIS86" s="413"/>
      <c r="UJC86" s="396"/>
      <c r="UJD86" s="452"/>
      <c r="UJE86" s="412"/>
      <c r="UJF86" s="415"/>
      <c r="UJG86" s="413"/>
      <c r="UJQ86" s="396"/>
      <c r="UJR86" s="452"/>
      <c r="UJS86" s="412"/>
      <c r="UJT86" s="415"/>
      <c r="UJU86" s="413"/>
      <c r="UKE86" s="396"/>
      <c r="UKF86" s="452"/>
      <c r="UKG86" s="412"/>
      <c r="UKH86" s="415"/>
      <c r="UKI86" s="413"/>
      <c r="UKS86" s="396"/>
      <c r="UKT86" s="452"/>
      <c r="UKU86" s="412"/>
      <c r="UKV86" s="415"/>
      <c r="UKW86" s="413"/>
      <c r="ULG86" s="396"/>
      <c r="ULH86" s="452"/>
      <c r="ULI86" s="412"/>
      <c r="ULJ86" s="415"/>
      <c r="ULK86" s="413"/>
      <c r="ULU86" s="396"/>
      <c r="ULV86" s="452"/>
      <c r="ULW86" s="412"/>
      <c r="ULX86" s="415"/>
      <c r="ULY86" s="413"/>
      <c r="UMI86" s="396"/>
      <c r="UMJ86" s="452"/>
      <c r="UMK86" s="412"/>
      <c r="UML86" s="415"/>
      <c r="UMM86" s="413"/>
      <c r="UMW86" s="396"/>
      <c r="UMX86" s="452"/>
      <c r="UMY86" s="412"/>
      <c r="UMZ86" s="415"/>
      <c r="UNA86" s="413"/>
      <c r="UNK86" s="396"/>
      <c r="UNL86" s="452"/>
      <c r="UNM86" s="412"/>
      <c r="UNN86" s="415"/>
      <c r="UNO86" s="413"/>
      <c r="UNY86" s="396"/>
      <c r="UNZ86" s="452"/>
      <c r="UOA86" s="412"/>
      <c r="UOB86" s="415"/>
      <c r="UOC86" s="413"/>
      <c r="UOM86" s="396"/>
      <c r="UON86" s="452"/>
      <c r="UOO86" s="412"/>
      <c r="UOP86" s="415"/>
      <c r="UOQ86" s="413"/>
      <c r="UPA86" s="396"/>
      <c r="UPB86" s="452"/>
      <c r="UPC86" s="412"/>
      <c r="UPD86" s="415"/>
      <c r="UPE86" s="413"/>
      <c r="UPO86" s="396"/>
      <c r="UPP86" s="452"/>
      <c r="UPQ86" s="412"/>
      <c r="UPR86" s="415"/>
      <c r="UPS86" s="413"/>
      <c r="UQC86" s="396"/>
      <c r="UQD86" s="452"/>
      <c r="UQE86" s="412"/>
      <c r="UQF86" s="415"/>
      <c r="UQG86" s="413"/>
      <c r="UQQ86" s="396"/>
      <c r="UQR86" s="452"/>
      <c r="UQS86" s="412"/>
      <c r="UQT86" s="415"/>
      <c r="UQU86" s="413"/>
      <c r="URE86" s="396"/>
      <c r="URF86" s="452"/>
      <c r="URG86" s="412"/>
      <c r="URH86" s="415"/>
      <c r="URI86" s="413"/>
      <c r="URS86" s="396"/>
      <c r="URT86" s="452"/>
      <c r="URU86" s="412"/>
      <c r="URV86" s="415"/>
      <c r="URW86" s="413"/>
      <c r="USG86" s="396"/>
      <c r="USH86" s="452"/>
      <c r="USI86" s="412"/>
      <c r="USJ86" s="415"/>
      <c r="USK86" s="413"/>
      <c r="USU86" s="396"/>
      <c r="USV86" s="452"/>
      <c r="USW86" s="412"/>
      <c r="USX86" s="415"/>
      <c r="USY86" s="413"/>
      <c r="UTI86" s="396"/>
      <c r="UTJ86" s="452"/>
      <c r="UTK86" s="412"/>
      <c r="UTL86" s="415"/>
      <c r="UTM86" s="413"/>
      <c r="UTW86" s="396"/>
      <c r="UTX86" s="452"/>
      <c r="UTY86" s="412"/>
      <c r="UTZ86" s="415"/>
      <c r="UUA86" s="413"/>
      <c r="UUK86" s="396"/>
      <c r="UUL86" s="452"/>
      <c r="UUM86" s="412"/>
      <c r="UUN86" s="415"/>
      <c r="UUO86" s="413"/>
      <c r="UUY86" s="396"/>
      <c r="UUZ86" s="452"/>
      <c r="UVA86" s="412"/>
      <c r="UVB86" s="415"/>
      <c r="UVC86" s="413"/>
      <c r="UVM86" s="396"/>
      <c r="UVN86" s="452"/>
      <c r="UVO86" s="412"/>
      <c r="UVP86" s="415"/>
      <c r="UVQ86" s="413"/>
      <c r="UWA86" s="396"/>
      <c r="UWB86" s="452"/>
      <c r="UWC86" s="412"/>
      <c r="UWD86" s="415"/>
      <c r="UWE86" s="413"/>
      <c r="UWO86" s="396"/>
      <c r="UWP86" s="452"/>
      <c r="UWQ86" s="412"/>
      <c r="UWR86" s="415"/>
      <c r="UWS86" s="413"/>
      <c r="UXC86" s="396"/>
      <c r="UXD86" s="452"/>
      <c r="UXE86" s="412"/>
      <c r="UXF86" s="415"/>
      <c r="UXG86" s="413"/>
      <c r="UXQ86" s="396"/>
      <c r="UXR86" s="452"/>
      <c r="UXS86" s="412"/>
      <c r="UXT86" s="415"/>
      <c r="UXU86" s="413"/>
      <c r="UYE86" s="396"/>
      <c r="UYF86" s="452"/>
      <c r="UYG86" s="412"/>
      <c r="UYH86" s="415"/>
      <c r="UYI86" s="413"/>
      <c r="UYS86" s="396"/>
      <c r="UYT86" s="452"/>
      <c r="UYU86" s="412"/>
      <c r="UYV86" s="415"/>
      <c r="UYW86" s="413"/>
      <c r="UZG86" s="396"/>
      <c r="UZH86" s="452"/>
      <c r="UZI86" s="412"/>
      <c r="UZJ86" s="415"/>
      <c r="UZK86" s="413"/>
      <c r="UZU86" s="396"/>
      <c r="UZV86" s="452"/>
      <c r="UZW86" s="412"/>
      <c r="UZX86" s="415"/>
      <c r="UZY86" s="413"/>
      <c r="VAI86" s="396"/>
      <c r="VAJ86" s="452"/>
      <c r="VAK86" s="412"/>
      <c r="VAL86" s="415"/>
      <c r="VAM86" s="413"/>
      <c r="VAW86" s="396"/>
      <c r="VAX86" s="452"/>
      <c r="VAY86" s="412"/>
      <c r="VAZ86" s="415"/>
      <c r="VBA86" s="413"/>
      <c r="VBK86" s="396"/>
      <c r="VBL86" s="452"/>
      <c r="VBM86" s="412"/>
      <c r="VBN86" s="415"/>
      <c r="VBO86" s="413"/>
      <c r="VBY86" s="396"/>
      <c r="VBZ86" s="452"/>
      <c r="VCA86" s="412"/>
      <c r="VCB86" s="415"/>
      <c r="VCC86" s="413"/>
      <c r="VCM86" s="396"/>
      <c r="VCN86" s="452"/>
      <c r="VCO86" s="412"/>
      <c r="VCP86" s="415"/>
      <c r="VCQ86" s="413"/>
      <c r="VDA86" s="396"/>
      <c r="VDB86" s="452"/>
      <c r="VDC86" s="412"/>
      <c r="VDD86" s="415"/>
      <c r="VDE86" s="413"/>
      <c r="VDO86" s="396"/>
      <c r="VDP86" s="452"/>
      <c r="VDQ86" s="412"/>
      <c r="VDR86" s="415"/>
      <c r="VDS86" s="413"/>
      <c r="VEC86" s="396"/>
      <c r="VED86" s="452"/>
      <c r="VEE86" s="412"/>
      <c r="VEF86" s="415"/>
      <c r="VEG86" s="413"/>
      <c r="VEQ86" s="396"/>
      <c r="VER86" s="452"/>
      <c r="VES86" s="412"/>
      <c r="VET86" s="415"/>
      <c r="VEU86" s="413"/>
      <c r="VFE86" s="396"/>
      <c r="VFF86" s="452"/>
      <c r="VFG86" s="412"/>
      <c r="VFH86" s="415"/>
      <c r="VFI86" s="413"/>
      <c r="VFS86" s="396"/>
      <c r="VFT86" s="452"/>
      <c r="VFU86" s="412"/>
      <c r="VFV86" s="415"/>
      <c r="VFW86" s="413"/>
      <c r="VGG86" s="396"/>
      <c r="VGH86" s="452"/>
      <c r="VGI86" s="412"/>
      <c r="VGJ86" s="415"/>
      <c r="VGK86" s="413"/>
      <c r="VGU86" s="396"/>
      <c r="VGV86" s="452"/>
      <c r="VGW86" s="412"/>
      <c r="VGX86" s="415"/>
      <c r="VGY86" s="413"/>
      <c r="VHI86" s="396"/>
      <c r="VHJ86" s="452"/>
      <c r="VHK86" s="412"/>
      <c r="VHL86" s="415"/>
      <c r="VHM86" s="413"/>
      <c r="VHW86" s="396"/>
      <c r="VHX86" s="452"/>
      <c r="VHY86" s="412"/>
      <c r="VHZ86" s="415"/>
      <c r="VIA86" s="413"/>
      <c r="VIK86" s="396"/>
      <c r="VIL86" s="452"/>
      <c r="VIM86" s="412"/>
      <c r="VIN86" s="415"/>
      <c r="VIO86" s="413"/>
      <c r="VIY86" s="396"/>
      <c r="VIZ86" s="452"/>
      <c r="VJA86" s="412"/>
      <c r="VJB86" s="415"/>
      <c r="VJC86" s="413"/>
      <c r="VJM86" s="396"/>
      <c r="VJN86" s="452"/>
      <c r="VJO86" s="412"/>
      <c r="VJP86" s="415"/>
      <c r="VJQ86" s="413"/>
      <c r="VKA86" s="396"/>
      <c r="VKB86" s="452"/>
      <c r="VKC86" s="412"/>
      <c r="VKD86" s="415"/>
      <c r="VKE86" s="413"/>
      <c r="VKO86" s="396"/>
      <c r="VKP86" s="452"/>
      <c r="VKQ86" s="412"/>
      <c r="VKR86" s="415"/>
      <c r="VKS86" s="413"/>
      <c r="VLC86" s="396"/>
      <c r="VLD86" s="452"/>
      <c r="VLE86" s="412"/>
      <c r="VLF86" s="415"/>
      <c r="VLG86" s="413"/>
      <c r="VLQ86" s="396"/>
      <c r="VLR86" s="452"/>
      <c r="VLS86" s="412"/>
      <c r="VLT86" s="415"/>
      <c r="VLU86" s="413"/>
      <c r="VME86" s="396"/>
      <c r="VMF86" s="452"/>
      <c r="VMG86" s="412"/>
      <c r="VMH86" s="415"/>
      <c r="VMI86" s="413"/>
      <c r="VMS86" s="396"/>
      <c r="VMT86" s="452"/>
      <c r="VMU86" s="412"/>
      <c r="VMV86" s="415"/>
      <c r="VMW86" s="413"/>
      <c r="VNG86" s="396"/>
      <c r="VNH86" s="452"/>
      <c r="VNI86" s="412"/>
      <c r="VNJ86" s="415"/>
      <c r="VNK86" s="413"/>
      <c r="VNU86" s="396"/>
      <c r="VNV86" s="452"/>
      <c r="VNW86" s="412"/>
      <c r="VNX86" s="415"/>
      <c r="VNY86" s="413"/>
      <c r="VOI86" s="396"/>
      <c r="VOJ86" s="452"/>
      <c r="VOK86" s="412"/>
      <c r="VOL86" s="415"/>
      <c r="VOM86" s="413"/>
      <c r="VOW86" s="396"/>
      <c r="VOX86" s="452"/>
      <c r="VOY86" s="412"/>
      <c r="VOZ86" s="415"/>
      <c r="VPA86" s="413"/>
      <c r="VPK86" s="396"/>
      <c r="VPL86" s="452"/>
      <c r="VPM86" s="412"/>
      <c r="VPN86" s="415"/>
      <c r="VPO86" s="413"/>
      <c r="VPY86" s="396"/>
      <c r="VPZ86" s="452"/>
      <c r="VQA86" s="412"/>
      <c r="VQB86" s="415"/>
      <c r="VQC86" s="413"/>
      <c r="VQM86" s="396"/>
      <c r="VQN86" s="452"/>
      <c r="VQO86" s="412"/>
      <c r="VQP86" s="415"/>
      <c r="VQQ86" s="413"/>
      <c r="VRA86" s="396"/>
      <c r="VRB86" s="452"/>
      <c r="VRC86" s="412"/>
      <c r="VRD86" s="415"/>
      <c r="VRE86" s="413"/>
      <c r="VRO86" s="396"/>
      <c r="VRP86" s="452"/>
      <c r="VRQ86" s="412"/>
      <c r="VRR86" s="415"/>
      <c r="VRS86" s="413"/>
      <c r="VSC86" s="396"/>
      <c r="VSD86" s="452"/>
      <c r="VSE86" s="412"/>
      <c r="VSF86" s="415"/>
      <c r="VSG86" s="413"/>
      <c r="VSQ86" s="396"/>
      <c r="VSR86" s="452"/>
      <c r="VSS86" s="412"/>
      <c r="VST86" s="415"/>
      <c r="VSU86" s="413"/>
      <c r="VTE86" s="396"/>
      <c r="VTF86" s="452"/>
      <c r="VTG86" s="412"/>
      <c r="VTH86" s="415"/>
      <c r="VTI86" s="413"/>
      <c r="VTS86" s="396"/>
      <c r="VTT86" s="452"/>
      <c r="VTU86" s="412"/>
      <c r="VTV86" s="415"/>
      <c r="VTW86" s="413"/>
      <c r="VUG86" s="396"/>
      <c r="VUH86" s="452"/>
      <c r="VUI86" s="412"/>
      <c r="VUJ86" s="415"/>
      <c r="VUK86" s="413"/>
      <c r="VUU86" s="396"/>
      <c r="VUV86" s="452"/>
      <c r="VUW86" s="412"/>
      <c r="VUX86" s="415"/>
      <c r="VUY86" s="413"/>
      <c r="VVI86" s="396"/>
      <c r="VVJ86" s="452"/>
      <c r="VVK86" s="412"/>
      <c r="VVL86" s="415"/>
      <c r="VVM86" s="413"/>
      <c r="VVW86" s="396"/>
      <c r="VVX86" s="452"/>
      <c r="VVY86" s="412"/>
      <c r="VVZ86" s="415"/>
      <c r="VWA86" s="413"/>
      <c r="VWK86" s="396"/>
      <c r="VWL86" s="452"/>
      <c r="VWM86" s="412"/>
      <c r="VWN86" s="415"/>
      <c r="VWO86" s="413"/>
      <c r="VWY86" s="396"/>
      <c r="VWZ86" s="452"/>
      <c r="VXA86" s="412"/>
      <c r="VXB86" s="415"/>
      <c r="VXC86" s="413"/>
      <c r="VXM86" s="396"/>
      <c r="VXN86" s="452"/>
      <c r="VXO86" s="412"/>
      <c r="VXP86" s="415"/>
      <c r="VXQ86" s="413"/>
      <c r="VYA86" s="396"/>
      <c r="VYB86" s="452"/>
      <c r="VYC86" s="412"/>
      <c r="VYD86" s="415"/>
      <c r="VYE86" s="413"/>
      <c r="VYO86" s="396"/>
      <c r="VYP86" s="452"/>
      <c r="VYQ86" s="412"/>
      <c r="VYR86" s="415"/>
      <c r="VYS86" s="413"/>
      <c r="VZC86" s="396"/>
      <c r="VZD86" s="452"/>
      <c r="VZE86" s="412"/>
      <c r="VZF86" s="415"/>
      <c r="VZG86" s="413"/>
      <c r="VZQ86" s="396"/>
      <c r="VZR86" s="452"/>
      <c r="VZS86" s="412"/>
      <c r="VZT86" s="415"/>
      <c r="VZU86" s="413"/>
      <c r="WAE86" s="396"/>
      <c r="WAF86" s="452"/>
      <c r="WAG86" s="412"/>
      <c r="WAH86" s="415"/>
      <c r="WAI86" s="413"/>
      <c r="WAS86" s="396"/>
      <c r="WAT86" s="452"/>
      <c r="WAU86" s="412"/>
      <c r="WAV86" s="415"/>
      <c r="WAW86" s="413"/>
      <c r="WBG86" s="396"/>
      <c r="WBH86" s="452"/>
      <c r="WBI86" s="412"/>
      <c r="WBJ86" s="415"/>
      <c r="WBK86" s="413"/>
      <c r="WBU86" s="396"/>
      <c r="WBV86" s="452"/>
      <c r="WBW86" s="412"/>
      <c r="WBX86" s="415"/>
      <c r="WBY86" s="413"/>
      <c r="WCI86" s="396"/>
      <c r="WCJ86" s="452"/>
      <c r="WCK86" s="412"/>
      <c r="WCL86" s="415"/>
      <c r="WCM86" s="413"/>
      <c r="WCW86" s="396"/>
      <c r="WCX86" s="452"/>
      <c r="WCY86" s="412"/>
      <c r="WCZ86" s="415"/>
      <c r="WDA86" s="413"/>
      <c r="WDK86" s="396"/>
      <c r="WDL86" s="452"/>
      <c r="WDM86" s="412"/>
      <c r="WDN86" s="415"/>
      <c r="WDO86" s="413"/>
      <c r="WDY86" s="396"/>
      <c r="WDZ86" s="452"/>
      <c r="WEA86" s="412"/>
      <c r="WEB86" s="415"/>
      <c r="WEC86" s="413"/>
      <c r="WEM86" s="396"/>
      <c r="WEN86" s="452"/>
      <c r="WEO86" s="412"/>
      <c r="WEP86" s="415"/>
      <c r="WEQ86" s="413"/>
      <c r="WFA86" s="396"/>
      <c r="WFB86" s="452"/>
      <c r="WFC86" s="412"/>
      <c r="WFD86" s="415"/>
      <c r="WFE86" s="413"/>
      <c r="WFO86" s="396"/>
      <c r="WFP86" s="452"/>
      <c r="WFQ86" s="412"/>
      <c r="WFR86" s="415"/>
      <c r="WFS86" s="413"/>
      <c r="WGC86" s="396"/>
      <c r="WGD86" s="452"/>
      <c r="WGE86" s="412"/>
      <c r="WGF86" s="415"/>
      <c r="WGG86" s="413"/>
      <c r="WGQ86" s="396"/>
      <c r="WGR86" s="452"/>
      <c r="WGS86" s="412"/>
      <c r="WGT86" s="415"/>
      <c r="WGU86" s="413"/>
      <c r="WHE86" s="396"/>
      <c r="WHF86" s="452"/>
      <c r="WHG86" s="412"/>
      <c r="WHH86" s="415"/>
      <c r="WHI86" s="413"/>
      <c r="WHS86" s="396"/>
      <c r="WHT86" s="452"/>
      <c r="WHU86" s="412"/>
      <c r="WHV86" s="415"/>
      <c r="WHW86" s="413"/>
      <c r="WIG86" s="396"/>
      <c r="WIH86" s="452"/>
      <c r="WII86" s="412"/>
      <c r="WIJ86" s="415"/>
      <c r="WIK86" s="413"/>
      <c r="WIU86" s="396"/>
      <c r="WIV86" s="452"/>
      <c r="WIW86" s="412"/>
      <c r="WIX86" s="415"/>
      <c r="WIY86" s="413"/>
      <c r="WJI86" s="396"/>
      <c r="WJJ86" s="452"/>
      <c r="WJK86" s="412"/>
      <c r="WJL86" s="415"/>
      <c r="WJM86" s="413"/>
      <c r="WJW86" s="396"/>
      <c r="WJX86" s="452"/>
      <c r="WJY86" s="412"/>
      <c r="WJZ86" s="415"/>
      <c r="WKA86" s="413"/>
      <c r="WKK86" s="396"/>
      <c r="WKL86" s="452"/>
      <c r="WKM86" s="412"/>
      <c r="WKN86" s="415"/>
      <c r="WKO86" s="413"/>
      <c r="WKY86" s="396"/>
      <c r="WKZ86" s="452"/>
      <c r="WLA86" s="412"/>
      <c r="WLB86" s="415"/>
      <c r="WLC86" s="413"/>
      <c r="WLM86" s="396"/>
      <c r="WLN86" s="452"/>
      <c r="WLO86" s="412"/>
      <c r="WLP86" s="415"/>
      <c r="WLQ86" s="413"/>
      <c r="WMA86" s="396"/>
      <c r="WMB86" s="452"/>
      <c r="WMC86" s="412"/>
      <c r="WMD86" s="415"/>
      <c r="WME86" s="413"/>
      <c r="WMO86" s="396"/>
      <c r="WMP86" s="452"/>
      <c r="WMQ86" s="412"/>
      <c r="WMR86" s="415"/>
      <c r="WMS86" s="413"/>
      <c r="WNC86" s="396"/>
      <c r="WND86" s="452"/>
      <c r="WNE86" s="412"/>
      <c r="WNF86" s="415"/>
      <c r="WNG86" s="413"/>
      <c r="WNQ86" s="396"/>
      <c r="WNR86" s="452"/>
      <c r="WNS86" s="412"/>
      <c r="WNT86" s="415"/>
      <c r="WNU86" s="413"/>
      <c r="WOE86" s="396"/>
      <c r="WOF86" s="452"/>
      <c r="WOG86" s="412"/>
      <c r="WOH86" s="415"/>
      <c r="WOI86" s="413"/>
      <c r="WOS86" s="396"/>
      <c r="WOT86" s="452"/>
      <c r="WOU86" s="412"/>
      <c r="WOV86" s="415"/>
      <c r="WOW86" s="413"/>
      <c r="WPG86" s="396"/>
      <c r="WPH86" s="452"/>
      <c r="WPI86" s="412"/>
      <c r="WPJ86" s="415"/>
      <c r="WPK86" s="413"/>
      <c r="WPU86" s="396"/>
      <c r="WPV86" s="452"/>
      <c r="WPW86" s="412"/>
      <c r="WPX86" s="415"/>
      <c r="WPY86" s="413"/>
      <c r="WQI86" s="396"/>
      <c r="WQJ86" s="452"/>
      <c r="WQK86" s="412"/>
      <c r="WQL86" s="415"/>
      <c r="WQM86" s="413"/>
      <c r="WQW86" s="396"/>
      <c r="WQX86" s="452"/>
      <c r="WQY86" s="412"/>
      <c r="WQZ86" s="415"/>
      <c r="WRA86" s="413"/>
      <c r="WRK86" s="396"/>
      <c r="WRL86" s="452"/>
      <c r="WRM86" s="412"/>
      <c r="WRN86" s="415"/>
      <c r="WRO86" s="413"/>
      <c r="WRY86" s="396"/>
      <c r="WRZ86" s="452"/>
      <c r="WSA86" s="412"/>
      <c r="WSB86" s="415"/>
      <c r="WSC86" s="413"/>
      <c r="WSM86" s="396"/>
      <c r="WSN86" s="452"/>
      <c r="WSO86" s="412"/>
      <c r="WSP86" s="415"/>
      <c r="WSQ86" s="413"/>
      <c r="WTA86" s="396"/>
      <c r="WTB86" s="452"/>
      <c r="WTC86" s="412"/>
      <c r="WTD86" s="415"/>
      <c r="WTE86" s="413"/>
      <c r="WTO86" s="396"/>
      <c r="WTP86" s="452"/>
      <c r="WTQ86" s="412"/>
      <c r="WTR86" s="415"/>
      <c r="WTS86" s="413"/>
      <c r="WUC86" s="396"/>
      <c r="WUD86" s="452"/>
      <c r="WUE86" s="412"/>
      <c r="WUF86" s="415"/>
      <c r="WUG86" s="413"/>
      <c r="WUQ86" s="396"/>
      <c r="WUR86" s="452"/>
      <c r="WUS86" s="412"/>
      <c r="WUT86" s="415"/>
      <c r="WUU86" s="413"/>
      <c r="WVE86" s="396"/>
      <c r="WVF86" s="452"/>
      <c r="WVG86" s="412"/>
      <c r="WVH86" s="415"/>
      <c r="WVI86" s="413"/>
      <c r="WVS86" s="396"/>
      <c r="WVT86" s="452"/>
      <c r="WVU86" s="412"/>
      <c r="WVV86" s="415"/>
      <c r="WVW86" s="413"/>
      <c r="WWG86" s="396"/>
      <c r="WWH86" s="452"/>
      <c r="WWI86" s="412"/>
      <c r="WWJ86" s="415"/>
      <c r="WWK86" s="413"/>
      <c r="WWU86" s="396"/>
      <c r="WWV86" s="452"/>
      <c r="WWW86" s="412"/>
      <c r="WWX86" s="415"/>
      <c r="WWY86" s="413"/>
      <c r="WXI86" s="396"/>
      <c r="WXJ86" s="452"/>
      <c r="WXK86" s="412"/>
      <c r="WXL86" s="415"/>
      <c r="WXM86" s="413"/>
      <c r="WXW86" s="396"/>
      <c r="WXX86" s="452"/>
      <c r="WXY86" s="412"/>
      <c r="WXZ86" s="415"/>
      <c r="WYA86" s="413"/>
      <c r="WYK86" s="396"/>
      <c r="WYL86" s="452"/>
      <c r="WYM86" s="412"/>
      <c r="WYN86" s="415"/>
      <c r="WYO86" s="413"/>
      <c r="WYY86" s="396"/>
      <c r="WYZ86" s="452"/>
      <c r="WZA86" s="412"/>
      <c r="WZB86" s="415"/>
      <c r="WZC86" s="413"/>
      <c r="WZM86" s="396"/>
      <c r="WZN86" s="452"/>
      <c r="WZO86" s="412"/>
      <c r="WZP86" s="415"/>
      <c r="WZQ86" s="413"/>
      <c r="XAA86" s="396"/>
      <c r="XAB86" s="452"/>
      <c r="XAC86" s="412"/>
      <c r="XAD86" s="415"/>
      <c r="XAE86" s="413"/>
      <c r="XAO86" s="396"/>
      <c r="XAP86" s="452"/>
      <c r="XAQ86" s="412"/>
      <c r="XAR86" s="415"/>
      <c r="XAS86" s="413"/>
      <c r="XBC86" s="396"/>
      <c r="XBD86" s="452"/>
      <c r="XBE86" s="412"/>
      <c r="XBF86" s="415"/>
      <c r="XBG86" s="413"/>
      <c r="XBQ86" s="396"/>
      <c r="XBR86" s="452"/>
      <c r="XBS86" s="412"/>
      <c r="XBT86" s="415"/>
      <c r="XBU86" s="413"/>
      <c r="XCE86" s="396"/>
      <c r="XCF86" s="452"/>
      <c r="XCG86" s="412"/>
      <c r="XCH86" s="415"/>
      <c r="XCI86" s="413"/>
      <c r="XCS86" s="396"/>
      <c r="XCT86" s="452"/>
      <c r="XCU86" s="412"/>
      <c r="XCV86" s="415"/>
      <c r="XCW86" s="413"/>
      <c r="XDG86" s="396"/>
      <c r="XDH86" s="452"/>
      <c r="XDI86" s="412"/>
      <c r="XDJ86" s="415"/>
      <c r="XDK86" s="413"/>
      <c r="XDU86" s="396"/>
      <c r="XDV86" s="452"/>
      <c r="XDW86" s="412"/>
      <c r="XDX86" s="415"/>
      <c r="XDY86" s="413"/>
      <c r="XEI86" s="396"/>
      <c r="XEJ86" s="452"/>
      <c r="XEK86" s="412"/>
      <c r="XEL86" s="415"/>
      <c r="XEM86" s="413"/>
      <c r="XEW86" s="396"/>
      <c r="XEX86" s="452"/>
      <c r="XEY86" s="412"/>
      <c r="XEZ86" s="415"/>
      <c r="XFA86" s="413"/>
    </row>
    <row r="87" spans="1:1023 1033:2045 2055:3067 3077:4089 4099:5111 5121:8191 8201:9213 9223:10235 10245:11257 11267:12279 12289:15359 15369:16381" s="411" customFormat="1" x14ac:dyDescent="0.25">
      <c r="A87" s="432">
        <v>43252</v>
      </c>
      <c r="B87" s="411">
        <v>24303719.999999996</v>
      </c>
      <c r="C87" s="411">
        <v>416666.66666666669</v>
      </c>
      <c r="D87" s="411">
        <v>4234455</v>
      </c>
      <c r="E87" s="411">
        <v>5180976.7577253338</v>
      </c>
      <c r="F87" s="411">
        <v>267100</v>
      </c>
      <c r="H87" s="411">
        <v>0</v>
      </c>
      <c r="I87" s="411">
        <v>3087600</v>
      </c>
      <c r="J87" s="396">
        <v>0</v>
      </c>
      <c r="K87" s="396"/>
      <c r="L87" s="453">
        <v>37490518.424392</v>
      </c>
      <c r="M87" s="452">
        <v>13650035.325450666</v>
      </c>
      <c r="N87" s="412">
        <v>23840483.098941334</v>
      </c>
      <c r="O87" s="415">
        <v>3765484484</v>
      </c>
      <c r="P87" s="413">
        <v>6.3299999999999997E-3</v>
      </c>
      <c r="Q87" s="454"/>
      <c r="Y87" s="396"/>
      <c r="Z87" s="452"/>
      <c r="AA87" s="412"/>
      <c r="AB87" s="415"/>
      <c r="AC87" s="413"/>
      <c r="AM87" s="396"/>
      <c r="AN87" s="452"/>
      <c r="AO87" s="412"/>
      <c r="AP87" s="415"/>
      <c r="AQ87" s="413"/>
      <c r="BA87" s="396"/>
      <c r="BB87" s="452"/>
      <c r="BC87" s="412"/>
      <c r="BD87" s="415"/>
      <c r="BE87" s="413"/>
      <c r="BO87" s="396"/>
      <c r="BP87" s="452"/>
      <c r="BQ87" s="412"/>
      <c r="BR87" s="415"/>
      <c r="BS87" s="413"/>
      <c r="CC87" s="396"/>
      <c r="CD87" s="452"/>
      <c r="CE87" s="412"/>
      <c r="CF87" s="415"/>
      <c r="CG87" s="413"/>
      <c r="CQ87" s="396"/>
      <c r="CR87" s="452"/>
      <c r="CS87" s="412"/>
      <c r="CT87" s="415"/>
      <c r="CU87" s="413"/>
      <c r="DE87" s="396"/>
      <c r="DF87" s="452"/>
      <c r="DG87" s="412"/>
      <c r="DH87" s="415"/>
      <c r="DI87" s="413"/>
      <c r="DS87" s="396"/>
      <c r="DT87" s="452"/>
      <c r="DU87" s="412"/>
      <c r="DV87" s="415"/>
      <c r="DW87" s="413"/>
      <c r="EG87" s="396"/>
      <c r="EH87" s="452"/>
      <c r="EI87" s="412"/>
      <c r="EJ87" s="415"/>
      <c r="EK87" s="413"/>
      <c r="EU87" s="396"/>
      <c r="EV87" s="452"/>
      <c r="EW87" s="412"/>
      <c r="EX87" s="415"/>
      <c r="EY87" s="413"/>
      <c r="FI87" s="396"/>
      <c r="FJ87" s="452"/>
      <c r="FK87" s="412"/>
      <c r="FL87" s="415"/>
      <c r="FM87" s="413"/>
      <c r="FW87" s="396"/>
      <c r="FX87" s="452"/>
      <c r="FY87" s="412"/>
      <c r="FZ87" s="415"/>
      <c r="GA87" s="413"/>
      <c r="GK87" s="396"/>
      <c r="GL87" s="452"/>
      <c r="GM87" s="412"/>
      <c r="GN87" s="415"/>
      <c r="GO87" s="413"/>
      <c r="GY87" s="396"/>
      <c r="GZ87" s="452"/>
      <c r="HA87" s="412"/>
      <c r="HB87" s="415"/>
      <c r="HC87" s="413"/>
      <c r="HM87" s="396"/>
      <c r="HN87" s="452"/>
      <c r="HO87" s="412"/>
      <c r="HP87" s="415"/>
      <c r="HQ87" s="413"/>
      <c r="IA87" s="396"/>
      <c r="IB87" s="452"/>
      <c r="IC87" s="412"/>
      <c r="ID87" s="415"/>
      <c r="IE87" s="413"/>
      <c r="IO87" s="396"/>
      <c r="IP87" s="452"/>
      <c r="IQ87" s="412"/>
      <c r="IR87" s="415"/>
      <c r="IS87" s="413"/>
      <c r="JC87" s="396"/>
      <c r="JD87" s="452"/>
      <c r="JE87" s="412"/>
      <c r="JF87" s="415"/>
      <c r="JG87" s="413"/>
      <c r="JQ87" s="396"/>
      <c r="JR87" s="452"/>
      <c r="JS87" s="412"/>
      <c r="JT87" s="415"/>
      <c r="JU87" s="413"/>
      <c r="KE87" s="396"/>
      <c r="KF87" s="452"/>
      <c r="KG87" s="412"/>
      <c r="KH87" s="415"/>
      <c r="KI87" s="413"/>
      <c r="KS87" s="396"/>
      <c r="KT87" s="452"/>
      <c r="KU87" s="412"/>
      <c r="KV87" s="415"/>
      <c r="KW87" s="413"/>
      <c r="LG87" s="396"/>
      <c r="LH87" s="452"/>
      <c r="LI87" s="412"/>
      <c r="LJ87" s="415"/>
      <c r="LK87" s="413"/>
      <c r="LU87" s="396"/>
      <c r="LV87" s="452"/>
      <c r="LW87" s="412"/>
      <c r="LX87" s="415"/>
      <c r="LY87" s="413"/>
      <c r="MI87" s="396"/>
      <c r="MJ87" s="452"/>
      <c r="MK87" s="412"/>
      <c r="ML87" s="415"/>
      <c r="MM87" s="413"/>
      <c r="MW87" s="396"/>
      <c r="MX87" s="452"/>
      <c r="MY87" s="412"/>
      <c r="MZ87" s="415"/>
      <c r="NA87" s="413"/>
      <c r="NK87" s="396"/>
      <c r="NL87" s="452"/>
      <c r="NM87" s="412"/>
      <c r="NN87" s="415"/>
      <c r="NO87" s="413"/>
      <c r="NY87" s="396"/>
      <c r="NZ87" s="452"/>
      <c r="OA87" s="412"/>
      <c r="OB87" s="415"/>
      <c r="OC87" s="413"/>
      <c r="OM87" s="396"/>
      <c r="ON87" s="452"/>
      <c r="OO87" s="412"/>
      <c r="OP87" s="415"/>
      <c r="OQ87" s="413"/>
      <c r="PA87" s="396"/>
      <c r="PB87" s="452"/>
      <c r="PC87" s="412"/>
      <c r="PD87" s="415"/>
      <c r="PE87" s="413"/>
      <c r="PO87" s="396"/>
      <c r="PP87" s="452"/>
      <c r="PQ87" s="412"/>
      <c r="PR87" s="415"/>
      <c r="PS87" s="413"/>
      <c r="QC87" s="396"/>
      <c r="QD87" s="452"/>
      <c r="QE87" s="412"/>
      <c r="QF87" s="415"/>
      <c r="QG87" s="413"/>
      <c r="QQ87" s="396"/>
      <c r="QR87" s="452"/>
      <c r="QS87" s="412"/>
      <c r="QT87" s="415"/>
      <c r="QU87" s="413"/>
      <c r="RE87" s="396"/>
      <c r="RF87" s="452"/>
      <c r="RG87" s="412"/>
      <c r="RH87" s="415"/>
      <c r="RI87" s="413"/>
      <c r="RS87" s="396"/>
      <c r="RT87" s="452"/>
      <c r="RU87" s="412"/>
      <c r="RV87" s="415"/>
      <c r="RW87" s="413"/>
      <c r="SG87" s="396"/>
      <c r="SH87" s="452"/>
      <c r="SI87" s="412"/>
      <c r="SJ87" s="415"/>
      <c r="SK87" s="413"/>
      <c r="SU87" s="396"/>
      <c r="SV87" s="452"/>
      <c r="SW87" s="412"/>
      <c r="SX87" s="415"/>
      <c r="SY87" s="413"/>
      <c r="TI87" s="396"/>
      <c r="TJ87" s="452"/>
      <c r="TK87" s="412"/>
      <c r="TL87" s="415"/>
      <c r="TM87" s="413"/>
      <c r="TW87" s="396"/>
      <c r="TX87" s="452"/>
      <c r="TY87" s="412"/>
      <c r="TZ87" s="415"/>
      <c r="UA87" s="413"/>
      <c r="UK87" s="396"/>
      <c r="UL87" s="452"/>
      <c r="UM87" s="412"/>
      <c r="UN87" s="415"/>
      <c r="UO87" s="413"/>
      <c r="UY87" s="396"/>
      <c r="UZ87" s="452"/>
      <c r="VA87" s="412"/>
      <c r="VB87" s="415"/>
      <c r="VC87" s="413"/>
      <c r="VM87" s="396"/>
      <c r="VN87" s="452"/>
      <c r="VO87" s="412"/>
      <c r="VP87" s="415"/>
      <c r="VQ87" s="413"/>
      <c r="WA87" s="396"/>
      <c r="WB87" s="452"/>
      <c r="WC87" s="412"/>
      <c r="WD87" s="415"/>
      <c r="WE87" s="413"/>
      <c r="WO87" s="396"/>
      <c r="WP87" s="452"/>
      <c r="WQ87" s="412"/>
      <c r="WR87" s="415"/>
      <c r="WS87" s="413"/>
      <c r="XC87" s="396"/>
      <c r="XD87" s="452"/>
      <c r="XE87" s="412"/>
      <c r="XF87" s="415"/>
      <c r="XG87" s="413"/>
      <c r="XQ87" s="396"/>
      <c r="XR87" s="452"/>
      <c r="XS87" s="412"/>
      <c r="XT87" s="415"/>
      <c r="XU87" s="413"/>
      <c r="YE87" s="396"/>
      <c r="YF87" s="452"/>
      <c r="YG87" s="412"/>
      <c r="YH87" s="415"/>
      <c r="YI87" s="413"/>
      <c r="YS87" s="396"/>
      <c r="YT87" s="452"/>
      <c r="YU87" s="412"/>
      <c r="YV87" s="415"/>
      <c r="YW87" s="413"/>
      <c r="ZG87" s="396"/>
      <c r="ZH87" s="452"/>
      <c r="ZI87" s="412"/>
      <c r="ZJ87" s="415"/>
      <c r="ZK87" s="413"/>
      <c r="ZU87" s="396"/>
      <c r="ZV87" s="452"/>
      <c r="ZW87" s="412"/>
      <c r="ZX87" s="415"/>
      <c r="ZY87" s="413"/>
      <c r="AAI87" s="396"/>
      <c r="AAJ87" s="452"/>
      <c r="AAK87" s="412"/>
      <c r="AAL87" s="415"/>
      <c r="AAM87" s="413"/>
      <c r="AAW87" s="396"/>
      <c r="AAX87" s="452"/>
      <c r="AAY87" s="412"/>
      <c r="AAZ87" s="415"/>
      <c r="ABA87" s="413"/>
      <c r="ABK87" s="396"/>
      <c r="ABL87" s="452"/>
      <c r="ABM87" s="412"/>
      <c r="ABN87" s="415"/>
      <c r="ABO87" s="413"/>
      <c r="ABY87" s="396"/>
      <c r="ABZ87" s="452"/>
      <c r="ACA87" s="412"/>
      <c r="ACB87" s="415"/>
      <c r="ACC87" s="413"/>
      <c r="ACM87" s="396"/>
      <c r="ACN87" s="452"/>
      <c r="ACO87" s="412"/>
      <c r="ACP87" s="415"/>
      <c r="ACQ87" s="413"/>
      <c r="ADA87" s="396"/>
      <c r="ADB87" s="452"/>
      <c r="ADC87" s="412"/>
      <c r="ADD87" s="415"/>
      <c r="ADE87" s="413"/>
      <c r="ADO87" s="396"/>
      <c r="ADP87" s="452"/>
      <c r="ADQ87" s="412"/>
      <c r="ADR87" s="415"/>
      <c r="ADS87" s="413"/>
      <c r="AEC87" s="396"/>
      <c r="AED87" s="452"/>
      <c r="AEE87" s="412"/>
      <c r="AEF87" s="415"/>
      <c r="AEG87" s="413"/>
      <c r="AEQ87" s="396"/>
      <c r="AER87" s="452"/>
      <c r="AES87" s="412"/>
      <c r="AET87" s="415"/>
      <c r="AEU87" s="413"/>
      <c r="AFE87" s="396"/>
      <c r="AFF87" s="452"/>
      <c r="AFG87" s="412"/>
      <c r="AFH87" s="415"/>
      <c r="AFI87" s="413"/>
      <c r="AFS87" s="396"/>
      <c r="AFT87" s="452"/>
      <c r="AFU87" s="412"/>
      <c r="AFV87" s="415"/>
      <c r="AFW87" s="413"/>
      <c r="AGG87" s="396"/>
      <c r="AGH87" s="452"/>
      <c r="AGI87" s="412"/>
      <c r="AGJ87" s="415"/>
      <c r="AGK87" s="413"/>
      <c r="AGU87" s="396"/>
      <c r="AGV87" s="452"/>
      <c r="AGW87" s="412"/>
      <c r="AGX87" s="415"/>
      <c r="AGY87" s="413"/>
      <c r="AHI87" s="396"/>
      <c r="AHJ87" s="452"/>
      <c r="AHK87" s="412"/>
      <c r="AHL87" s="415"/>
      <c r="AHM87" s="413"/>
      <c r="AHW87" s="396"/>
      <c r="AHX87" s="452"/>
      <c r="AHY87" s="412"/>
      <c r="AHZ87" s="415"/>
      <c r="AIA87" s="413"/>
      <c r="AIK87" s="396"/>
      <c r="AIL87" s="452"/>
      <c r="AIM87" s="412"/>
      <c r="AIN87" s="415"/>
      <c r="AIO87" s="413"/>
      <c r="AIY87" s="396"/>
      <c r="AIZ87" s="452"/>
      <c r="AJA87" s="412"/>
      <c r="AJB87" s="415"/>
      <c r="AJC87" s="413"/>
      <c r="AJM87" s="396"/>
      <c r="AJN87" s="452"/>
      <c r="AJO87" s="412"/>
      <c r="AJP87" s="415"/>
      <c r="AJQ87" s="413"/>
      <c r="AKA87" s="396"/>
      <c r="AKB87" s="452"/>
      <c r="AKC87" s="412"/>
      <c r="AKD87" s="415"/>
      <c r="AKE87" s="413"/>
      <c r="AKO87" s="396"/>
      <c r="AKP87" s="452"/>
      <c r="AKQ87" s="412"/>
      <c r="AKR87" s="415"/>
      <c r="AKS87" s="413"/>
      <c r="ALC87" s="396"/>
      <c r="ALD87" s="452"/>
      <c r="ALE87" s="412"/>
      <c r="ALF87" s="415"/>
      <c r="ALG87" s="413"/>
      <c r="ALQ87" s="396"/>
      <c r="ALR87" s="452"/>
      <c r="ALS87" s="412"/>
      <c r="ALT87" s="415"/>
      <c r="ALU87" s="413"/>
      <c r="AME87" s="396"/>
      <c r="AMF87" s="452"/>
      <c r="AMG87" s="412"/>
      <c r="AMH87" s="415"/>
      <c r="AMI87" s="413"/>
      <c r="AMS87" s="396"/>
      <c r="AMT87" s="452"/>
      <c r="AMU87" s="412"/>
      <c r="AMV87" s="415"/>
      <c r="AMW87" s="413"/>
      <c r="ANG87" s="396"/>
      <c r="ANH87" s="452"/>
      <c r="ANI87" s="412"/>
      <c r="ANJ87" s="415"/>
      <c r="ANK87" s="413"/>
      <c r="ANU87" s="396"/>
      <c r="ANV87" s="452"/>
      <c r="ANW87" s="412"/>
      <c r="ANX87" s="415"/>
      <c r="ANY87" s="413"/>
      <c r="AOI87" s="396"/>
      <c r="AOJ87" s="452"/>
      <c r="AOK87" s="412"/>
      <c r="AOL87" s="415"/>
      <c r="AOM87" s="413"/>
      <c r="AOW87" s="396"/>
      <c r="AOX87" s="452"/>
      <c r="AOY87" s="412"/>
      <c r="AOZ87" s="415"/>
      <c r="APA87" s="413"/>
      <c r="APK87" s="396"/>
      <c r="APL87" s="452"/>
      <c r="APM87" s="412"/>
      <c r="APN87" s="415"/>
      <c r="APO87" s="413"/>
      <c r="APY87" s="396"/>
      <c r="APZ87" s="452"/>
      <c r="AQA87" s="412"/>
      <c r="AQB87" s="415"/>
      <c r="AQC87" s="413"/>
      <c r="AQM87" s="396"/>
      <c r="AQN87" s="452"/>
      <c r="AQO87" s="412"/>
      <c r="AQP87" s="415"/>
      <c r="AQQ87" s="413"/>
      <c r="ARA87" s="396"/>
      <c r="ARB87" s="452"/>
      <c r="ARC87" s="412"/>
      <c r="ARD87" s="415"/>
      <c r="ARE87" s="413"/>
      <c r="ARO87" s="396"/>
      <c r="ARP87" s="452"/>
      <c r="ARQ87" s="412"/>
      <c r="ARR87" s="415"/>
      <c r="ARS87" s="413"/>
      <c r="ASC87" s="396"/>
      <c r="ASD87" s="452"/>
      <c r="ASE87" s="412"/>
      <c r="ASF87" s="415"/>
      <c r="ASG87" s="413"/>
      <c r="ASQ87" s="396"/>
      <c r="ASR87" s="452"/>
      <c r="ASS87" s="412"/>
      <c r="AST87" s="415"/>
      <c r="ASU87" s="413"/>
      <c r="ATE87" s="396"/>
      <c r="ATF87" s="452"/>
      <c r="ATG87" s="412"/>
      <c r="ATH87" s="415"/>
      <c r="ATI87" s="413"/>
      <c r="ATS87" s="396"/>
      <c r="ATT87" s="452"/>
      <c r="ATU87" s="412"/>
      <c r="ATV87" s="415"/>
      <c r="ATW87" s="413"/>
      <c r="AUG87" s="396"/>
      <c r="AUH87" s="452"/>
      <c r="AUI87" s="412"/>
      <c r="AUJ87" s="415"/>
      <c r="AUK87" s="413"/>
      <c r="AUU87" s="396"/>
      <c r="AUV87" s="452"/>
      <c r="AUW87" s="412"/>
      <c r="AUX87" s="415"/>
      <c r="AUY87" s="413"/>
      <c r="AVI87" s="396"/>
      <c r="AVJ87" s="452"/>
      <c r="AVK87" s="412"/>
      <c r="AVL87" s="415"/>
      <c r="AVM87" s="413"/>
      <c r="AVW87" s="396"/>
      <c r="AVX87" s="452"/>
      <c r="AVY87" s="412"/>
      <c r="AVZ87" s="415"/>
      <c r="AWA87" s="413"/>
      <c r="AWK87" s="396"/>
      <c r="AWL87" s="452"/>
      <c r="AWM87" s="412"/>
      <c r="AWN87" s="415"/>
      <c r="AWO87" s="413"/>
      <c r="AWY87" s="396"/>
      <c r="AWZ87" s="452"/>
      <c r="AXA87" s="412"/>
      <c r="AXB87" s="415"/>
      <c r="AXC87" s="413"/>
      <c r="AXM87" s="396"/>
      <c r="AXN87" s="452"/>
      <c r="AXO87" s="412"/>
      <c r="AXP87" s="415"/>
      <c r="AXQ87" s="413"/>
      <c r="AYA87" s="396"/>
      <c r="AYB87" s="452"/>
      <c r="AYC87" s="412"/>
      <c r="AYD87" s="415"/>
      <c r="AYE87" s="413"/>
      <c r="AYO87" s="396"/>
      <c r="AYP87" s="452"/>
      <c r="AYQ87" s="412"/>
      <c r="AYR87" s="415"/>
      <c r="AYS87" s="413"/>
      <c r="AZC87" s="396"/>
      <c r="AZD87" s="452"/>
      <c r="AZE87" s="412"/>
      <c r="AZF87" s="415"/>
      <c r="AZG87" s="413"/>
      <c r="AZQ87" s="396"/>
      <c r="AZR87" s="452"/>
      <c r="AZS87" s="412"/>
      <c r="AZT87" s="415"/>
      <c r="AZU87" s="413"/>
      <c r="BAE87" s="396"/>
      <c r="BAF87" s="452"/>
      <c r="BAG87" s="412"/>
      <c r="BAH87" s="415"/>
      <c r="BAI87" s="413"/>
      <c r="BAS87" s="396"/>
      <c r="BAT87" s="452"/>
      <c r="BAU87" s="412"/>
      <c r="BAV87" s="415"/>
      <c r="BAW87" s="413"/>
      <c r="BBG87" s="396"/>
      <c r="BBH87" s="452"/>
      <c r="BBI87" s="412"/>
      <c r="BBJ87" s="415"/>
      <c r="BBK87" s="413"/>
      <c r="BBU87" s="396"/>
      <c r="BBV87" s="452"/>
      <c r="BBW87" s="412"/>
      <c r="BBX87" s="415"/>
      <c r="BBY87" s="413"/>
      <c r="BCI87" s="396"/>
      <c r="BCJ87" s="452"/>
      <c r="BCK87" s="412"/>
      <c r="BCL87" s="415"/>
      <c r="BCM87" s="413"/>
      <c r="BCW87" s="396"/>
      <c r="BCX87" s="452"/>
      <c r="BCY87" s="412"/>
      <c r="BCZ87" s="415"/>
      <c r="BDA87" s="413"/>
      <c r="BDK87" s="396"/>
      <c r="BDL87" s="452"/>
      <c r="BDM87" s="412"/>
      <c r="BDN87" s="415"/>
      <c r="BDO87" s="413"/>
      <c r="BDY87" s="396"/>
      <c r="BDZ87" s="452"/>
      <c r="BEA87" s="412"/>
      <c r="BEB87" s="415"/>
      <c r="BEC87" s="413"/>
      <c r="BEM87" s="396"/>
      <c r="BEN87" s="452"/>
      <c r="BEO87" s="412"/>
      <c r="BEP87" s="415"/>
      <c r="BEQ87" s="413"/>
      <c r="BFA87" s="396"/>
      <c r="BFB87" s="452"/>
      <c r="BFC87" s="412"/>
      <c r="BFD87" s="415"/>
      <c r="BFE87" s="413"/>
      <c r="BFO87" s="396"/>
      <c r="BFP87" s="452"/>
      <c r="BFQ87" s="412"/>
      <c r="BFR87" s="415"/>
      <c r="BFS87" s="413"/>
      <c r="BGC87" s="396"/>
      <c r="BGD87" s="452"/>
      <c r="BGE87" s="412"/>
      <c r="BGF87" s="415"/>
      <c r="BGG87" s="413"/>
      <c r="BGQ87" s="396"/>
      <c r="BGR87" s="452"/>
      <c r="BGS87" s="412"/>
      <c r="BGT87" s="415"/>
      <c r="BGU87" s="413"/>
      <c r="BHE87" s="396"/>
      <c r="BHF87" s="452"/>
      <c r="BHG87" s="412"/>
      <c r="BHH87" s="415"/>
      <c r="BHI87" s="413"/>
      <c r="BHS87" s="396"/>
      <c r="BHT87" s="452"/>
      <c r="BHU87" s="412"/>
      <c r="BHV87" s="415"/>
      <c r="BHW87" s="413"/>
      <c r="BIG87" s="396"/>
      <c r="BIH87" s="452"/>
      <c r="BII87" s="412"/>
      <c r="BIJ87" s="415"/>
      <c r="BIK87" s="413"/>
      <c r="BIU87" s="396"/>
      <c r="BIV87" s="452"/>
      <c r="BIW87" s="412"/>
      <c r="BIX87" s="415"/>
      <c r="BIY87" s="413"/>
      <c r="BJI87" s="396"/>
      <c r="BJJ87" s="452"/>
      <c r="BJK87" s="412"/>
      <c r="BJL87" s="415"/>
      <c r="BJM87" s="413"/>
      <c r="BJW87" s="396"/>
      <c r="BJX87" s="452"/>
      <c r="BJY87" s="412"/>
      <c r="BJZ87" s="415"/>
      <c r="BKA87" s="413"/>
      <c r="BKK87" s="396"/>
      <c r="BKL87" s="452"/>
      <c r="BKM87" s="412"/>
      <c r="BKN87" s="415"/>
      <c r="BKO87" s="413"/>
      <c r="BKY87" s="396"/>
      <c r="BKZ87" s="452"/>
      <c r="BLA87" s="412"/>
      <c r="BLB87" s="415"/>
      <c r="BLC87" s="413"/>
      <c r="BLM87" s="396"/>
      <c r="BLN87" s="452"/>
      <c r="BLO87" s="412"/>
      <c r="BLP87" s="415"/>
      <c r="BLQ87" s="413"/>
      <c r="BMA87" s="396"/>
      <c r="BMB87" s="452"/>
      <c r="BMC87" s="412"/>
      <c r="BMD87" s="415"/>
      <c r="BME87" s="413"/>
      <c r="BMO87" s="396"/>
      <c r="BMP87" s="452"/>
      <c r="BMQ87" s="412"/>
      <c r="BMR87" s="415"/>
      <c r="BMS87" s="413"/>
      <c r="BNC87" s="396"/>
      <c r="BND87" s="452"/>
      <c r="BNE87" s="412"/>
      <c r="BNF87" s="415"/>
      <c r="BNG87" s="413"/>
      <c r="BNQ87" s="396"/>
      <c r="BNR87" s="452"/>
      <c r="BNS87" s="412"/>
      <c r="BNT87" s="415"/>
      <c r="BNU87" s="413"/>
      <c r="BOE87" s="396"/>
      <c r="BOF87" s="452"/>
      <c r="BOG87" s="412"/>
      <c r="BOH87" s="415"/>
      <c r="BOI87" s="413"/>
      <c r="BOS87" s="396"/>
      <c r="BOT87" s="452"/>
      <c r="BOU87" s="412"/>
      <c r="BOV87" s="415"/>
      <c r="BOW87" s="413"/>
      <c r="BPG87" s="396"/>
      <c r="BPH87" s="452"/>
      <c r="BPI87" s="412"/>
      <c r="BPJ87" s="415"/>
      <c r="BPK87" s="413"/>
      <c r="BPU87" s="396"/>
      <c r="BPV87" s="452"/>
      <c r="BPW87" s="412"/>
      <c r="BPX87" s="415"/>
      <c r="BPY87" s="413"/>
      <c r="BQI87" s="396"/>
      <c r="BQJ87" s="452"/>
      <c r="BQK87" s="412"/>
      <c r="BQL87" s="415"/>
      <c r="BQM87" s="413"/>
      <c r="BQW87" s="396"/>
      <c r="BQX87" s="452"/>
      <c r="BQY87" s="412"/>
      <c r="BQZ87" s="415"/>
      <c r="BRA87" s="413"/>
      <c r="BRK87" s="396"/>
      <c r="BRL87" s="452"/>
      <c r="BRM87" s="412"/>
      <c r="BRN87" s="415"/>
      <c r="BRO87" s="413"/>
      <c r="BRY87" s="396"/>
      <c r="BRZ87" s="452"/>
      <c r="BSA87" s="412"/>
      <c r="BSB87" s="415"/>
      <c r="BSC87" s="413"/>
      <c r="BSM87" s="396"/>
      <c r="BSN87" s="452"/>
      <c r="BSO87" s="412"/>
      <c r="BSP87" s="415"/>
      <c r="BSQ87" s="413"/>
      <c r="BTA87" s="396"/>
      <c r="BTB87" s="452"/>
      <c r="BTC87" s="412"/>
      <c r="BTD87" s="415"/>
      <c r="BTE87" s="413"/>
      <c r="BTO87" s="396"/>
      <c r="BTP87" s="452"/>
      <c r="BTQ87" s="412"/>
      <c r="BTR87" s="415"/>
      <c r="BTS87" s="413"/>
      <c r="BUC87" s="396"/>
      <c r="BUD87" s="452"/>
      <c r="BUE87" s="412"/>
      <c r="BUF87" s="415"/>
      <c r="BUG87" s="413"/>
      <c r="BUQ87" s="396"/>
      <c r="BUR87" s="452"/>
      <c r="BUS87" s="412"/>
      <c r="BUT87" s="415"/>
      <c r="BUU87" s="413"/>
      <c r="BVE87" s="396"/>
      <c r="BVF87" s="452"/>
      <c r="BVG87" s="412"/>
      <c r="BVH87" s="415"/>
      <c r="BVI87" s="413"/>
      <c r="BVS87" s="396"/>
      <c r="BVT87" s="452"/>
      <c r="BVU87" s="412"/>
      <c r="BVV87" s="415"/>
      <c r="BVW87" s="413"/>
      <c r="BWG87" s="396"/>
      <c r="BWH87" s="452"/>
      <c r="BWI87" s="412"/>
      <c r="BWJ87" s="415"/>
      <c r="BWK87" s="413"/>
      <c r="BWU87" s="396"/>
      <c r="BWV87" s="452"/>
      <c r="BWW87" s="412"/>
      <c r="BWX87" s="415"/>
      <c r="BWY87" s="413"/>
      <c r="BXI87" s="396"/>
      <c r="BXJ87" s="452"/>
      <c r="BXK87" s="412"/>
      <c r="BXL87" s="415"/>
      <c r="BXM87" s="413"/>
      <c r="BXW87" s="396"/>
      <c r="BXX87" s="452"/>
      <c r="BXY87" s="412"/>
      <c r="BXZ87" s="415"/>
      <c r="BYA87" s="413"/>
      <c r="BYK87" s="396"/>
      <c r="BYL87" s="452"/>
      <c r="BYM87" s="412"/>
      <c r="BYN87" s="415"/>
      <c r="BYO87" s="413"/>
      <c r="BYY87" s="396"/>
      <c r="BYZ87" s="452"/>
      <c r="BZA87" s="412"/>
      <c r="BZB87" s="415"/>
      <c r="BZC87" s="413"/>
      <c r="BZM87" s="396"/>
      <c r="BZN87" s="452"/>
      <c r="BZO87" s="412"/>
      <c r="BZP87" s="415"/>
      <c r="BZQ87" s="413"/>
      <c r="CAA87" s="396"/>
      <c r="CAB87" s="452"/>
      <c r="CAC87" s="412"/>
      <c r="CAD87" s="415"/>
      <c r="CAE87" s="413"/>
      <c r="CAO87" s="396"/>
      <c r="CAP87" s="452"/>
      <c r="CAQ87" s="412"/>
      <c r="CAR87" s="415"/>
      <c r="CAS87" s="413"/>
      <c r="CBC87" s="396"/>
      <c r="CBD87" s="452"/>
      <c r="CBE87" s="412"/>
      <c r="CBF87" s="415"/>
      <c r="CBG87" s="413"/>
      <c r="CBQ87" s="396"/>
      <c r="CBR87" s="452"/>
      <c r="CBS87" s="412"/>
      <c r="CBT87" s="415"/>
      <c r="CBU87" s="413"/>
      <c r="CCE87" s="396"/>
      <c r="CCF87" s="452"/>
      <c r="CCG87" s="412"/>
      <c r="CCH87" s="415"/>
      <c r="CCI87" s="413"/>
      <c r="CCS87" s="396"/>
      <c r="CCT87" s="452"/>
      <c r="CCU87" s="412"/>
      <c r="CCV87" s="415"/>
      <c r="CCW87" s="413"/>
      <c r="CDG87" s="396"/>
      <c r="CDH87" s="452"/>
      <c r="CDI87" s="412"/>
      <c r="CDJ87" s="415"/>
      <c r="CDK87" s="413"/>
      <c r="CDU87" s="396"/>
      <c r="CDV87" s="452"/>
      <c r="CDW87" s="412"/>
      <c r="CDX87" s="415"/>
      <c r="CDY87" s="413"/>
      <c r="CEI87" s="396"/>
      <c r="CEJ87" s="452"/>
      <c r="CEK87" s="412"/>
      <c r="CEL87" s="415"/>
      <c r="CEM87" s="413"/>
      <c r="CEW87" s="396"/>
      <c r="CEX87" s="452"/>
      <c r="CEY87" s="412"/>
      <c r="CEZ87" s="415"/>
      <c r="CFA87" s="413"/>
      <c r="CFK87" s="396"/>
      <c r="CFL87" s="452"/>
      <c r="CFM87" s="412"/>
      <c r="CFN87" s="415"/>
      <c r="CFO87" s="413"/>
      <c r="CFY87" s="396"/>
      <c r="CFZ87" s="452"/>
      <c r="CGA87" s="412"/>
      <c r="CGB87" s="415"/>
      <c r="CGC87" s="413"/>
      <c r="CGM87" s="396"/>
      <c r="CGN87" s="452"/>
      <c r="CGO87" s="412"/>
      <c r="CGP87" s="415"/>
      <c r="CGQ87" s="413"/>
      <c r="CHA87" s="396"/>
      <c r="CHB87" s="452"/>
      <c r="CHC87" s="412"/>
      <c r="CHD87" s="415"/>
      <c r="CHE87" s="413"/>
      <c r="CHO87" s="396"/>
      <c r="CHP87" s="452"/>
      <c r="CHQ87" s="412"/>
      <c r="CHR87" s="415"/>
      <c r="CHS87" s="413"/>
      <c r="CIC87" s="396"/>
      <c r="CID87" s="452"/>
      <c r="CIE87" s="412"/>
      <c r="CIF87" s="415"/>
      <c r="CIG87" s="413"/>
      <c r="CIQ87" s="396"/>
      <c r="CIR87" s="452"/>
      <c r="CIS87" s="412"/>
      <c r="CIT87" s="415"/>
      <c r="CIU87" s="413"/>
      <c r="CJE87" s="396"/>
      <c r="CJF87" s="452"/>
      <c r="CJG87" s="412"/>
      <c r="CJH87" s="415"/>
      <c r="CJI87" s="413"/>
      <c r="CJS87" s="396"/>
      <c r="CJT87" s="452"/>
      <c r="CJU87" s="412"/>
      <c r="CJV87" s="415"/>
      <c r="CJW87" s="413"/>
      <c r="CKG87" s="396"/>
      <c r="CKH87" s="452"/>
      <c r="CKI87" s="412"/>
      <c r="CKJ87" s="415"/>
      <c r="CKK87" s="413"/>
      <c r="CKU87" s="396"/>
      <c r="CKV87" s="452"/>
      <c r="CKW87" s="412"/>
      <c r="CKX87" s="415"/>
      <c r="CKY87" s="413"/>
      <c r="CLI87" s="396"/>
      <c r="CLJ87" s="452"/>
      <c r="CLK87" s="412"/>
      <c r="CLL87" s="415"/>
      <c r="CLM87" s="413"/>
      <c r="CLW87" s="396"/>
      <c r="CLX87" s="452"/>
      <c r="CLY87" s="412"/>
      <c r="CLZ87" s="415"/>
      <c r="CMA87" s="413"/>
      <c r="CMK87" s="396"/>
      <c r="CML87" s="452"/>
      <c r="CMM87" s="412"/>
      <c r="CMN87" s="415"/>
      <c r="CMO87" s="413"/>
      <c r="CMY87" s="396"/>
      <c r="CMZ87" s="452"/>
      <c r="CNA87" s="412"/>
      <c r="CNB87" s="415"/>
      <c r="CNC87" s="413"/>
      <c r="CNM87" s="396"/>
      <c r="CNN87" s="452"/>
      <c r="CNO87" s="412"/>
      <c r="CNP87" s="415"/>
      <c r="CNQ87" s="413"/>
      <c r="COA87" s="396"/>
      <c r="COB87" s="452"/>
      <c r="COC87" s="412"/>
      <c r="COD87" s="415"/>
      <c r="COE87" s="413"/>
      <c r="COO87" s="396"/>
      <c r="COP87" s="452"/>
      <c r="COQ87" s="412"/>
      <c r="COR87" s="415"/>
      <c r="COS87" s="413"/>
      <c r="CPC87" s="396"/>
      <c r="CPD87" s="452"/>
      <c r="CPE87" s="412"/>
      <c r="CPF87" s="415"/>
      <c r="CPG87" s="413"/>
      <c r="CPQ87" s="396"/>
      <c r="CPR87" s="452"/>
      <c r="CPS87" s="412"/>
      <c r="CPT87" s="415"/>
      <c r="CPU87" s="413"/>
      <c r="CQE87" s="396"/>
      <c r="CQF87" s="452"/>
      <c r="CQG87" s="412"/>
      <c r="CQH87" s="415"/>
      <c r="CQI87" s="413"/>
      <c r="CQS87" s="396"/>
      <c r="CQT87" s="452"/>
      <c r="CQU87" s="412"/>
      <c r="CQV87" s="415"/>
      <c r="CQW87" s="413"/>
      <c r="CRG87" s="396"/>
      <c r="CRH87" s="452"/>
      <c r="CRI87" s="412"/>
      <c r="CRJ87" s="415"/>
      <c r="CRK87" s="413"/>
      <c r="CRU87" s="396"/>
      <c r="CRV87" s="452"/>
      <c r="CRW87" s="412"/>
      <c r="CRX87" s="415"/>
      <c r="CRY87" s="413"/>
      <c r="CSI87" s="396"/>
      <c r="CSJ87" s="452"/>
      <c r="CSK87" s="412"/>
      <c r="CSL87" s="415"/>
      <c r="CSM87" s="413"/>
      <c r="CSW87" s="396"/>
      <c r="CSX87" s="452"/>
      <c r="CSY87" s="412"/>
      <c r="CSZ87" s="415"/>
      <c r="CTA87" s="413"/>
      <c r="CTK87" s="396"/>
      <c r="CTL87" s="452"/>
      <c r="CTM87" s="412"/>
      <c r="CTN87" s="415"/>
      <c r="CTO87" s="413"/>
      <c r="CTY87" s="396"/>
      <c r="CTZ87" s="452"/>
      <c r="CUA87" s="412"/>
      <c r="CUB87" s="415"/>
      <c r="CUC87" s="413"/>
      <c r="CUM87" s="396"/>
      <c r="CUN87" s="452"/>
      <c r="CUO87" s="412"/>
      <c r="CUP87" s="415"/>
      <c r="CUQ87" s="413"/>
      <c r="CVA87" s="396"/>
      <c r="CVB87" s="452"/>
      <c r="CVC87" s="412"/>
      <c r="CVD87" s="415"/>
      <c r="CVE87" s="413"/>
      <c r="CVO87" s="396"/>
      <c r="CVP87" s="452"/>
      <c r="CVQ87" s="412"/>
      <c r="CVR87" s="415"/>
      <c r="CVS87" s="413"/>
      <c r="CWC87" s="396"/>
      <c r="CWD87" s="452"/>
      <c r="CWE87" s="412"/>
      <c r="CWF87" s="415"/>
      <c r="CWG87" s="413"/>
      <c r="CWQ87" s="396"/>
      <c r="CWR87" s="452"/>
      <c r="CWS87" s="412"/>
      <c r="CWT87" s="415"/>
      <c r="CWU87" s="413"/>
      <c r="CXE87" s="396"/>
      <c r="CXF87" s="452"/>
      <c r="CXG87" s="412"/>
      <c r="CXH87" s="415"/>
      <c r="CXI87" s="413"/>
      <c r="CXS87" s="396"/>
      <c r="CXT87" s="452"/>
      <c r="CXU87" s="412"/>
      <c r="CXV87" s="415"/>
      <c r="CXW87" s="413"/>
      <c r="CYG87" s="396"/>
      <c r="CYH87" s="452"/>
      <c r="CYI87" s="412"/>
      <c r="CYJ87" s="415"/>
      <c r="CYK87" s="413"/>
      <c r="CYU87" s="396"/>
      <c r="CYV87" s="452"/>
      <c r="CYW87" s="412"/>
      <c r="CYX87" s="415"/>
      <c r="CYY87" s="413"/>
      <c r="CZI87" s="396"/>
      <c r="CZJ87" s="452"/>
      <c r="CZK87" s="412"/>
      <c r="CZL87" s="415"/>
      <c r="CZM87" s="413"/>
      <c r="CZW87" s="396"/>
      <c r="CZX87" s="452"/>
      <c r="CZY87" s="412"/>
      <c r="CZZ87" s="415"/>
      <c r="DAA87" s="413"/>
      <c r="DAK87" s="396"/>
      <c r="DAL87" s="452"/>
      <c r="DAM87" s="412"/>
      <c r="DAN87" s="415"/>
      <c r="DAO87" s="413"/>
      <c r="DAY87" s="396"/>
      <c r="DAZ87" s="452"/>
      <c r="DBA87" s="412"/>
      <c r="DBB87" s="415"/>
      <c r="DBC87" s="413"/>
      <c r="DBM87" s="396"/>
      <c r="DBN87" s="452"/>
      <c r="DBO87" s="412"/>
      <c r="DBP87" s="415"/>
      <c r="DBQ87" s="413"/>
      <c r="DCA87" s="396"/>
      <c r="DCB87" s="452"/>
      <c r="DCC87" s="412"/>
      <c r="DCD87" s="415"/>
      <c r="DCE87" s="413"/>
      <c r="DCO87" s="396"/>
      <c r="DCP87" s="452"/>
      <c r="DCQ87" s="412"/>
      <c r="DCR87" s="415"/>
      <c r="DCS87" s="413"/>
      <c r="DDC87" s="396"/>
      <c r="DDD87" s="452"/>
      <c r="DDE87" s="412"/>
      <c r="DDF87" s="415"/>
      <c r="DDG87" s="413"/>
      <c r="DDQ87" s="396"/>
      <c r="DDR87" s="452"/>
      <c r="DDS87" s="412"/>
      <c r="DDT87" s="415"/>
      <c r="DDU87" s="413"/>
      <c r="DEE87" s="396"/>
      <c r="DEF87" s="452"/>
      <c r="DEG87" s="412"/>
      <c r="DEH87" s="415"/>
      <c r="DEI87" s="413"/>
      <c r="DES87" s="396"/>
      <c r="DET87" s="452"/>
      <c r="DEU87" s="412"/>
      <c r="DEV87" s="415"/>
      <c r="DEW87" s="413"/>
      <c r="DFG87" s="396"/>
      <c r="DFH87" s="452"/>
      <c r="DFI87" s="412"/>
      <c r="DFJ87" s="415"/>
      <c r="DFK87" s="413"/>
      <c r="DFU87" s="396"/>
      <c r="DFV87" s="452"/>
      <c r="DFW87" s="412"/>
      <c r="DFX87" s="415"/>
      <c r="DFY87" s="413"/>
      <c r="DGI87" s="396"/>
      <c r="DGJ87" s="452"/>
      <c r="DGK87" s="412"/>
      <c r="DGL87" s="415"/>
      <c r="DGM87" s="413"/>
      <c r="DGW87" s="396"/>
      <c r="DGX87" s="452"/>
      <c r="DGY87" s="412"/>
      <c r="DGZ87" s="415"/>
      <c r="DHA87" s="413"/>
      <c r="DHK87" s="396"/>
      <c r="DHL87" s="452"/>
      <c r="DHM87" s="412"/>
      <c r="DHN87" s="415"/>
      <c r="DHO87" s="413"/>
      <c r="DHY87" s="396"/>
      <c r="DHZ87" s="452"/>
      <c r="DIA87" s="412"/>
      <c r="DIB87" s="415"/>
      <c r="DIC87" s="413"/>
      <c r="DIM87" s="396"/>
      <c r="DIN87" s="452"/>
      <c r="DIO87" s="412"/>
      <c r="DIP87" s="415"/>
      <c r="DIQ87" s="413"/>
      <c r="DJA87" s="396"/>
      <c r="DJB87" s="452"/>
      <c r="DJC87" s="412"/>
      <c r="DJD87" s="415"/>
      <c r="DJE87" s="413"/>
      <c r="DJO87" s="396"/>
      <c r="DJP87" s="452"/>
      <c r="DJQ87" s="412"/>
      <c r="DJR87" s="415"/>
      <c r="DJS87" s="413"/>
      <c r="DKC87" s="396"/>
      <c r="DKD87" s="452"/>
      <c r="DKE87" s="412"/>
      <c r="DKF87" s="415"/>
      <c r="DKG87" s="413"/>
      <c r="DKQ87" s="396"/>
      <c r="DKR87" s="452"/>
      <c r="DKS87" s="412"/>
      <c r="DKT87" s="415"/>
      <c r="DKU87" s="413"/>
      <c r="DLE87" s="396"/>
      <c r="DLF87" s="452"/>
      <c r="DLG87" s="412"/>
      <c r="DLH87" s="415"/>
      <c r="DLI87" s="413"/>
      <c r="DLS87" s="396"/>
      <c r="DLT87" s="452"/>
      <c r="DLU87" s="412"/>
      <c r="DLV87" s="415"/>
      <c r="DLW87" s="413"/>
      <c r="DMG87" s="396"/>
      <c r="DMH87" s="452"/>
      <c r="DMI87" s="412"/>
      <c r="DMJ87" s="415"/>
      <c r="DMK87" s="413"/>
      <c r="DMU87" s="396"/>
      <c r="DMV87" s="452"/>
      <c r="DMW87" s="412"/>
      <c r="DMX87" s="415"/>
      <c r="DMY87" s="413"/>
      <c r="DNI87" s="396"/>
      <c r="DNJ87" s="452"/>
      <c r="DNK87" s="412"/>
      <c r="DNL87" s="415"/>
      <c r="DNM87" s="413"/>
      <c r="DNW87" s="396"/>
      <c r="DNX87" s="452"/>
      <c r="DNY87" s="412"/>
      <c r="DNZ87" s="415"/>
      <c r="DOA87" s="413"/>
      <c r="DOK87" s="396"/>
      <c r="DOL87" s="452"/>
      <c r="DOM87" s="412"/>
      <c r="DON87" s="415"/>
      <c r="DOO87" s="413"/>
      <c r="DOY87" s="396"/>
      <c r="DOZ87" s="452"/>
      <c r="DPA87" s="412"/>
      <c r="DPB87" s="415"/>
      <c r="DPC87" s="413"/>
      <c r="DPM87" s="396"/>
      <c r="DPN87" s="452"/>
      <c r="DPO87" s="412"/>
      <c r="DPP87" s="415"/>
      <c r="DPQ87" s="413"/>
      <c r="DQA87" s="396"/>
      <c r="DQB87" s="452"/>
      <c r="DQC87" s="412"/>
      <c r="DQD87" s="415"/>
      <c r="DQE87" s="413"/>
      <c r="DQO87" s="396"/>
      <c r="DQP87" s="452"/>
      <c r="DQQ87" s="412"/>
      <c r="DQR87" s="415"/>
      <c r="DQS87" s="413"/>
      <c r="DRC87" s="396"/>
      <c r="DRD87" s="452"/>
      <c r="DRE87" s="412"/>
      <c r="DRF87" s="415"/>
      <c r="DRG87" s="413"/>
      <c r="DRQ87" s="396"/>
      <c r="DRR87" s="452"/>
      <c r="DRS87" s="412"/>
      <c r="DRT87" s="415"/>
      <c r="DRU87" s="413"/>
      <c r="DSE87" s="396"/>
      <c r="DSF87" s="452"/>
      <c r="DSG87" s="412"/>
      <c r="DSH87" s="415"/>
      <c r="DSI87" s="413"/>
      <c r="DSS87" s="396"/>
      <c r="DST87" s="452"/>
      <c r="DSU87" s="412"/>
      <c r="DSV87" s="415"/>
      <c r="DSW87" s="413"/>
      <c r="DTG87" s="396"/>
      <c r="DTH87" s="452"/>
      <c r="DTI87" s="412"/>
      <c r="DTJ87" s="415"/>
      <c r="DTK87" s="413"/>
      <c r="DTU87" s="396"/>
      <c r="DTV87" s="452"/>
      <c r="DTW87" s="412"/>
      <c r="DTX87" s="415"/>
      <c r="DTY87" s="413"/>
      <c r="DUI87" s="396"/>
      <c r="DUJ87" s="452"/>
      <c r="DUK87" s="412"/>
      <c r="DUL87" s="415"/>
      <c r="DUM87" s="413"/>
      <c r="DUW87" s="396"/>
      <c r="DUX87" s="452"/>
      <c r="DUY87" s="412"/>
      <c r="DUZ87" s="415"/>
      <c r="DVA87" s="413"/>
      <c r="DVK87" s="396"/>
      <c r="DVL87" s="452"/>
      <c r="DVM87" s="412"/>
      <c r="DVN87" s="415"/>
      <c r="DVO87" s="413"/>
      <c r="DVY87" s="396"/>
      <c r="DVZ87" s="452"/>
      <c r="DWA87" s="412"/>
      <c r="DWB87" s="415"/>
      <c r="DWC87" s="413"/>
      <c r="DWM87" s="396"/>
      <c r="DWN87" s="452"/>
      <c r="DWO87" s="412"/>
      <c r="DWP87" s="415"/>
      <c r="DWQ87" s="413"/>
      <c r="DXA87" s="396"/>
      <c r="DXB87" s="452"/>
      <c r="DXC87" s="412"/>
      <c r="DXD87" s="415"/>
      <c r="DXE87" s="413"/>
      <c r="DXO87" s="396"/>
      <c r="DXP87" s="452"/>
      <c r="DXQ87" s="412"/>
      <c r="DXR87" s="415"/>
      <c r="DXS87" s="413"/>
      <c r="DYC87" s="396"/>
      <c r="DYD87" s="452"/>
      <c r="DYE87" s="412"/>
      <c r="DYF87" s="415"/>
      <c r="DYG87" s="413"/>
      <c r="DYQ87" s="396"/>
      <c r="DYR87" s="452"/>
      <c r="DYS87" s="412"/>
      <c r="DYT87" s="415"/>
      <c r="DYU87" s="413"/>
      <c r="DZE87" s="396"/>
      <c r="DZF87" s="452"/>
      <c r="DZG87" s="412"/>
      <c r="DZH87" s="415"/>
      <c r="DZI87" s="413"/>
      <c r="DZS87" s="396"/>
      <c r="DZT87" s="452"/>
      <c r="DZU87" s="412"/>
      <c r="DZV87" s="415"/>
      <c r="DZW87" s="413"/>
      <c r="EAG87" s="396"/>
      <c r="EAH87" s="452"/>
      <c r="EAI87" s="412"/>
      <c r="EAJ87" s="415"/>
      <c r="EAK87" s="413"/>
      <c r="EAU87" s="396"/>
      <c r="EAV87" s="452"/>
      <c r="EAW87" s="412"/>
      <c r="EAX87" s="415"/>
      <c r="EAY87" s="413"/>
      <c r="EBI87" s="396"/>
      <c r="EBJ87" s="452"/>
      <c r="EBK87" s="412"/>
      <c r="EBL87" s="415"/>
      <c r="EBM87" s="413"/>
      <c r="EBW87" s="396"/>
      <c r="EBX87" s="452"/>
      <c r="EBY87" s="412"/>
      <c r="EBZ87" s="415"/>
      <c r="ECA87" s="413"/>
      <c r="ECK87" s="396"/>
      <c r="ECL87" s="452"/>
      <c r="ECM87" s="412"/>
      <c r="ECN87" s="415"/>
      <c r="ECO87" s="413"/>
      <c r="ECY87" s="396"/>
      <c r="ECZ87" s="452"/>
      <c r="EDA87" s="412"/>
      <c r="EDB87" s="415"/>
      <c r="EDC87" s="413"/>
      <c r="EDM87" s="396"/>
      <c r="EDN87" s="452"/>
      <c r="EDO87" s="412"/>
      <c r="EDP87" s="415"/>
      <c r="EDQ87" s="413"/>
      <c r="EEA87" s="396"/>
      <c r="EEB87" s="452"/>
      <c r="EEC87" s="412"/>
      <c r="EED87" s="415"/>
      <c r="EEE87" s="413"/>
      <c r="EEO87" s="396"/>
      <c r="EEP87" s="452"/>
      <c r="EEQ87" s="412"/>
      <c r="EER87" s="415"/>
      <c r="EES87" s="413"/>
      <c r="EFC87" s="396"/>
      <c r="EFD87" s="452"/>
      <c r="EFE87" s="412"/>
      <c r="EFF87" s="415"/>
      <c r="EFG87" s="413"/>
      <c r="EFQ87" s="396"/>
      <c r="EFR87" s="452"/>
      <c r="EFS87" s="412"/>
      <c r="EFT87" s="415"/>
      <c r="EFU87" s="413"/>
      <c r="EGE87" s="396"/>
      <c r="EGF87" s="452"/>
      <c r="EGG87" s="412"/>
      <c r="EGH87" s="415"/>
      <c r="EGI87" s="413"/>
      <c r="EGS87" s="396"/>
      <c r="EGT87" s="452"/>
      <c r="EGU87" s="412"/>
      <c r="EGV87" s="415"/>
      <c r="EGW87" s="413"/>
      <c r="EHG87" s="396"/>
      <c r="EHH87" s="452"/>
      <c r="EHI87" s="412"/>
      <c r="EHJ87" s="415"/>
      <c r="EHK87" s="413"/>
      <c r="EHU87" s="396"/>
      <c r="EHV87" s="452"/>
      <c r="EHW87" s="412"/>
      <c r="EHX87" s="415"/>
      <c r="EHY87" s="413"/>
      <c r="EII87" s="396"/>
      <c r="EIJ87" s="452"/>
      <c r="EIK87" s="412"/>
      <c r="EIL87" s="415"/>
      <c r="EIM87" s="413"/>
      <c r="EIW87" s="396"/>
      <c r="EIX87" s="452"/>
      <c r="EIY87" s="412"/>
      <c r="EIZ87" s="415"/>
      <c r="EJA87" s="413"/>
      <c r="EJK87" s="396"/>
      <c r="EJL87" s="452"/>
      <c r="EJM87" s="412"/>
      <c r="EJN87" s="415"/>
      <c r="EJO87" s="413"/>
      <c r="EJY87" s="396"/>
      <c r="EJZ87" s="452"/>
      <c r="EKA87" s="412"/>
      <c r="EKB87" s="415"/>
      <c r="EKC87" s="413"/>
      <c r="EKM87" s="396"/>
      <c r="EKN87" s="452"/>
      <c r="EKO87" s="412"/>
      <c r="EKP87" s="415"/>
      <c r="EKQ87" s="413"/>
      <c r="ELA87" s="396"/>
      <c r="ELB87" s="452"/>
      <c r="ELC87" s="412"/>
      <c r="ELD87" s="415"/>
      <c r="ELE87" s="413"/>
      <c r="ELO87" s="396"/>
      <c r="ELP87" s="452"/>
      <c r="ELQ87" s="412"/>
      <c r="ELR87" s="415"/>
      <c r="ELS87" s="413"/>
      <c r="EMC87" s="396"/>
      <c r="EMD87" s="452"/>
      <c r="EME87" s="412"/>
      <c r="EMF87" s="415"/>
      <c r="EMG87" s="413"/>
      <c r="EMQ87" s="396"/>
      <c r="EMR87" s="452"/>
      <c r="EMS87" s="412"/>
      <c r="EMT87" s="415"/>
      <c r="EMU87" s="413"/>
      <c r="ENE87" s="396"/>
      <c r="ENF87" s="452"/>
      <c r="ENG87" s="412"/>
      <c r="ENH87" s="415"/>
      <c r="ENI87" s="413"/>
      <c r="ENS87" s="396"/>
      <c r="ENT87" s="452"/>
      <c r="ENU87" s="412"/>
      <c r="ENV87" s="415"/>
      <c r="ENW87" s="413"/>
      <c r="EOG87" s="396"/>
      <c r="EOH87" s="452"/>
      <c r="EOI87" s="412"/>
      <c r="EOJ87" s="415"/>
      <c r="EOK87" s="413"/>
      <c r="EOU87" s="396"/>
      <c r="EOV87" s="452"/>
      <c r="EOW87" s="412"/>
      <c r="EOX87" s="415"/>
      <c r="EOY87" s="413"/>
      <c r="EPI87" s="396"/>
      <c r="EPJ87" s="452"/>
      <c r="EPK87" s="412"/>
      <c r="EPL87" s="415"/>
      <c r="EPM87" s="413"/>
      <c r="EPW87" s="396"/>
      <c r="EPX87" s="452"/>
      <c r="EPY87" s="412"/>
      <c r="EPZ87" s="415"/>
      <c r="EQA87" s="413"/>
      <c r="EQK87" s="396"/>
      <c r="EQL87" s="452"/>
      <c r="EQM87" s="412"/>
      <c r="EQN87" s="415"/>
      <c r="EQO87" s="413"/>
      <c r="EQY87" s="396"/>
      <c r="EQZ87" s="452"/>
      <c r="ERA87" s="412"/>
      <c r="ERB87" s="415"/>
      <c r="ERC87" s="413"/>
      <c r="ERM87" s="396"/>
      <c r="ERN87" s="452"/>
      <c r="ERO87" s="412"/>
      <c r="ERP87" s="415"/>
      <c r="ERQ87" s="413"/>
      <c r="ESA87" s="396"/>
      <c r="ESB87" s="452"/>
      <c r="ESC87" s="412"/>
      <c r="ESD87" s="415"/>
      <c r="ESE87" s="413"/>
      <c r="ESO87" s="396"/>
      <c r="ESP87" s="452"/>
      <c r="ESQ87" s="412"/>
      <c r="ESR87" s="415"/>
      <c r="ESS87" s="413"/>
      <c r="ETC87" s="396"/>
      <c r="ETD87" s="452"/>
      <c r="ETE87" s="412"/>
      <c r="ETF87" s="415"/>
      <c r="ETG87" s="413"/>
      <c r="ETQ87" s="396"/>
      <c r="ETR87" s="452"/>
      <c r="ETS87" s="412"/>
      <c r="ETT87" s="415"/>
      <c r="ETU87" s="413"/>
      <c r="EUE87" s="396"/>
      <c r="EUF87" s="452"/>
      <c r="EUG87" s="412"/>
      <c r="EUH87" s="415"/>
      <c r="EUI87" s="413"/>
      <c r="EUS87" s="396"/>
      <c r="EUT87" s="452"/>
      <c r="EUU87" s="412"/>
      <c r="EUV87" s="415"/>
      <c r="EUW87" s="413"/>
      <c r="EVG87" s="396"/>
      <c r="EVH87" s="452"/>
      <c r="EVI87" s="412"/>
      <c r="EVJ87" s="415"/>
      <c r="EVK87" s="413"/>
      <c r="EVU87" s="396"/>
      <c r="EVV87" s="452"/>
      <c r="EVW87" s="412"/>
      <c r="EVX87" s="415"/>
      <c r="EVY87" s="413"/>
      <c r="EWI87" s="396"/>
      <c r="EWJ87" s="452"/>
      <c r="EWK87" s="412"/>
      <c r="EWL87" s="415"/>
      <c r="EWM87" s="413"/>
      <c r="EWW87" s="396"/>
      <c r="EWX87" s="452"/>
      <c r="EWY87" s="412"/>
      <c r="EWZ87" s="415"/>
      <c r="EXA87" s="413"/>
      <c r="EXK87" s="396"/>
      <c r="EXL87" s="452"/>
      <c r="EXM87" s="412"/>
      <c r="EXN87" s="415"/>
      <c r="EXO87" s="413"/>
      <c r="EXY87" s="396"/>
      <c r="EXZ87" s="452"/>
      <c r="EYA87" s="412"/>
      <c r="EYB87" s="415"/>
      <c r="EYC87" s="413"/>
      <c r="EYM87" s="396"/>
      <c r="EYN87" s="452"/>
      <c r="EYO87" s="412"/>
      <c r="EYP87" s="415"/>
      <c r="EYQ87" s="413"/>
      <c r="EZA87" s="396"/>
      <c r="EZB87" s="452"/>
      <c r="EZC87" s="412"/>
      <c r="EZD87" s="415"/>
      <c r="EZE87" s="413"/>
      <c r="EZO87" s="396"/>
      <c r="EZP87" s="452"/>
      <c r="EZQ87" s="412"/>
      <c r="EZR87" s="415"/>
      <c r="EZS87" s="413"/>
      <c r="FAC87" s="396"/>
      <c r="FAD87" s="452"/>
      <c r="FAE87" s="412"/>
      <c r="FAF87" s="415"/>
      <c r="FAG87" s="413"/>
      <c r="FAQ87" s="396"/>
      <c r="FAR87" s="452"/>
      <c r="FAS87" s="412"/>
      <c r="FAT87" s="415"/>
      <c r="FAU87" s="413"/>
      <c r="FBE87" s="396"/>
      <c r="FBF87" s="452"/>
      <c r="FBG87" s="412"/>
      <c r="FBH87" s="415"/>
      <c r="FBI87" s="413"/>
      <c r="FBS87" s="396"/>
      <c r="FBT87" s="452"/>
      <c r="FBU87" s="412"/>
      <c r="FBV87" s="415"/>
      <c r="FBW87" s="413"/>
      <c r="FCG87" s="396"/>
      <c r="FCH87" s="452"/>
      <c r="FCI87" s="412"/>
      <c r="FCJ87" s="415"/>
      <c r="FCK87" s="413"/>
      <c r="FCU87" s="396"/>
      <c r="FCV87" s="452"/>
      <c r="FCW87" s="412"/>
      <c r="FCX87" s="415"/>
      <c r="FCY87" s="413"/>
      <c r="FDI87" s="396"/>
      <c r="FDJ87" s="452"/>
      <c r="FDK87" s="412"/>
      <c r="FDL87" s="415"/>
      <c r="FDM87" s="413"/>
      <c r="FDW87" s="396"/>
      <c r="FDX87" s="452"/>
      <c r="FDY87" s="412"/>
      <c r="FDZ87" s="415"/>
      <c r="FEA87" s="413"/>
      <c r="FEK87" s="396"/>
      <c r="FEL87" s="452"/>
      <c r="FEM87" s="412"/>
      <c r="FEN87" s="415"/>
      <c r="FEO87" s="413"/>
      <c r="FEY87" s="396"/>
      <c r="FEZ87" s="452"/>
      <c r="FFA87" s="412"/>
      <c r="FFB87" s="415"/>
      <c r="FFC87" s="413"/>
      <c r="FFM87" s="396"/>
      <c r="FFN87" s="452"/>
      <c r="FFO87" s="412"/>
      <c r="FFP87" s="415"/>
      <c r="FFQ87" s="413"/>
      <c r="FGA87" s="396"/>
      <c r="FGB87" s="452"/>
      <c r="FGC87" s="412"/>
      <c r="FGD87" s="415"/>
      <c r="FGE87" s="413"/>
      <c r="FGO87" s="396"/>
      <c r="FGP87" s="452"/>
      <c r="FGQ87" s="412"/>
      <c r="FGR87" s="415"/>
      <c r="FGS87" s="413"/>
      <c r="FHC87" s="396"/>
      <c r="FHD87" s="452"/>
      <c r="FHE87" s="412"/>
      <c r="FHF87" s="415"/>
      <c r="FHG87" s="413"/>
      <c r="FHQ87" s="396"/>
      <c r="FHR87" s="452"/>
      <c r="FHS87" s="412"/>
      <c r="FHT87" s="415"/>
      <c r="FHU87" s="413"/>
      <c r="FIE87" s="396"/>
      <c r="FIF87" s="452"/>
      <c r="FIG87" s="412"/>
      <c r="FIH87" s="415"/>
      <c r="FII87" s="413"/>
      <c r="FIS87" s="396"/>
      <c r="FIT87" s="452"/>
      <c r="FIU87" s="412"/>
      <c r="FIV87" s="415"/>
      <c r="FIW87" s="413"/>
      <c r="FJG87" s="396"/>
      <c r="FJH87" s="452"/>
      <c r="FJI87" s="412"/>
      <c r="FJJ87" s="415"/>
      <c r="FJK87" s="413"/>
      <c r="FJU87" s="396"/>
      <c r="FJV87" s="452"/>
      <c r="FJW87" s="412"/>
      <c r="FJX87" s="415"/>
      <c r="FJY87" s="413"/>
      <c r="FKI87" s="396"/>
      <c r="FKJ87" s="452"/>
      <c r="FKK87" s="412"/>
      <c r="FKL87" s="415"/>
      <c r="FKM87" s="413"/>
      <c r="FKW87" s="396"/>
      <c r="FKX87" s="452"/>
      <c r="FKY87" s="412"/>
      <c r="FKZ87" s="415"/>
      <c r="FLA87" s="413"/>
      <c r="FLK87" s="396"/>
      <c r="FLL87" s="452"/>
      <c r="FLM87" s="412"/>
      <c r="FLN87" s="415"/>
      <c r="FLO87" s="413"/>
      <c r="FLY87" s="396"/>
      <c r="FLZ87" s="452"/>
      <c r="FMA87" s="412"/>
      <c r="FMB87" s="415"/>
      <c r="FMC87" s="413"/>
      <c r="FMM87" s="396"/>
      <c r="FMN87" s="452"/>
      <c r="FMO87" s="412"/>
      <c r="FMP87" s="415"/>
      <c r="FMQ87" s="413"/>
      <c r="FNA87" s="396"/>
      <c r="FNB87" s="452"/>
      <c r="FNC87" s="412"/>
      <c r="FND87" s="415"/>
      <c r="FNE87" s="413"/>
      <c r="FNO87" s="396"/>
      <c r="FNP87" s="452"/>
      <c r="FNQ87" s="412"/>
      <c r="FNR87" s="415"/>
      <c r="FNS87" s="413"/>
      <c r="FOC87" s="396"/>
      <c r="FOD87" s="452"/>
      <c r="FOE87" s="412"/>
      <c r="FOF87" s="415"/>
      <c r="FOG87" s="413"/>
      <c r="FOQ87" s="396"/>
      <c r="FOR87" s="452"/>
      <c r="FOS87" s="412"/>
      <c r="FOT87" s="415"/>
      <c r="FOU87" s="413"/>
      <c r="FPE87" s="396"/>
      <c r="FPF87" s="452"/>
      <c r="FPG87" s="412"/>
      <c r="FPH87" s="415"/>
      <c r="FPI87" s="413"/>
      <c r="FPS87" s="396"/>
      <c r="FPT87" s="452"/>
      <c r="FPU87" s="412"/>
      <c r="FPV87" s="415"/>
      <c r="FPW87" s="413"/>
      <c r="FQG87" s="396"/>
      <c r="FQH87" s="452"/>
      <c r="FQI87" s="412"/>
      <c r="FQJ87" s="415"/>
      <c r="FQK87" s="413"/>
      <c r="FQU87" s="396"/>
      <c r="FQV87" s="452"/>
      <c r="FQW87" s="412"/>
      <c r="FQX87" s="415"/>
      <c r="FQY87" s="413"/>
      <c r="FRI87" s="396"/>
      <c r="FRJ87" s="452"/>
      <c r="FRK87" s="412"/>
      <c r="FRL87" s="415"/>
      <c r="FRM87" s="413"/>
      <c r="FRW87" s="396"/>
      <c r="FRX87" s="452"/>
      <c r="FRY87" s="412"/>
      <c r="FRZ87" s="415"/>
      <c r="FSA87" s="413"/>
      <c r="FSK87" s="396"/>
      <c r="FSL87" s="452"/>
      <c r="FSM87" s="412"/>
      <c r="FSN87" s="415"/>
      <c r="FSO87" s="413"/>
      <c r="FSY87" s="396"/>
      <c r="FSZ87" s="452"/>
      <c r="FTA87" s="412"/>
      <c r="FTB87" s="415"/>
      <c r="FTC87" s="413"/>
      <c r="FTM87" s="396"/>
      <c r="FTN87" s="452"/>
      <c r="FTO87" s="412"/>
      <c r="FTP87" s="415"/>
      <c r="FTQ87" s="413"/>
      <c r="FUA87" s="396"/>
      <c r="FUB87" s="452"/>
      <c r="FUC87" s="412"/>
      <c r="FUD87" s="415"/>
      <c r="FUE87" s="413"/>
      <c r="FUO87" s="396"/>
      <c r="FUP87" s="452"/>
      <c r="FUQ87" s="412"/>
      <c r="FUR87" s="415"/>
      <c r="FUS87" s="413"/>
      <c r="FVC87" s="396"/>
      <c r="FVD87" s="452"/>
      <c r="FVE87" s="412"/>
      <c r="FVF87" s="415"/>
      <c r="FVG87" s="413"/>
      <c r="FVQ87" s="396"/>
      <c r="FVR87" s="452"/>
      <c r="FVS87" s="412"/>
      <c r="FVT87" s="415"/>
      <c r="FVU87" s="413"/>
      <c r="FWE87" s="396"/>
      <c r="FWF87" s="452"/>
      <c r="FWG87" s="412"/>
      <c r="FWH87" s="415"/>
      <c r="FWI87" s="413"/>
      <c r="FWS87" s="396"/>
      <c r="FWT87" s="452"/>
      <c r="FWU87" s="412"/>
      <c r="FWV87" s="415"/>
      <c r="FWW87" s="413"/>
      <c r="FXG87" s="396"/>
      <c r="FXH87" s="452"/>
      <c r="FXI87" s="412"/>
      <c r="FXJ87" s="415"/>
      <c r="FXK87" s="413"/>
      <c r="FXU87" s="396"/>
      <c r="FXV87" s="452"/>
      <c r="FXW87" s="412"/>
      <c r="FXX87" s="415"/>
      <c r="FXY87" s="413"/>
      <c r="FYI87" s="396"/>
      <c r="FYJ87" s="452"/>
      <c r="FYK87" s="412"/>
      <c r="FYL87" s="415"/>
      <c r="FYM87" s="413"/>
      <c r="FYW87" s="396"/>
      <c r="FYX87" s="452"/>
      <c r="FYY87" s="412"/>
      <c r="FYZ87" s="415"/>
      <c r="FZA87" s="413"/>
      <c r="FZK87" s="396"/>
      <c r="FZL87" s="452"/>
      <c r="FZM87" s="412"/>
      <c r="FZN87" s="415"/>
      <c r="FZO87" s="413"/>
      <c r="FZY87" s="396"/>
      <c r="FZZ87" s="452"/>
      <c r="GAA87" s="412"/>
      <c r="GAB87" s="415"/>
      <c r="GAC87" s="413"/>
      <c r="GAM87" s="396"/>
      <c r="GAN87" s="452"/>
      <c r="GAO87" s="412"/>
      <c r="GAP87" s="415"/>
      <c r="GAQ87" s="413"/>
      <c r="GBA87" s="396"/>
      <c r="GBB87" s="452"/>
      <c r="GBC87" s="412"/>
      <c r="GBD87" s="415"/>
      <c r="GBE87" s="413"/>
      <c r="GBO87" s="396"/>
      <c r="GBP87" s="452"/>
      <c r="GBQ87" s="412"/>
      <c r="GBR87" s="415"/>
      <c r="GBS87" s="413"/>
      <c r="GCC87" s="396"/>
      <c r="GCD87" s="452"/>
      <c r="GCE87" s="412"/>
      <c r="GCF87" s="415"/>
      <c r="GCG87" s="413"/>
      <c r="GCQ87" s="396"/>
      <c r="GCR87" s="452"/>
      <c r="GCS87" s="412"/>
      <c r="GCT87" s="415"/>
      <c r="GCU87" s="413"/>
      <c r="GDE87" s="396"/>
      <c r="GDF87" s="452"/>
      <c r="GDG87" s="412"/>
      <c r="GDH87" s="415"/>
      <c r="GDI87" s="413"/>
      <c r="GDS87" s="396"/>
      <c r="GDT87" s="452"/>
      <c r="GDU87" s="412"/>
      <c r="GDV87" s="415"/>
      <c r="GDW87" s="413"/>
      <c r="GEG87" s="396"/>
      <c r="GEH87" s="452"/>
      <c r="GEI87" s="412"/>
      <c r="GEJ87" s="415"/>
      <c r="GEK87" s="413"/>
      <c r="GEU87" s="396"/>
      <c r="GEV87" s="452"/>
      <c r="GEW87" s="412"/>
      <c r="GEX87" s="415"/>
      <c r="GEY87" s="413"/>
      <c r="GFI87" s="396"/>
      <c r="GFJ87" s="452"/>
      <c r="GFK87" s="412"/>
      <c r="GFL87" s="415"/>
      <c r="GFM87" s="413"/>
      <c r="GFW87" s="396"/>
      <c r="GFX87" s="452"/>
      <c r="GFY87" s="412"/>
      <c r="GFZ87" s="415"/>
      <c r="GGA87" s="413"/>
      <c r="GGK87" s="396"/>
      <c r="GGL87" s="452"/>
      <c r="GGM87" s="412"/>
      <c r="GGN87" s="415"/>
      <c r="GGO87" s="413"/>
      <c r="GGY87" s="396"/>
      <c r="GGZ87" s="452"/>
      <c r="GHA87" s="412"/>
      <c r="GHB87" s="415"/>
      <c r="GHC87" s="413"/>
      <c r="GHM87" s="396"/>
      <c r="GHN87" s="452"/>
      <c r="GHO87" s="412"/>
      <c r="GHP87" s="415"/>
      <c r="GHQ87" s="413"/>
      <c r="GIA87" s="396"/>
      <c r="GIB87" s="452"/>
      <c r="GIC87" s="412"/>
      <c r="GID87" s="415"/>
      <c r="GIE87" s="413"/>
      <c r="GIO87" s="396"/>
      <c r="GIP87" s="452"/>
      <c r="GIQ87" s="412"/>
      <c r="GIR87" s="415"/>
      <c r="GIS87" s="413"/>
      <c r="GJC87" s="396"/>
      <c r="GJD87" s="452"/>
      <c r="GJE87" s="412"/>
      <c r="GJF87" s="415"/>
      <c r="GJG87" s="413"/>
      <c r="GJQ87" s="396"/>
      <c r="GJR87" s="452"/>
      <c r="GJS87" s="412"/>
      <c r="GJT87" s="415"/>
      <c r="GJU87" s="413"/>
      <c r="GKE87" s="396"/>
      <c r="GKF87" s="452"/>
      <c r="GKG87" s="412"/>
      <c r="GKH87" s="415"/>
      <c r="GKI87" s="413"/>
      <c r="GKS87" s="396"/>
      <c r="GKT87" s="452"/>
      <c r="GKU87" s="412"/>
      <c r="GKV87" s="415"/>
      <c r="GKW87" s="413"/>
      <c r="GLG87" s="396"/>
      <c r="GLH87" s="452"/>
      <c r="GLI87" s="412"/>
      <c r="GLJ87" s="415"/>
      <c r="GLK87" s="413"/>
      <c r="GLU87" s="396"/>
      <c r="GLV87" s="452"/>
      <c r="GLW87" s="412"/>
      <c r="GLX87" s="415"/>
      <c r="GLY87" s="413"/>
      <c r="GMI87" s="396"/>
      <c r="GMJ87" s="452"/>
      <c r="GMK87" s="412"/>
      <c r="GML87" s="415"/>
      <c r="GMM87" s="413"/>
      <c r="GMW87" s="396"/>
      <c r="GMX87" s="452"/>
      <c r="GMY87" s="412"/>
      <c r="GMZ87" s="415"/>
      <c r="GNA87" s="413"/>
      <c r="GNK87" s="396"/>
      <c r="GNL87" s="452"/>
      <c r="GNM87" s="412"/>
      <c r="GNN87" s="415"/>
      <c r="GNO87" s="413"/>
      <c r="GNY87" s="396"/>
      <c r="GNZ87" s="452"/>
      <c r="GOA87" s="412"/>
      <c r="GOB87" s="415"/>
      <c r="GOC87" s="413"/>
      <c r="GOM87" s="396"/>
      <c r="GON87" s="452"/>
      <c r="GOO87" s="412"/>
      <c r="GOP87" s="415"/>
      <c r="GOQ87" s="413"/>
      <c r="GPA87" s="396"/>
      <c r="GPB87" s="452"/>
      <c r="GPC87" s="412"/>
      <c r="GPD87" s="415"/>
      <c r="GPE87" s="413"/>
      <c r="GPO87" s="396"/>
      <c r="GPP87" s="452"/>
      <c r="GPQ87" s="412"/>
      <c r="GPR87" s="415"/>
      <c r="GPS87" s="413"/>
      <c r="GQC87" s="396"/>
      <c r="GQD87" s="452"/>
      <c r="GQE87" s="412"/>
      <c r="GQF87" s="415"/>
      <c r="GQG87" s="413"/>
      <c r="GQQ87" s="396"/>
      <c r="GQR87" s="452"/>
      <c r="GQS87" s="412"/>
      <c r="GQT87" s="415"/>
      <c r="GQU87" s="413"/>
      <c r="GRE87" s="396"/>
      <c r="GRF87" s="452"/>
      <c r="GRG87" s="412"/>
      <c r="GRH87" s="415"/>
      <c r="GRI87" s="413"/>
      <c r="GRS87" s="396"/>
      <c r="GRT87" s="452"/>
      <c r="GRU87" s="412"/>
      <c r="GRV87" s="415"/>
      <c r="GRW87" s="413"/>
      <c r="GSG87" s="396"/>
      <c r="GSH87" s="452"/>
      <c r="GSI87" s="412"/>
      <c r="GSJ87" s="415"/>
      <c r="GSK87" s="413"/>
      <c r="GSU87" s="396"/>
      <c r="GSV87" s="452"/>
      <c r="GSW87" s="412"/>
      <c r="GSX87" s="415"/>
      <c r="GSY87" s="413"/>
      <c r="GTI87" s="396"/>
      <c r="GTJ87" s="452"/>
      <c r="GTK87" s="412"/>
      <c r="GTL87" s="415"/>
      <c r="GTM87" s="413"/>
      <c r="GTW87" s="396"/>
      <c r="GTX87" s="452"/>
      <c r="GTY87" s="412"/>
      <c r="GTZ87" s="415"/>
      <c r="GUA87" s="413"/>
      <c r="GUK87" s="396"/>
      <c r="GUL87" s="452"/>
      <c r="GUM87" s="412"/>
      <c r="GUN87" s="415"/>
      <c r="GUO87" s="413"/>
      <c r="GUY87" s="396"/>
      <c r="GUZ87" s="452"/>
      <c r="GVA87" s="412"/>
      <c r="GVB87" s="415"/>
      <c r="GVC87" s="413"/>
      <c r="GVM87" s="396"/>
      <c r="GVN87" s="452"/>
      <c r="GVO87" s="412"/>
      <c r="GVP87" s="415"/>
      <c r="GVQ87" s="413"/>
      <c r="GWA87" s="396"/>
      <c r="GWB87" s="452"/>
      <c r="GWC87" s="412"/>
      <c r="GWD87" s="415"/>
      <c r="GWE87" s="413"/>
      <c r="GWO87" s="396"/>
      <c r="GWP87" s="452"/>
      <c r="GWQ87" s="412"/>
      <c r="GWR87" s="415"/>
      <c r="GWS87" s="413"/>
      <c r="GXC87" s="396"/>
      <c r="GXD87" s="452"/>
      <c r="GXE87" s="412"/>
      <c r="GXF87" s="415"/>
      <c r="GXG87" s="413"/>
      <c r="GXQ87" s="396"/>
      <c r="GXR87" s="452"/>
      <c r="GXS87" s="412"/>
      <c r="GXT87" s="415"/>
      <c r="GXU87" s="413"/>
      <c r="GYE87" s="396"/>
      <c r="GYF87" s="452"/>
      <c r="GYG87" s="412"/>
      <c r="GYH87" s="415"/>
      <c r="GYI87" s="413"/>
      <c r="GYS87" s="396"/>
      <c r="GYT87" s="452"/>
      <c r="GYU87" s="412"/>
      <c r="GYV87" s="415"/>
      <c r="GYW87" s="413"/>
      <c r="GZG87" s="396"/>
      <c r="GZH87" s="452"/>
      <c r="GZI87" s="412"/>
      <c r="GZJ87" s="415"/>
      <c r="GZK87" s="413"/>
      <c r="GZU87" s="396"/>
      <c r="GZV87" s="452"/>
      <c r="GZW87" s="412"/>
      <c r="GZX87" s="415"/>
      <c r="GZY87" s="413"/>
      <c r="HAI87" s="396"/>
      <c r="HAJ87" s="452"/>
      <c r="HAK87" s="412"/>
      <c r="HAL87" s="415"/>
      <c r="HAM87" s="413"/>
      <c r="HAW87" s="396"/>
      <c r="HAX87" s="452"/>
      <c r="HAY87" s="412"/>
      <c r="HAZ87" s="415"/>
      <c r="HBA87" s="413"/>
      <c r="HBK87" s="396"/>
      <c r="HBL87" s="452"/>
      <c r="HBM87" s="412"/>
      <c r="HBN87" s="415"/>
      <c r="HBO87" s="413"/>
      <c r="HBY87" s="396"/>
      <c r="HBZ87" s="452"/>
      <c r="HCA87" s="412"/>
      <c r="HCB87" s="415"/>
      <c r="HCC87" s="413"/>
      <c r="HCM87" s="396"/>
      <c r="HCN87" s="452"/>
      <c r="HCO87" s="412"/>
      <c r="HCP87" s="415"/>
      <c r="HCQ87" s="413"/>
      <c r="HDA87" s="396"/>
      <c r="HDB87" s="452"/>
      <c r="HDC87" s="412"/>
      <c r="HDD87" s="415"/>
      <c r="HDE87" s="413"/>
      <c r="HDO87" s="396"/>
      <c r="HDP87" s="452"/>
      <c r="HDQ87" s="412"/>
      <c r="HDR87" s="415"/>
      <c r="HDS87" s="413"/>
      <c r="HEC87" s="396"/>
      <c r="HED87" s="452"/>
      <c r="HEE87" s="412"/>
      <c r="HEF87" s="415"/>
      <c r="HEG87" s="413"/>
      <c r="HEQ87" s="396"/>
      <c r="HER87" s="452"/>
      <c r="HES87" s="412"/>
      <c r="HET87" s="415"/>
      <c r="HEU87" s="413"/>
      <c r="HFE87" s="396"/>
      <c r="HFF87" s="452"/>
      <c r="HFG87" s="412"/>
      <c r="HFH87" s="415"/>
      <c r="HFI87" s="413"/>
      <c r="HFS87" s="396"/>
      <c r="HFT87" s="452"/>
      <c r="HFU87" s="412"/>
      <c r="HFV87" s="415"/>
      <c r="HFW87" s="413"/>
      <c r="HGG87" s="396"/>
      <c r="HGH87" s="452"/>
      <c r="HGI87" s="412"/>
      <c r="HGJ87" s="415"/>
      <c r="HGK87" s="413"/>
      <c r="HGU87" s="396"/>
      <c r="HGV87" s="452"/>
      <c r="HGW87" s="412"/>
      <c r="HGX87" s="415"/>
      <c r="HGY87" s="413"/>
      <c r="HHI87" s="396"/>
      <c r="HHJ87" s="452"/>
      <c r="HHK87" s="412"/>
      <c r="HHL87" s="415"/>
      <c r="HHM87" s="413"/>
      <c r="HHW87" s="396"/>
      <c r="HHX87" s="452"/>
      <c r="HHY87" s="412"/>
      <c r="HHZ87" s="415"/>
      <c r="HIA87" s="413"/>
      <c r="HIK87" s="396"/>
      <c r="HIL87" s="452"/>
      <c r="HIM87" s="412"/>
      <c r="HIN87" s="415"/>
      <c r="HIO87" s="413"/>
      <c r="HIY87" s="396"/>
      <c r="HIZ87" s="452"/>
      <c r="HJA87" s="412"/>
      <c r="HJB87" s="415"/>
      <c r="HJC87" s="413"/>
      <c r="HJM87" s="396"/>
      <c r="HJN87" s="452"/>
      <c r="HJO87" s="412"/>
      <c r="HJP87" s="415"/>
      <c r="HJQ87" s="413"/>
      <c r="HKA87" s="396"/>
      <c r="HKB87" s="452"/>
      <c r="HKC87" s="412"/>
      <c r="HKD87" s="415"/>
      <c r="HKE87" s="413"/>
      <c r="HKO87" s="396"/>
      <c r="HKP87" s="452"/>
      <c r="HKQ87" s="412"/>
      <c r="HKR87" s="415"/>
      <c r="HKS87" s="413"/>
      <c r="HLC87" s="396"/>
      <c r="HLD87" s="452"/>
      <c r="HLE87" s="412"/>
      <c r="HLF87" s="415"/>
      <c r="HLG87" s="413"/>
      <c r="HLQ87" s="396"/>
      <c r="HLR87" s="452"/>
      <c r="HLS87" s="412"/>
      <c r="HLT87" s="415"/>
      <c r="HLU87" s="413"/>
      <c r="HME87" s="396"/>
      <c r="HMF87" s="452"/>
      <c r="HMG87" s="412"/>
      <c r="HMH87" s="415"/>
      <c r="HMI87" s="413"/>
      <c r="HMS87" s="396"/>
      <c r="HMT87" s="452"/>
      <c r="HMU87" s="412"/>
      <c r="HMV87" s="415"/>
      <c r="HMW87" s="413"/>
      <c r="HNG87" s="396"/>
      <c r="HNH87" s="452"/>
      <c r="HNI87" s="412"/>
      <c r="HNJ87" s="415"/>
      <c r="HNK87" s="413"/>
      <c r="HNU87" s="396"/>
      <c r="HNV87" s="452"/>
      <c r="HNW87" s="412"/>
      <c r="HNX87" s="415"/>
      <c r="HNY87" s="413"/>
      <c r="HOI87" s="396"/>
      <c r="HOJ87" s="452"/>
      <c r="HOK87" s="412"/>
      <c r="HOL87" s="415"/>
      <c r="HOM87" s="413"/>
      <c r="HOW87" s="396"/>
      <c r="HOX87" s="452"/>
      <c r="HOY87" s="412"/>
      <c r="HOZ87" s="415"/>
      <c r="HPA87" s="413"/>
      <c r="HPK87" s="396"/>
      <c r="HPL87" s="452"/>
      <c r="HPM87" s="412"/>
      <c r="HPN87" s="415"/>
      <c r="HPO87" s="413"/>
      <c r="HPY87" s="396"/>
      <c r="HPZ87" s="452"/>
      <c r="HQA87" s="412"/>
      <c r="HQB87" s="415"/>
      <c r="HQC87" s="413"/>
      <c r="HQM87" s="396"/>
      <c r="HQN87" s="452"/>
      <c r="HQO87" s="412"/>
      <c r="HQP87" s="415"/>
      <c r="HQQ87" s="413"/>
      <c r="HRA87" s="396"/>
      <c r="HRB87" s="452"/>
      <c r="HRC87" s="412"/>
      <c r="HRD87" s="415"/>
      <c r="HRE87" s="413"/>
      <c r="HRO87" s="396"/>
      <c r="HRP87" s="452"/>
      <c r="HRQ87" s="412"/>
      <c r="HRR87" s="415"/>
      <c r="HRS87" s="413"/>
      <c r="HSC87" s="396"/>
      <c r="HSD87" s="452"/>
      <c r="HSE87" s="412"/>
      <c r="HSF87" s="415"/>
      <c r="HSG87" s="413"/>
      <c r="HSQ87" s="396"/>
      <c r="HSR87" s="452"/>
      <c r="HSS87" s="412"/>
      <c r="HST87" s="415"/>
      <c r="HSU87" s="413"/>
      <c r="HTE87" s="396"/>
      <c r="HTF87" s="452"/>
      <c r="HTG87" s="412"/>
      <c r="HTH87" s="415"/>
      <c r="HTI87" s="413"/>
      <c r="HTS87" s="396"/>
      <c r="HTT87" s="452"/>
      <c r="HTU87" s="412"/>
      <c r="HTV87" s="415"/>
      <c r="HTW87" s="413"/>
      <c r="HUG87" s="396"/>
      <c r="HUH87" s="452"/>
      <c r="HUI87" s="412"/>
      <c r="HUJ87" s="415"/>
      <c r="HUK87" s="413"/>
      <c r="HUU87" s="396"/>
      <c r="HUV87" s="452"/>
      <c r="HUW87" s="412"/>
      <c r="HUX87" s="415"/>
      <c r="HUY87" s="413"/>
      <c r="HVI87" s="396"/>
      <c r="HVJ87" s="452"/>
      <c r="HVK87" s="412"/>
      <c r="HVL87" s="415"/>
      <c r="HVM87" s="413"/>
      <c r="HVW87" s="396"/>
      <c r="HVX87" s="452"/>
      <c r="HVY87" s="412"/>
      <c r="HVZ87" s="415"/>
      <c r="HWA87" s="413"/>
      <c r="HWK87" s="396"/>
      <c r="HWL87" s="452"/>
      <c r="HWM87" s="412"/>
      <c r="HWN87" s="415"/>
      <c r="HWO87" s="413"/>
      <c r="HWY87" s="396"/>
      <c r="HWZ87" s="452"/>
      <c r="HXA87" s="412"/>
      <c r="HXB87" s="415"/>
      <c r="HXC87" s="413"/>
      <c r="HXM87" s="396"/>
      <c r="HXN87" s="452"/>
      <c r="HXO87" s="412"/>
      <c r="HXP87" s="415"/>
      <c r="HXQ87" s="413"/>
      <c r="HYA87" s="396"/>
      <c r="HYB87" s="452"/>
      <c r="HYC87" s="412"/>
      <c r="HYD87" s="415"/>
      <c r="HYE87" s="413"/>
      <c r="HYO87" s="396"/>
      <c r="HYP87" s="452"/>
      <c r="HYQ87" s="412"/>
      <c r="HYR87" s="415"/>
      <c r="HYS87" s="413"/>
      <c r="HZC87" s="396"/>
      <c r="HZD87" s="452"/>
      <c r="HZE87" s="412"/>
      <c r="HZF87" s="415"/>
      <c r="HZG87" s="413"/>
      <c r="HZQ87" s="396"/>
      <c r="HZR87" s="452"/>
      <c r="HZS87" s="412"/>
      <c r="HZT87" s="415"/>
      <c r="HZU87" s="413"/>
      <c r="IAE87" s="396"/>
      <c r="IAF87" s="452"/>
      <c r="IAG87" s="412"/>
      <c r="IAH87" s="415"/>
      <c r="IAI87" s="413"/>
      <c r="IAS87" s="396"/>
      <c r="IAT87" s="452"/>
      <c r="IAU87" s="412"/>
      <c r="IAV87" s="415"/>
      <c r="IAW87" s="413"/>
      <c r="IBG87" s="396"/>
      <c r="IBH87" s="452"/>
      <c r="IBI87" s="412"/>
      <c r="IBJ87" s="415"/>
      <c r="IBK87" s="413"/>
      <c r="IBU87" s="396"/>
      <c r="IBV87" s="452"/>
      <c r="IBW87" s="412"/>
      <c r="IBX87" s="415"/>
      <c r="IBY87" s="413"/>
      <c r="ICI87" s="396"/>
      <c r="ICJ87" s="452"/>
      <c r="ICK87" s="412"/>
      <c r="ICL87" s="415"/>
      <c r="ICM87" s="413"/>
      <c r="ICW87" s="396"/>
      <c r="ICX87" s="452"/>
      <c r="ICY87" s="412"/>
      <c r="ICZ87" s="415"/>
      <c r="IDA87" s="413"/>
      <c r="IDK87" s="396"/>
      <c r="IDL87" s="452"/>
      <c r="IDM87" s="412"/>
      <c r="IDN87" s="415"/>
      <c r="IDO87" s="413"/>
      <c r="IDY87" s="396"/>
      <c r="IDZ87" s="452"/>
      <c r="IEA87" s="412"/>
      <c r="IEB87" s="415"/>
      <c r="IEC87" s="413"/>
      <c r="IEM87" s="396"/>
      <c r="IEN87" s="452"/>
      <c r="IEO87" s="412"/>
      <c r="IEP87" s="415"/>
      <c r="IEQ87" s="413"/>
      <c r="IFA87" s="396"/>
      <c r="IFB87" s="452"/>
      <c r="IFC87" s="412"/>
      <c r="IFD87" s="415"/>
      <c r="IFE87" s="413"/>
      <c r="IFO87" s="396"/>
      <c r="IFP87" s="452"/>
      <c r="IFQ87" s="412"/>
      <c r="IFR87" s="415"/>
      <c r="IFS87" s="413"/>
      <c r="IGC87" s="396"/>
      <c r="IGD87" s="452"/>
      <c r="IGE87" s="412"/>
      <c r="IGF87" s="415"/>
      <c r="IGG87" s="413"/>
      <c r="IGQ87" s="396"/>
      <c r="IGR87" s="452"/>
      <c r="IGS87" s="412"/>
      <c r="IGT87" s="415"/>
      <c r="IGU87" s="413"/>
      <c r="IHE87" s="396"/>
      <c r="IHF87" s="452"/>
      <c r="IHG87" s="412"/>
      <c r="IHH87" s="415"/>
      <c r="IHI87" s="413"/>
      <c r="IHS87" s="396"/>
      <c r="IHT87" s="452"/>
      <c r="IHU87" s="412"/>
      <c r="IHV87" s="415"/>
      <c r="IHW87" s="413"/>
      <c r="IIG87" s="396"/>
      <c r="IIH87" s="452"/>
      <c r="III87" s="412"/>
      <c r="IIJ87" s="415"/>
      <c r="IIK87" s="413"/>
      <c r="IIU87" s="396"/>
      <c r="IIV87" s="452"/>
      <c r="IIW87" s="412"/>
      <c r="IIX87" s="415"/>
      <c r="IIY87" s="413"/>
      <c r="IJI87" s="396"/>
      <c r="IJJ87" s="452"/>
      <c r="IJK87" s="412"/>
      <c r="IJL87" s="415"/>
      <c r="IJM87" s="413"/>
      <c r="IJW87" s="396"/>
      <c r="IJX87" s="452"/>
      <c r="IJY87" s="412"/>
      <c r="IJZ87" s="415"/>
      <c r="IKA87" s="413"/>
      <c r="IKK87" s="396"/>
      <c r="IKL87" s="452"/>
      <c r="IKM87" s="412"/>
      <c r="IKN87" s="415"/>
      <c r="IKO87" s="413"/>
      <c r="IKY87" s="396"/>
      <c r="IKZ87" s="452"/>
      <c r="ILA87" s="412"/>
      <c r="ILB87" s="415"/>
      <c r="ILC87" s="413"/>
      <c r="ILM87" s="396"/>
      <c r="ILN87" s="452"/>
      <c r="ILO87" s="412"/>
      <c r="ILP87" s="415"/>
      <c r="ILQ87" s="413"/>
      <c r="IMA87" s="396"/>
      <c r="IMB87" s="452"/>
      <c r="IMC87" s="412"/>
      <c r="IMD87" s="415"/>
      <c r="IME87" s="413"/>
      <c r="IMO87" s="396"/>
      <c r="IMP87" s="452"/>
      <c r="IMQ87" s="412"/>
      <c r="IMR87" s="415"/>
      <c r="IMS87" s="413"/>
      <c r="INC87" s="396"/>
      <c r="IND87" s="452"/>
      <c r="INE87" s="412"/>
      <c r="INF87" s="415"/>
      <c r="ING87" s="413"/>
      <c r="INQ87" s="396"/>
      <c r="INR87" s="452"/>
      <c r="INS87" s="412"/>
      <c r="INT87" s="415"/>
      <c r="INU87" s="413"/>
      <c r="IOE87" s="396"/>
      <c r="IOF87" s="452"/>
      <c r="IOG87" s="412"/>
      <c r="IOH87" s="415"/>
      <c r="IOI87" s="413"/>
      <c r="IOS87" s="396"/>
      <c r="IOT87" s="452"/>
      <c r="IOU87" s="412"/>
      <c r="IOV87" s="415"/>
      <c r="IOW87" s="413"/>
      <c r="IPG87" s="396"/>
      <c r="IPH87" s="452"/>
      <c r="IPI87" s="412"/>
      <c r="IPJ87" s="415"/>
      <c r="IPK87" s="413"/>
      <c r="IPU87" s="396"/>
      <c r="IPV87" s="452"/>
      <c r="IPW87" s="412"/>
      <c r="IPX87" s="415"/>
      <c r="IPY87" s="413"/>
      <c r="IQI87" s="396"/>
      <c r="IQJ87" s="452"/>
      <c r="IQK87" s="412"/>
      <c r="IQL87" s="415"/>
      <c r="IQM87" s="413"/>
      <c r="IQW87" s="396"/>
      <c r="IQX87" s="452"/>
      <c r="IQY87" s="412"/>
      <c r="IQZ87" s="415"/>
      <c r="IRA87" s="413"/>
      <c r="IRK87" s="396"/>
      <c r="IRL87" s="452"/>
      <c r="IRM87" s="412"/>
      <c r="IRN87" s="415"/>
      <c r="IRO87" s="413"/>
      <c r="IRY87" s="396"/>
      <c r="IRZ87" s="452"/>
      <c r="ISA87" s="412"/>
      <c r="ISB87" s="415"/>
      <c r="ISC87" s="413"/>
      <c r="ISM87" s="396"/>
      <c r="ISN87" s="452"/>
      <c r="ISO87" s="412"/>
      <c r="ISP87" s="415"/>
      <c r="ISQ87" s="413"/>
      <c r="ITA87" s="396"/>
      <c r="ITB87" s="452"/>
      <c r="ITC87" s="412"/>
      <c r="ITD87" s="415"/>
      <c r="ITE87" s="413"/>
      <c r="ITO87" s="396"/>
      <c r="ITP87" s="452"/>
      <c r="ITQ87" s="412"/>
      <c r="ITR87" s="415"/>
      <c r="ITS87" s="413"/>
      <c r="IUC87" s="396"/>
      <c r="IUD87" s="452"/>
      <c r="IUE87" s="412"/>
      <c r="IUF87" s="415"/>
      <c r="IUG87" s="413"/>
      <c r="IUQ87" s="396"/>
      <c r="IUR87" s="452"/>
      <c r="IUS87" s="412"/>
      <c r="IUT87" s="415"/>
      <c r="IUU87" s="413"/>
      <c r="IVE87" s="396"/>
      <c r="IVF87" s="452"/>
      <c r="IVG87" s="412"/>
      <c r="IVH87" s="415"/>
      <c r="IVI87" s="413"/>
      <c r="IVS87" s="396"/>
      <c r="IVT87" s="452"/>
      <c r="IVU87" s="412"/>
      <c r="IVV87" s="415"/>
      <c r="IVW87" s="413"/>
      <c r="IWG87" s="396"/>
      <c r="IWH87" s="452"/>
      <c r="IWI87" s="412"/>
      <c r="IWJ87" s="415"/>
      <c r="IWK87" s="413"/>
      <c r="IWU87" s="396"/>
      <c r="IWV87" s="452"/>
      <c r="IWW87" s="412"/>
      <c r="IWX87" s="415"/>
      <c r="IWY87" s="413"/>
      <c r="IXI87" s="396"/>
      <c r="IXJ87" s="452"/>
      <c r="IXK87" s="412"/>
      <c r="IXL87" s="415"/>
      <c r="IXM87" s="413"/>
      <c r="IXW87" s="396"/>
      <c r="IXX87" s="452"/>
      <c r="IXY87" s="412"/>
      <c r="IXZ87" s="415"/>
      <c r="IYA87" s="413"/>
      <c r="IYK87" s="396"/>
      <c r="IYL87" s="452"/>
      <c r="IYM87" s="412"/>
      <c r="IYN87" s="415"/>
      <c r="IYO87" s="413"/>
      <c r="IYY87" s="396"/>
      <c r="IYZ87" s="452"/>
      <c r="IZA87" s="412"/>
      <c r="IZB87" s="415"/>
      <c r="IZC87" s="413"/>
      <c r="IZM87" s="396"/>
      <c r="IZN87" s="452"/>
      <c r="IZO87" s="412"/>
      <c r="IZP87" s="415"/>
      <c r="IZQ87" s="413"/>
      <c r="JAA87" s="396"/>
      <c r="JAB87" s="452"/>
      <c r="JAC87" s="412"/>
      <c r="JAD87" s="415"/>
      <c r="JAE87" s="413"/>
      <c r="JAO87" s="396"/>
      <c r="JAP87" s="452"/>
      <c r="JAQ87" s="412"/>
      <c r="JAR87" s="415"/>
      <c r="JAS87" s="413"/>
      <c r="JBC87" s="396"/>
      <c r="JBD87" s="452"/>
      <c r="JBE87" s="412"/>
      <c r="JBF87" s="415"/>
      <c r="JBG87" s="413"/>
      <c r="JBQ87" s="396"/>
      <c r="JBR87" s="452"/>
      <c r="JBS87" s="412"/>
      <c r="JBT87" s="415"/>
      <c r="JBU87" s="413"/>
      <c r="JCE87" s="396"/>
      <c r="JCF87" s="452"/>
      <c r="JCG87" s="412"/>
      <c r="JCH87" s="415"/>
      <c r="JCI87" s="413"/>
      <c r="JCS87" s="396"/>
      <c r="JCT87" s="452"/>
      <c r="JCU87" s="412"/>
      <c r="JCV87" s="415"/>
      <c r="JCW87" s="413"/>
      <c r="JDG87" s="396"/>
      <c r="JDH87" s="452"/>
      <c r="JDI87" s="412"/>
      <c r="JDJ87" s="415"/>
      <c r="JDK87" s="413"/>
      <c r="JDU87" s="396"/>
      <c r="JDV87" s="452"/>
      <c r="JDW87" s="412"/>
      <c r="JDX87" s="415"/>
      <c r="JDY87" s="413"/>
      <c r="JEI87" s="396"/>
      <c r="JEJ87" s="452"/>
      <c r="JEK87" s="412"/>
      <c r="JEL87" s="415"/>
      <c r="JEM87" s="413"/>
      <c r="JEW87" s="396"/>
      <c r="JEX87" s="452"/>
      <c r="JEY87" s="412"/>
      <c r="JEZ87" s="415"/>
      <c r="JFA87" s="413"/>
      <c r="JFK87" s="396"/>
      <c r="JFL87" s="452"/>
      <c r="JFM87" s="412"/>
      <c r="JFN87" s="415"/>
      <c r="JFO87" s="413"/>
      <c r="JFY87" s="396"/>
      <c r="JFZ87" s="452"/>
      <c r="JGA87" s="412"/>
      <c r="JGB87" s="415"/>
      <c r="JGC87" s="413"/>
      <c r="JGM87" s="396"/>
      <c r="JGN87" s="452"/>
      <c r="JGO87" s="412"/>
      <c r="JGP87" s="415"/>
      <c r="JGQ87" s="413"/>
      <c r="JHA87" s="396"/>
      <c r="JHB87" s="452"/>
      <c r="JHC87" s="412"/>
      <c r="JHD87" s="415"/>
      <c r="JHE87" s="413"/>
      <c r="JHO87" s="396"/>
      <c r="JHP87" s="452"/>
      <c r="JHQ87" s="412"/>
      <c r="JHR87" s="415"/>
      <c r="JHS87" s="413"/>
      <c r="JIC87" s="396"/>
      <c r="JID87" s="452"/>
      <c r="JIE87" s="412"/>
      <c r="JIF87" s="415"/>
      <c r="JIG87" s="413"/>
      <c r="JIQ87" s="396"/>
      <c r="JIR87" s="452"/>
      <c r="JIS87" s="412"/>
      <c r="JIT87" s="415"/>
      <c r="JIU87" s="413"/>
      <c r="JJE87" s="396"/>
      <c r="JJF87" s="452"/>
      <c r="JJG87" s="412"/>
      <c r="JJH87" s="415"/>
      <c r="JJI87" s="413"/>
      <c r="JJS87" s="396"/>
      <c r="JJT87" s="452"/>
      <c r="JJU87" s="412"/>
      <c r="JJV87" s="415"/>
      <c r="JJW87" s="413"/>
      <c r="JKG87" s="396"/>
      <c r="JKH87" s="452"/>
      <c r="JKI87" s="412"/>
      <c r="JKJ87" s="415"/>
      <c r="JKK87" s="413"/>
      <c r="JKU87" s="396"/>
      <c r="JKV87" s="452"/>
      <c r="JKW87" s="412"/>
      <c r="JKX87" s="415"/>
      <c r="JKY87" s="413"/>
      <c r="JLI87" s="396"/>
      <c r="JLJ87" s="452"/>
      <c r="JLK87" s="412"/>
      <c r="JLL87" s="415"/>
      <c r="JLM87" s="413"/>
      <c r="JLW87" s="396"/>
      <c r="JLX87" s="452"/>
      <c r="JLY87" s="412"/>
      <c r="JLZ87" s="415"/>
      <c r="JMA87" s="413"/>
      <c r="JMK87" s="396"/>
      <c r="JML87" s="452"/>
      <c r="JMM87" s="412"/>
      <c r="JMN87" s="415"/>
      <c r="JMO87" s="413"/>
      <c r="JMY87" s="396"/>
      <c r="JMZ87" s="452"/>
      <c r="JNA87" s="412"/>
      <c r="JNB87" s="415"/>
      <c r="JNC87" s="413"/>
      <c r="JNM87" s="396"/>
      <c r="JNN87" s="452"/>
      <c r="JNO87" s="412"/>
      <c r="JNP87" s="415"/>
      <c r="JNQ87" s="413"/>
      <c r="JOA87" s="396"/>
      <c r="JOB87" s="452"/>
      <c r="JOC87" s="412"/>
      <c r="JOD87" s="415"/>
      <c r="JOE87" s="413"/>
      <c r="JOO87" s="396"/>
      <c r="JOP87" s="452"/>
      <c r="JOQ87" s="412"/>
      <c r="JOR87" s="415"/>
      <c r="JOS87" s="413"/>
      <c r="JPC87" s="396"/>
      <c r="JPD87" s="452"/>
      <c r="JPE87" s="412"/>
      <c r="JPF87" s="415"/>
      <c r="JPG87" s="413"/>
      <c r="JPQ87" s="396"/>
      <c r="JPR87" s="452"/>
      <c r="JPS87" s="412"/>
      <c r="JPT87" s="415"/>
      <c r="JPU87" s="413"/>
      <c r="JQE87" s="396"/>
      <c r="JQF87" s="452"/>
      <c r="JQG87" s="412"/>
      <c r="JQH87" s="415"/>
      <c r="JQI87" s="413"/>
      <c r="JQS87" s="396"/>
      <c r="JQT87" s="452"/>
      <c r="JQU87" s="412"/>
      <c r="JQV87" s="415"/>
      <c r="JQW87" s="413"/>
      <c r="JRG87" s="396"/>
      <c r="JRH87" s="452"/>
      <c r="JRI87" s="412"/>
      <c r="JRJ87" s="415"/>
      <c r="JRK87" s="413"/>
      <c r="JRU87" s="396"/>
      <c r="JRV87" s="452"/>
      <c r="JRW87" s="412"/>
      <c r="JRX87" s="415"/>
      <c r="JRY87" s="413"/>
      <c r="JSI87" s="396"/>
      <c r="JSJ87" s="452"/>
      <c r="JSK87" s="412"/>
      <c r="JSL87" s="415"/>
      <c r="JSM87" s="413"/>
      <c r="JSW87" s="396"/>
      <c r="JSX87" s="452"/>
      <c r="JSY87" s="412"/>
      <c r="JSZ87" s="415"/>
      <c r="JTA87" s="413"/>
      <c r="JTK87" s="396"/>
      <c r="JTL87" s="452"/>
      <c r="JTM87" s="412"/>
      <c r="JTN87" s="415"/>
      <c r="JTO87" s="413"/>
      <c r="JTY87" s="396"/>
      <c r="JTZ87" s="452"/>
      <c r="JUA87" s="412"/>
      <c r="JUB87" s="415"/>
      <c r="JUC87" s="413"/>
      <c r="JUM87" s="396"/>
      <c r="JUN87" s="452"/>
      <c r="JUO87" s="412"/>
      <c r="JUP87" s="415"/>
      <c r="JUQ87" s="413"/>
      <c r="JVA87" s="396"/>
      <c r="JVB87" s="452"/>
      <c r="JVC87" s="412"/>
      <c r="JVD87" s="415"/>
      <c r="JVE87" s="413"/>
      <c r="JVO87" s="396"/>
      <c r="JVP87" s="452"/>
      <c r="JVQ87" s="412"/>
      <c r="JVR87" s="415"/>
      <c r="JVS87" s="413"/>
      <c r="JWC87" s="396"/>
      <c r="JWD87" s="452"/>
      <c r="JWE87" s="412"/>
      <c r="JWF87" s="415"/>
      <c r="JWG87" s="413"/>
      <c r="JWQ87" s="396"/>
      <c r="JWR87" s="452"/>
      <c r="JWS87" s="412"/>
      <c r="JWT87" s="415"/>
      <c r="JWU87" s="413"/>
      <c r="JXE87" s="396"/>
      <c r="JXF87" s="452"/>
      <c r="JXG87" s="412"/>
      <c r="JXH87" s="415"/>
      <c r="JXI87" s="413"/>
      <c r="JXS87" s="396"/>
      <c r="JXT87" s="452"/>
      <c r="JXU87" s="412"/>
      <c r="JXV87" s="415"/>
      <c r="JXW87" s="413"/>
      <c r="JYG87" s="396"/>
      <c r="JYH87" s="452"/>
      <c r="JYI87" s="412"/>
      <c r="JYJ87" s="415"/>
      <c r="JYK87" s="413"/>
      <c r="JYU87" s="396"/>
      <c r="JYV87" s="452"/>
      <c r="JYW87" s="412"/>
      <c r="JYX87" s="415"/>
      <c r="JYY87" s="413"/>
      <c r="JZI87" s="396"/>
      <c r="JZJ87" s="452"/>
      <c r="JZK87" s="412"/>
      <c r="JZL87" s="415"/>
      <c r="JZM87" s="413"/>
      <c r="JZW87" s="396"/>
      <c r="JZX87" s="452"/>
      <c r="JZY87" s="412"/>
      <c r="JZZ87" s="415"/>
      <c r="KAA87" s="413"/>
      <c r="KAK87" s="396"/>
      <c r="KAL87" s="452"/>
      <c r="KAM87" s="412"/>
      <c r="KAN87" s="415"/>
      <c r="KAO87" s="413"/>
      <c r="KAY87" s="396"/>
      <c r="KAZ87" s="452"/>
      <c r="KBA87" s="412"/>
      <c r="KBB87" s="415"/>
      <c r="KBC87" s="413"/>
      <c r="KBM87" s="396"/>
      <c r="KBN87" s="452"/>
      <c r="KBO87" s="412"/>
      <c r="KBP87" s="415"/>
      <c r="KBQ87" s="413"/>
      <c r="KCA87" s="396"/>
      <c r="KCB87" s="452"/>
      <c r="KCC87" s="412"/>
      <c r="KCD87" s="415"/>
      <c r="KCE87" s="413"/>
      <c r="KCO87" s="396"/>
      <c r="KCP87" s="452"/>
      <c r="KCQ87" s="412"/>
      <c r="KCR87" s="415"/>
      <c r="KCS87" s="413"/>
      <c r="KDC87" s="396"/>
      <c r="KDD87" s="452"/>
      <c r="KDE87" s="412"/>
      <c r="KDF87" s="415"/>
      <c r="KDG87" s="413"/>
      <c r="KDQ87" s="396"/>
      <c r="KDR87" s="452"/>
      <c r="KDS87" s="412"/>
      <c r="KDT87" s="415"/>
      <c r="KDU87" s="413"/>
      <c r="KEE87" s="396"/>
      <c r="KEF87" s="452"/>
      <c r="KEG87" s="412"/>
      <c r="KEH87" s="415"/>
      <c r="KEI87" s="413"/>
      <c r="KES87" s="396"/>
      <c r="KET87" s="452"/>
      <c r="KEU87" s="412"/>
      <c r="KEV87" s="415"/>
      <c r="KEW87" s="413"/>
      <c r="KFG87" s="396"/>
      <c r="KFH87" s="452"/>
      <c r="KFI87" s="412"/>
      <c r="KFJ87" s="415"/>
      <c r="KFK87" s="413"/>
      <c r="KFU87" s="396"/>
      <c r="KFV87" s="452"/>
      <c r="KFW87" s="412"/>
      <c r="KFX87" s="415"/>
      <c r="KFY87" s="413"/>
      <c r="KGI87" s="396"/>
      <c r="KGJ87" s="452"/>
      <c r="KGK87" s="412"/>
      <c r="KGL87" s="415"/>
      <c r="KGM87" s="413"/>
      <c r="KGW87" s="396"/>
      <c r="KGX87" s="452"/>
      <c r="KGY87" s="412"/>
      <c r="KGZ87" s="415"/>
      <c r="KHA87" s="413"/>
      <c r="KHK87" s="396"/>
      <c r="KHL87" s="452"/>
      <c r="KHM87" s="412"/>
      <c r="KHN87" s="415"/>
      <c r="KHO87" s="413"/>
      <c r="KHY87" s="396"/>
      <c r="KHZ87" s="452"/>
      <c r="KIA87" s="412"/>
      <c r="KIB87" s="415"/>
      <c r="KIC87" s="413"/>
      <c r="KIM87" s="396"/>
      <c r="KIN87" s="452"/>
      <c r="KIO87" s="412"/>
      <c r="KIP87" s="415"/>
      <c r="KIQ87" s="413"/>
      <c r="KJA87" s="396"/>
      <c r="KJB87" s="452"/>
      <c r="KJC87" s="412"/>
      <c r="KJD87" s="415"/>
      <c r="KJE87" s="413"/>
      <c r="KJO87" s="396"/>
      <c r="KJP87" s="452"/>
      <c r="KJQ87" s="412"/>
      <c r="KJR87" s="415"/>
      <c r="KJS87" s="413"/>
      <c r="KKC87" s="396"/>
      <c r="KKD87" s="452"/>
      <c r="KKE87" s="412"/>
      <c r="KKF87" s="415"/>
      <c r="KKG87" s="413"/>
      <c r="KKQ87" s="396"/>
      <c r="KKR87" s="452"/>
      <c r="KKS87" s="412"/>
      <c r="KKT87" s="415"/>
      <c r="KKU87" s="413"/>
      <c r="KLE87" s="396"/>
      <c r="KLF87" s="452"/>
      <c r="KLG87" s="412"/>
      <c r="KLH87" s="415"/>
      <c r="KLI87" s="413"/>
      <c r="KLS87" s="396"/>
      <c r="KLT87" s="452"/>
      <c r="KLU87" s="412"/>
      <c r="KLV87" s="415"/>
      <c r="KLW87" s="413"/>
      <c r="KMG87" s="396"/>
      <c r="KMH87" s="452"/>
      <c r="KMI87" s="412"/>
      <c r="KMJ87" s="415"/>
      <c r="KMK87" s="413"/>
      <c r="KMU87" s="396"/>
      <c r="KMV87" s="452"/>
      <c r="KMW87" s="412"/>
      <c r="KMX87" s="415"/>
      <c r="KMY87" s="413"/>
      <c r="KNI87" s="396"/>
      <c r="KNJ87" s="452"/>
      <c r="KNK87" s="412"/>
      <c r="KNL87" s="415"/>
      <c r="KNM87" s="413"/>
      <c r="KNW87" s="396"/>
      <c r="KNX87" s="452"/>
      <c r="KNY87" s="412"/>
      <c r="KNZ87" s="415"/>
      <c r="KOA87" s="413"/>
      <c r="KOK87" s="396"/>
      <c r="KOL87" s="452"/>
      <c r="KOM87" s="412"/>
      <c r="KON87" s="415"/>
      <c r="KOO87" s="413"/>
      <c r="KOY87" s="396"/>
      <c r="KOZ87" s="452"/>
      <c r="KPA87" s="412"/>
      <c r="KPB87" s="415"/>
      <c r="KPC87" s="413"/>
      <c r="KPM87" s="396"/>
      <c r="KPN87" s="452"/>
      <c r="KPO87" s="412"/>
      <c r="KPP87" s="415"/>
      <c r="KPQ87" s="413"/>
      <c r="KQA87" s="396"/>
      <c r="KQB87" s="452"/>
      <c r="KQC87" s="412"/>
      <c r="KQD87" s="415"/>
      <c r="KQE87" s="413"/>
      <c r="KQO87" s="396"/>
      <c r="KQP87" s="452"/>
      <c r="KQQ87" s="412"/>
      <c r="KQR87" s="415"/>
      <c r="KQS87" s="413"/>
      <c r="KRC87" s="396"/>
      <c r="KRD87" s="452"/>
      <c r="KRE87" s="412"/>
      <c r="KRF87" s="415"/>
      <c r="KRG87" s="413"/>
      <c r="KRQ87" s="396"/>
      <c r="KRR87" s="452"/>
      <c r="KRS87" s="412"/>
      <c r="KRT87" s="415"/>
      <c r="KRU87" s="413"/>
      <c r="KSE87" s="396"/>
      <c r="KSF87" s="452"/>
      <c r="KSG87" s="412"/>
      <c r="KSH87" s="415"/>
      <c r="KSI87" s="413"/>
      <c r="KSS87" s="396"/>
      <c r="KST87" s="452"/>
      <c r="KSU87" s="412"/>
      <c r="KSV87" s="415"/>
      <c r="KSW87" s="413"/>
      <c r="KTG87" s="396"/>
      <c r="KTH87" s="452"/>
      <c r="KTI87" s="412"/>
      <c r="KTJ87" s="415"/>
      <c r="KTK87" s="413"/>
      <c r="KTU87" s="396"/>
      <c r="KTV87" s="452"/>
      <c r="KTW87" s="412"/>
      <c r="KTX87" s="415"/>
      <c r="KTY87" s="413"/>
      <c r="KUI87" s="396"/>
      <c r="KUJ87" s="452"/>
      <c r="KUK87" s="412"/>
      <c r="KUL87" s="415"/>
      <c r="KUM87" s="413"/>
      <c r="KUW87" s="396"/>
      <c r="KUX87" s="452"/>
      <c r="KUY87" s="412"/>
      <c r="KUZ87" s="415"/>
      <c r="KVA87" s="413"/>
      <c r="KVK87" s="396"/>
      <c r="KVL87" s="452"/>
      <c r="KVM87" s="412"/>
      <c r="KVN87" s="415"/>
      <c r="KVO87" s="413"/>
      <c r="KVY87" s="396"/>
      <c r="KVZ87" s="452"/>
      <c r="KWA87" s="412"/>
      <c r="KWB87" s="415"/>
      <c r="KWC87" s="413"/>
      <c r="KWM87" s="396"/>
      <c r="KWN87" s="452"/>
      <c r="KWO87" s="412"/>
      <c r="KWP87" s="415"/>
      <c r="KWQ87" s="413"/>
      <c r="KXA87" s="396"/>
      <c r="KXB87" s="452"/>
      <c r="KXC87" s="412"/>
      <c r="KXD87" s="415"/>
      <c r="KXE87" s="413"/>
      <c r="KXO87" s="396"/>
      <c r="KXP87" s="452"/>
      <c r="KXQ87" s="412"/>
      <c r="KXR87" s="415"/>
      <c r="KXS87" s="413"/>
      <c r="KYC87" s="396"/>
      <c r="KYD87" s="452"/>
      <c r="KYE87" s="412"/>
      <c r="KYF87" s="415"/>
      <c r="KYG87" s="413"/>
      <c r="KYQ87" s="396"/>
      <c r="KYR87" s="452"/>
      <c r="KYS87" s="412"/>
      <c r="KYT87" s="415"/>
      <c r="KYU87" s="413"/>
      <c r="KZE87" s="396"/>
      <c r="KZF87" s="452"/>
      <c r="KZG87" s="412"/>
      <c r="KZH87" s="415"/>
      <c r="KZI87" s="413"/>
      <c r="KZS87" s="396"/>
      <c r="KZT87" s="452"/>
      <c r="KZU87" s="412"/>
      <c r="KZV87" s="415"/>
      <c r="KZW87" s="413"/>
      <c r="LAG87" s="396"/>
      <c r="LAH87" s="452"/>
      <c r="LAI87" s="412"/>
      <c r="LAJ87" s="415"/>
      <c r="LAK87" s="413"/>
      <c r="LAU87" s="396"/>
      <c r="LAV87" s="452"/>
      <c r="LAW87" s="412"/>
      <c r="LAX87" s="415"/>
      <c r="LAY87" s="413"/>
      <c r="LBI87" s="396"/>
      <c r="LBJ87" s="452"/>
      <c r="LBK87" s="412"/>
      <c r="LBL87" s="415"/>
      <c r="LBM87" s="413"/>
      <c r="LBW87" s="396"/>
      <c r="LBX87" s="452"/>
      <c r="LBY87" s="412"/>
      <c r="LBZ87" s="415"/>
      <c r="LCA87" s="413"/>
      <c r="LCK87" s="396"/>
      <c r="LCL87" s="452"/>
      <c r="LCM87" s="412"/>
      <c r="LCN87" s="415"/>
      <c r="LCO87" s="413"/>
      <c r="LCY87" s="396"/>
      <c r="LCZ87" s="452"/>
      <c r="LDA87" s="412"/>
      <c r="LDB87" s="415"/>
      <c r="LDC87" s="413"/>
      <c r="LDM87" s="396"/>
      <c r="LDN87" s="452"/>
      <c r="LDO87" s="412"/>
      <c r="LDP87" s="415"/>
      <c r="LDQ87" s="413"/>
      <c r="LEA87" s="396"/>
      <c r="LEB87" s="452"/>
      <c r="LEC87" s="412"/>
      <c r="LED87" s="415"/>
      <c r="LEE87" s="413"/>
      <c r="LEO87" s="396"/>
      <c r="LEP87" s="452"/>
      <c r="LEQ87" s="412"/>
      <c r="LER87" s="415"/>
      <c r="LES87" s="413"/>
      <c r="LFC87" s="396"/>
      <c r="LFD87" s="452"/>
      <c r="LFE87" s="412"/>
      <c r="LFF87" s="415"/>
      <c r="LFG87" s="413"/>
      <c r="LFQ87" s="396"/>
      <c r="LFR87" s="452"/>
      <c r="LFS87" s="412"/>
      <c r="LFT87" s="415"/>
      <c r="LFU87" s="413"/>
      <c r="LGE87" s="396"/>
      <c r="LGF87" s="452"/>
      <c r="LGG87" s="412"/>
      <c r="LGH87" s="415"/>
      <c r="LGI87" s="413"/>
      <c r="LGS87" s="396"/>
      <c r="LGT87" s="452"/>
      <c r="LGU87" s="412"/>
      <c r="LGV87" s="415"/>
      <c r="LGW87" s="413"/>
      <c r="LHG87" s="396"/>
      <c r="LHH87" s="452"/>
      <c r="LHI87" s="412"/>
      <c r="LHJ87" s="415"/>
      <c r="LHK87" s="413"/>
      <c r="LHU87" s="396"/>
      <c r="LHV87" s="452"/>
      <c r="LHW87" s="412"/>
      <c r="LHX87" s="415"/>
      <c r="LHY87" s="413"/>
      <c r="LII87" s="396"/>
      <c r="LIJ87" s="452"/>
      <c r="LIK87" s="412"/>
      <c r="LIL87" s="415"/>
      <c r="LIM87" s="413"/>
      <c r="LIW87" s="396"/>
      <c r="LIX87" s="452"/>
      <c r="LIY87" s="412"/>
      <c r="LIZ87" s="415"/>
      <c r="LJA87" s="413"/>
      <c r="LJK87" s="396"/>
      <c r="LJL87" s="452"/>
      <c r="LJM87" s="412"/>
      <c r="LJN87" s="415"/>
      <c r="LJO87" s="413"/>
      <c r="LJY87" s="396"/>
      <c r="LJZ87" s="452"/>
      <c r="LKA87" s="412"/>
      <c r="LKB87" s="415"/>
      <c r="LKC87" s="413"/>
      <c r="LKM87" s="396"/>
      <c r="LKN87" s="452"/>
      <c r="LKO87" s="412"/>
      <c r="LKP87" s="415"/>
      <c r="LKQ87" s="413"/>
      <c r="LLA87" s="396"/>
      <c r="LLB87" s="452"/>
      <c r="LLC87" s="412"/>
      <c r="LLD87" s="415"/>
      <c r="LLE87" s="413"/>
      <c r="LLO87" s="396"/>
      <c r="LLP87" s="452"/>
      <c r="LLQ87" s="412"/>
      <c r="LLR87" s="415"/>
      <c r="LLS87" s="413"/>
      <c r="LMC87" s="396"/>
      <c r="LMD87" s="452"/>
      <c r="LME87" s="412"/>
      <c r="LMF87" s="415"/>
      <c r="LMG87" s="413"/>
      <c r="LMQ87" s="396"/>
      <c r="LMR87" s="452"/>
      <c r="LMS87" s="412"/>
      <c r="LMT87" s="415"/>
      <c r="LMU87" s="413"/>
      <c r="LNE87" s="396"/>
      <c r="LNF87" s="452"/>
      <c r="LNG87" s="412"/>
      <c r="LNH87" s="415"/>
      <c r="LNI87" s="413"/>
      <c r="LNS87" s="396"/>
      <c r="LNT87" s="452"/>
      <c r="LNU87" s="412"/>
      <c r="LNV87" s="415"/>
      <c r="LNW87" s="413"/>
      <c r="LOG87" s="396"/>
      <c r="LOH87" s="452"/>
      <c r="LOI87" s="412"/>
      <c r="LOJ87" s="415"/>
      <c r="LOK87" s="413"/>
      <c r="LOU87" s="396"/>
      <c r="LOV87" s="452"/>
      <c r="LOW87" s="412"/>
      <c r="LOX87" s="415"/>
      <c r="LOY87" s="413"/>
      <c r="LPI87" s="396"/>
      <c r="LPJ87" s="452"/>
      <c r="LPK87" s="412"/>
      <c r="LPL87" s="415"/>
      <c r="LPM87" s="413"/>
      <c r="LPW87" s="396"/>
      <c r="LPX87" s="452"/>
      <c r="LPY87" s="412"/>
      <c r="LPZ87" s="415"/>
      <c r="LQA87" s="413"/>
      <c r="LQK87" s="396"/>
      <c r="LQL87" s="452"/>
      <c r="LQM87" s="412"/>
      <c r="LQN87" s="415"/>
      <c r="LQO87" s="413"/>
      <c r="LQY87" s="396"/>
      <c r="LQZ87" s="452"/>
      <c r="LRA87" s="412"/>
      <c r="LRB87" s="415"/>
      <c r="LRC87" s="413"/>
      <c r="LRM87" s="396"/>
      <c r="LRN87" s="452"/>
      <c r="LRO87" s="412"/>
      <c r="LRP87" s="415"/>
      <c r="LRQ87" s="413"/>
      <c r="LSA87" s="396"/>
      <c r="LSB87" s="452"/>
      <c r="LSC87" s="412"/>
      <c r="LSD87" s="415"/>
      <c r="LSE87" s="413"/>
      <c r="LSO87" s="396"/>
      <c r="LSP87" s="452"/>
      <c r="LSQ87" s="412"/>
      <c r="LSR87" s="415"/>
      <c r="LSS87" s="413"/>
      <c r="LTC87" s="396"/>
      <c r="LTD87" s="452"/>
      <c r="LTE87" s="412"/>
      <c r="LTF87" s="415"/>
      <c r="LTG87" s="413"/>
      <c r="LTQ87" s="396"/>
      <c r="LTR87" s="452"/>
      <c r="LTS87" s="412"/>
      <c r="LTT87" s="415"/>
      <c r="LTU87" s="413"/>
      <c r="LUE87" s="396"/>
      <c r="LUF87" s="452"/>
      <c r="LUG87" s="412"/>
      <c r="LUH87" s="415"/>
      <c r="LUI87" s="413"/>
      <c r="LUS87" s="396"/>
      <c r="LUT87" s="452"/>
      <c r="LUU87" s="412"/>
      <c r="LUV87" s="415"/>
      <c r="LUW87" s="413"/>
      <c r="LVG87" s="396"/>
      <c r="LVH87" s="452"/>
      <c r="LVI87" s="412"/>
      <c r="LVJ87" s="415"/>
      <c r="LVK87" s="413"/>
      <c r="LVU87" s="396"/>
      <c r="LVV87" s="452"/>
      <c r="LVW87" s="412"/>
      <c r="LVX87" s="415"/>
      <c r="LVY87" s="413"/>
      <c r="LWI87" s="396"/>
      <c r="LWJ87" s="452"/>
      <c r="LWK87" s="412"/>
      <c r="LWL87" s="415"/>
      <c r="LWM87" s="413"/>
      <c r="LWW87" s="396"/>
      <c r="LWX87" s="452"/>
      <c r="LWY87" s="412"/>
      <c r="LWZ87" s="415"/>
      <c r="LXA87" s="413"/>
      <c r="LXK87" s="396"/>
      <c r="LXL87" s="452"/>
      <c r="LXM87" s="412"/>
      <c r="LXN87" s="415"/>
      <c r="LXO87" s="413"/>
      <c r="LXY87" s="396"/>
      <c r="LXZ87" s="452"/>
      <c r="LYA87" s="412"/>
      <c r="LYB87" s="415"/>
      <c r="LYC87" s="413"/>
      <c r="LYM87" s="396"/>
      <c r="LYN87" s="452"/>
      <c r="LYO87" s="412"/>
      <c r="LYP87" s="415"/>
      <c r="LYQ87" s="413"/>
      <c r="LZA87" s="396"/>
      <c r="LZB87" s="452"/>
      <c r="LZC87" s="412"/>
      <c r="LZD87" s="415"/>
      <c r="LZE87" s="413"/>
      <c r="LZO87" s="396"/>
      <c r="LZP87" s="452"/>
      <c r="LZQ87" s="412"/>
      <c r="LZR87" s="415"/>
      <c r="LZS87" s="413"/>
      <c r="MAC87" s="396"/>
      <c r="MAD87" s="452"/>
      <c r="MAE87" s="412"/>
      <c r="MAF87" s="415"/>
      <c r="MAG87" s="413"/>
      <c r="MAQ87" s="396"/>
      <c r="MAR87" s="452"/>
      <c r="MAS87" s="412"/>
      <c r="MAT87" s="415"/>
      <c r="MAU87" s="413"/>
      <c r="MBE87" s="396"/>
      <c r="MBF87" s="452"/>
      <c r="MBG87" s="412"/>
      <c r="MBH87" s="415"/>
      <c r="MBI87" s="413"/>
      <c r="MBS87" s="396"/>
      <c r="MBT87" s="452"/>
      <c r="MBU87" s="412"/>
      <c r="MBV87" s="415"/>
      <c r="MBW87" s="413"/>
      <c r="MCG87" s="396"/>
      <c r="MCH87" s="452"/>
      <c r="MCI87" s="412"/>
      <c r="MCJ87" s="415"/>
      <c r="MCK87" s="413"/>
      <c r="MCU87" s="396"/>
      <c r="MCV87" s="452"/>
      <c r="MCW87" s="412"/>
      <c r="MCX87" s="415"/>
      <c r="MCY87" s="413"/>
      <c r="MDI87" s="396"/>
      <c r="MDJ87" s="452"/>
      <c r="MDK87" s="412"/>
      <c r="MDL87" s="415"/>
      <c r="MDM87" s="413"/>
      <c r="MDW87" s="396"/>
      <c r="MDX87" s="452"/>
      <c r="MDY87" s="412"/>
      <c r="MDZ87" s="415"/>
      <c r="MEA87" s="413"/>
      <c r="MEK87" s="396"/>
      <c r="MEL87" s="452"/>
      <c r="MEM87" s="412"/>
      <c r="MEN87" s="415"/>
      <c r="MEO87" s="413"/>
      <c r="MEY87" s="396"/>
      <c r="MEZ87" s="452"/>
      <c r="MFA87" s="412"/>
      <c r="MFB87" s="415"/>
      <c r="MFC87" s="413"/>
      <c r="MFM87" s="396"/>
      <c r="MFN87" s="452"/>
      <c r="MFO87" s="412"/>
      <c r="MFP87" s="415"/>
      <c r="MFQ87" s="413"/>
      <c r="MGA87" s="396"/>
      <c r="MGB87" s="452"/>
      <c r="MGC87" s="412"/>
      <c r="MGD87" s="415"/>
      <c r="MGE87" s="413"/>
      <c r="MGO87" s="396"/>
      <c r="MGP87" s="452"/>
      <c r="MGQ87" s="412"/>
      <c r="MGR87" s="415"/>
      <c r="MGS87" s="413"/>
      <c r="MHC87" s="396"/>
      <c r="MHD87" s="452"/>
      <c r="MHE87" s="412"/>
      <c r="MHF87" s="415"/>
      <c r="MHG87" s="413"/>
      <c r="MHQ87" s="396"/>
      <c r="MHR87" s="452"/>
      <c r="MHS87" s="412"/>
      <c r="MHT87" s="415"/>
      <c r="MHU87" s="413"/>
      <c r="MIE87" s="396"/>
      <c r="MIF87" s="452"/>
      <c r="MIG87" s="412"/>
      <c r="MIH87" s="415"/>
      <c r="MII87" s="413"/>
      <c r="MIS87" s="396"/>
      <c r="MIT87" s="452"/>
      <c r="MIU87" s="412"/>
      <c r="MIV87" s="415"/>
      <c r="MIW87" s="413"/>
      <c r="MJG87" s="396"/>
      <c r="MJH87" s="452"/>
      <c r="MJI87" s="412"/>
      <c r="MJJ87" s="415"/>
      <c r="MJK87" s="413"/>
      <c r="MJU87" s="396"/>
      <c r="MJV87" s="452"/>
      <c r="MJW87" s="412"/>
      <c r="MJX87" s="415"/>
      <c r="MJY87" s="413"/>
      <c r="MKI87" s="396"/>
      <c r="MKJ87" s="452"/>
      <c r="MKK87" s="412"/>
      <c r="MKL87" s="415"/>
      <c r="MKM87" s="413"/>
      <c r="MKW87" s="396"/>
      <c r="MKX87" s="452"/>
      <c r="MKY87" s="412"/>
      <c r="MKZ87" s="415"/>
      <c r="MLA87" s="413"/>
      <c r="MLK87" s="396"/>
      <c r="MLL87" s="452"/>
      <c r="MLM87" s="412"/>
      <c r="MLN87" s="415"/>
      <c r="MLO87" s="413"/>
      <c r="MLY87" s="396"/>
      <c r="MLZ87" s="452"/>
      <c r="MMA87" s="412"/>
      <c r="MMB87" s="415"/>
      <c r="MMC87" s="413"/>
      <c r="MMM87" s="396"/>
      <c r="MMN87" s="452"/>
      <c r="MMO87" s="412"/>
      <c r="MMP87" s="415"/>
      <c r="MMQ87" s="413"/>
      <c r="MNA87" s="396"/>
      <c r="MNB87" s="452"/>
      <c r="MNC87" s="412"/>
      <c r="MND87" s="415"/>
      <c r="MNE87" s="413"/>
      <c r="MNO87" s="396"/>
      <c r="MNP87" s="452"/>
      <c r="MNQ87" s="412"/>
      <c r="MNR87" s="415"/>
      <c r="MNS87" s="413"/>
      <c r="MOC87" s="396"/>
      <c r="MOD87" s="452"/>
      <c r="MOE87" s="412"/>
      <c r="MOF87" s="415"/>
      <c r="MOG87" s="413"/>
      <c r="MOQ87" s="396"/>
      <c r="MOR87" s="452"/>
      <c r="MOS87" s="412"/>
      <c r="MOT87" s="415"/>
      <c r="MOU87" s="413"/>
      <c r="MPE87" s="396"/>
      <c r="MPF87" s="452"/>
      <c r="MPG87" s="412"/>
      <c r="MPH87" s="415"/>
      <c r="MPI87" s="413"/>
      <c r="MPS87" s="396"/>
      <c r="MPT87" s="452"/>
      <c r="MPU87" s="412"/>
      <c r="MPV87" s="415"/>
      <c r="MPW87" s="413"/>
      <c r="MQG87" s="396"/>
      <c r="MQH87" s="452"/>
      <c r="MQI87" s="412"/>
      <c r="MQJ87" s="415"/>
      <c r="MQK87" s="413"/>
      <c r="MQU87" s="396"/>
      <c r="MQV87" s="452"/>
      <c r="MQW87" s="412"/>
      <c r="MQX87" s="415"/>
      <c r="MQY87" s="413"/>
      <c r="MRI87" s="396"/>
      <c r="MRJ87" s="452"/>
      <c r="MRK87" s="412"/>
      <c r="MRL87" s="415"/>
      <c r="MRM87" s="413"/>
      <c r="MRW87" s="396"/>
      <c r="MRX87" s="452"/>
      <c r="MRY87" s="412"/>
      <c r="MRZ87" s="415"/>
      <c r="MSA87" s="413"/>
      <c r="MSK87" s="396"/>
      <c r="MSL87" s="452"/>
      <c r="MSM87" s="412"/>
      <c r="MSN87" s="415"/>
      <c r="MSO87" s="413"/>
      <c r="MSY87" s="396"/>
      <c r="MSZ87" s="452"/>
      <c r="MTA87" s="412"/>
      <c r="MTB87" s="415"/>
      <c r="MTC87" s="413"/>
      <c r="MTM87" s="396"/>
      <c r="MTN87" s="452"/>
      <c r="MTO87" s="412"/>
      <c r="MTP87" s="415"/>
      <c r="MTQ87" s="413"/>
      <c r="MUA87" s="396"/>
      <c r="MUB87" s="452"/>
      <c r="MUC87" s="412"/>
      <c r="MUD87" s="415"/>
      <c r="MUE87" s="413"/>
      <c r="MUO87" s="396"/>
      <c r="MUP87" s="452"/>
      <c r="MUQ87" s="412"/>
      <c r="MUR87" s="415"/>
      <c r="MUS87" s="413"/>
      <c r="MVC87" s="396"/>
      <c r="MVD87" s="452"/>
      <c r="MVE87" s="412"/>
      <c r="MVF87" s="415"/>
      <c r="MVG87" s="413"/>
      <c r="MVQ87" s="396"/>
      <c r="MVR87" s="452"/>
      <c r="MVS87" s="412"/>
      <c r="MVT87" s="415"/>
      <c r="MVU87" s="413"/>
      <c r="MWE87" s="396"/>
      <c r="MWF87" s="452"/>
      <c r="MWG87" s="412"/>
      <c r="MWH87" s="415"/>
      <c r="MWI87" s="413"/>
      <c r="MWS87" s="396"/>
      <c r="MWT87" s="452"/>
      <c r="MWU87" s="412"/>
      <c r="MWV87" s="415"/>
      <c r="MWW87" s="413"/>
      <c r="MXG87" s="396"/>
      <c r="MXH87" s="452"/>
      <c r="MXI87" s="412"/>
      <c r="MXJ87" s="415"/>
      <c r="MXK87" s="413"/>
      <c r="MXU87" s="396"/>
      <c r="MXV87" s="452"/>
      <c r="MXW87" s="412"/>
      <c r="MXX87" s="415"/>
      <c r="MXY87" s="413"/>
      <c r="MYI87" s="396"/>
      <c r="MYJ87" s="452"/>
      <c r="MYK87" s="412"/>
      <c r="MYL87" s="415"/>
      <c r="MYM87" s="413"/>
      <c r="MYW87" s="396"/>
      <c r="MYX87" s="452"/>
      <c r="MYY87" s="412"/>
      <c r="MYZ87" s="415"/>
      <c r="MZA87" s="413"/>
      <c r="MZK87" s="396"/>
      <c r="MZL87" s="452"/>
      <c r="MZM87" s="412"/>
      <c r="MZN87" s="415"/>
      <c r="MZO87" s="413"/>
      <c r="MZY87" s="396"/>
      <c r="MZZ87" s="452"/>
      <c r="NAA87" s="412"/>
      <c r="NAB87" s="415"/>
      <c r="NAC87" s="413"/>
      <c r="NAM87" s="396"/>
      <c r="NAN87" s="452"/>
      <c r="NAO87" s="412"/>
      <c r="NAP87" s="415"/>
      <c r="NAQ87" s="413"/>
      <c r="NBA87" s="396"/>
      <c r="NBB87" s="452"/>
      <c r="NBC87" s="412"/>
      <c r="NBD87" s="415"/>
      <c r="NBE87" s="413"/>
      <c r="NBO87" s="396"/>
      <c r="NBP87" s="452"/>
      <c r="NBQ87" s="412"/>
      <c r="NBR87" s="415"/>
      <c r="NBS87" s="413"/>
      <c r="NCC87" s="396"/>
      <c r="NCD87" s="452"/>
      <c r="NCE87" s="412"/>
      <c r="NCF87" s="415"/>
      <c r="NCG87" s="413"/>
      <c r="NCQ87" s="396"/>
      <c r="NCR87" s="452"/>
      <c r="NCS87" s="412"/>
      <c r="NCT87" s="415"/>
      <c r="NCU87" s="413"/>
      <c r="NDE87" s="396"/>
      <c r="NDF87" s="452"/>
      <c r="NDG87" s="412"/>
      <c r="NDH87" s="415"/>
      <c r="NDI87" s="413"/>
      <c r="NDS87" s="396"/>
      <c r="NDT87" s="452"/>
      <c r="NDU87" s="412"/>
      <c r="NDV87" s="415"/>
      <c r="NDW87" s="413"/>
      <c r="NEG87" s="396"/>
      <c r="NEH87" s="452"/>
      <c r="NEI87" s="412"/>
      <c r="NEJ87" s="415"/>
      <c r="NEK87" s="413"/>
      <c r="NEU87" s="396"/>
      <c r="NEV87" s="452"/>
      <c r="NEW87" s="412"/>
      <c r="NEX87" s="415"/>
      <c r="NEY87" s="413"/>
      <c r="NFI87" s="396"/>
      <c r="NFJ87" s="452"/>
      <c r="NFK87" s="412"/>
      <c r="NFL87" s="415"/>
      <c r="NFM87" s="413"/>
      <c r="NFW87" s="396"/>
      <c r="NFX87" s="452"/>
      <c r="NFY87" s="412"/>
      <c r="NFZ87" s="415"/>
      <c r="NGA87" s="413"/>
      <c r="NGK87" s="396"/>
      <c r="NGL87" s="452"/>
      <c r="NGM87" s="412"/>
      <c r="NGN87" s="415"/>
      <c r="NGO87" s="413"/>
      <c r="NGY87" s="396"/>
      <c r="NGZ87" s="452"/>
      <c r="NHA87" s="412"/>
      <c r="NHB87" s="415"/>
      <c r="NHC87" s="413"/>
      <c r="NHM87" s="396"/>
      <c r="NHN87" s="452"/>
      <c r="NHO87" s="412"/>
      <c r="NHP87" s="415"/>
      <c r="NHQ87" s="413"/>
      <c r="NIA87" s="396"/>
      <c r="NIB87" s="452"/>
      <c r="NIC87" s="412"/>
      <c r="NID87" s="415"/>
      <c r="NIE87" s="413"/>
      <c r="NIO87" s="396"/>
      <c r="NIP87" s="452"/>
      <c r="NIQ87" s="412"/>
      <c r="NIR87" s="415"/>
      <c r="NIS87" s="413"/>
      <c r="NJC87" s="396"/>
      <c r="NJD87" s="452"/>
      <c r="NJE87" s="412"/>
      <c r="NJF87" s="415"/>
      <c r="NJG87" s="413"/>
      <c r="NJQ87" s="396"/>
      <c r="NJR87" s="452"/>
      <c r="NJS87" s="412"/>
      <c r="NJT87" s="415"/>
      <c r="NJU87" s="413"/>
      <c r="NKE87" s="396"/>
      <c r="NKF87" s="452"/>
      <c r="NKG87" s="412"/>
      <c r="NKH87" s="415"/>
      <c r="NKI87" s="413"/>
      <c r="NKS87" s="396"/>
      <c r="NKT87" s="452"/>
      <c r="NKU87" s="412"/>
      <c r="NKV87" s="415"/>
      <c r="NKW87" s="413"/>
      <c r="NLG87" s="396"/>
      <c r="NLH87" s="452"/>
      <c r="NLI87" s="412"/>
      <c r="NLJ87" s="415"/>
      <c r="NLK87" s="413"/>
      <c r="NLU87" s="396"/>
      <c r="NLV87" s="452"/>
      <c r="NLW87" s="412"/>
      <c r="NLX87" s="415"/>
      <c r="NLY87" s="413"/>
      <c r="NMI87" s="396"/>
      <c r="NMJ87" s="452"/>
      <c r="NMK87" s="412"/>
      <c r="NML87" s="415"/>
      <c r="NMM87" s="413"/>
      <c r="NMW87" s="396"/>
      <c r="NMX87" s="452"/>
      <c r="NMY87" s="412"/>
      <c r="NMZ87" s="415"/>
      <c r="NNA87" s="413"/>
      <c r="NNK87" s="396"/>
      <c r="NNL87" s="452"/>
      <c r="NNM87" s="412"/>
      <c r="NNN87" s="415"/>
      <c r="NNO87" s="413"/>
      <c r="NNY87" s="396"/>
      <c r="NNZ87" s="452"/>
      <c r="NOA87" s="412"/>
      <c r="NOB87" s="415"/>
      <c r="NOC87" s="413"/>
      <c r="NOM87" s="396"/>
      <c r="NON87" s="452"/>
      <c r="NOO87" s="412"/>
      <c r="NOP87" s="415"/>
      <c r="NOQ87" s="413"/>
      <c r="NPA87" s="396"/>
      <c r="NPB87" s="452"/>
      <c r="NPC87" s="412"/>
      <c r="NPD87" s="415"/>
      <c r="NPE87" s="413"/>
      <c r="NPO87" s="396"/>
      <c r="NPP87" s="452"/>
      <c r="NPQ87" s="412"/>
      <c r="NPR87" s="415"/>
      <c r="NPS87" s="413"/>
      <c r="NQC87" s="396"/>
      <c r="NQD87" s="452"/>
      <c r="NQE87" s="412"/>
      <c r="NQF87" s="415"/>
      <c r="NQG87" s="413"/>
      <c r="NQQ87" s="396"/>
      <c r="NQR87" s="452"/>
      <c r="NQS87" s="412"/>
      <c r="NQT87" s="415"/>
      <c r="NQU87" s="413"/>
      <c r="NRE87" s="396"/>
      <c r="NRF87" s="452"/>
      <c r="NRG87" s="412"/>
      <c r="NRH87" s="415"/>
      <c r="NRI87" s="413"/>
      <c r="NRS87" s="396"/>
      <c r="NRT87" s="452"/>
      <c r="NRU87" s="412"/>
      <c r="NRV87" s="415"/>
      <c r="NRW87" s="413"/>
      <c r="NSG87" s="396"/>
      <c r="NSH87" s="452"/>
      <c r="NSI87" s="412"/>
      <c r="NSJ87" s="415"/>
      <c r="NSK87" s="413"/>
      <c r="NSU87" s="396"/>
      <c r="NSV87" s="452"/>
      <c r="NSW87" s="412"/>
      <c r="NSX87" s="415"/>
      <c r="NSY87" s="413"/>
      <c r="NTI87" s="396"/>
      <c r="NTJ87" s="452"/>
      <c r="NTK87" s="412"/>
      <c r="NTL87" s="415"/>
      <c r="NTM87" s="413"/>
      <c r="NTW87" s="396"/>
      <c r="NTX87" s="452"/>
      <c r="NTY87" s="412"/>
      <c r="NTZ87" s="415"/>
      <c r="NUA87" s="413"/>
      <c r="NUK87" s="396"/>
      <c r="NUL87" s="452"/>
      <c r="NUM87" s="412"/>
      <c r="NUN87" s="415"/>
      <c r="NUO87" s="413"/>
      <c r="NUY87" s="396"/>
      <c r="NUZ87" s="452"/>
      <c r="NVA87" s="412"/>
      <c r="NVB87" s="415"/>
      <c r="NVC87" s="413"/>
      <c r="NVM87" s="396"/>
      <c r="NVN87" s="452"/>
      <c r="NVO87" s="412"/>
      <c r="NVP87" s="415"/>
      <c r="NVQ87" s="413"/>
      <c r="NWA87" s="396"/>
      <c r="NWB87" s="452"/>
      <c r="NWC87" s="412"/>
      <c r="NWD87" s="415"/>
      <c r="NWE87" s="413"/>
      <c r="NWO87" s="396"/>
      <c r="NWP87" s="452"/>
      <c r="NWQ87" s="412"/>
      <c r="NWR87" s="415"/>
      <c r="NWS87" s="413"/>
      <c r="NXC87" s="396"/>
      <c r="NXD87" s="452"/>
      <c r="NXE87" s="412"/>
      <c r="NXF87" s="415"/>
      <c r="NXG87" s="413"/>
      <c r="NXQ87" s="396"/>
      <c r="NXR87" s="452"/>
      <c r="NXS87" s="412"/>
      <c r="NXT87" s="415"/>
      <c r="NXU87" s="413"/>
      <c r="NYE87" s="396"/>
      <c r="NYF87" s="452"/>
      <c r="NYG87" s="412"/>
      <c r="NYH87" s="415"/>
      <c r="NYI87" s="413"/>
      <c r="NYS87" s="396"/>
      <c r="NYT87" s="452"/>
      <c r="NYU87" s="412"/>
      <c r="NYV87" s="415"/>
      <c r="NYW87" s="413"/>
      <c r="NZG87" s="396"/>
      <c r="NZH87" s="452"/>
      <c r="NZI87" s="412"/>
      <c r="NZJ87" s="415"/>
      <c r="NZK87" s="413"/>
      <c r="NZU87" s="396"/>
      <c r="NZV87" s="452"/>
      <c r="NZW87" s="412"/>
      <c r="NZX87" s="415"/>
      <c r="NZY87" s="413"/>
      <c r="OAI87" s="396"/>
      <c r="OAJ87" s="452"/>
      <c r="OAK87" s="412"/>
      <c r="OAL87" s="415"/>
      <c r="OAM87" s="413"/>
      <c r="OAW87" s="396"/>
      <c r="OAX87" s="452"/>
      <c r="OAY87" s="412"/>
      <c r="OAZ87" s="415"/>
      <c r="OBA87" s="413"/>
      <c r="OBK87" s="396"/>
      <c r="OBL87" s="452"/>
      <c r="OBM87" s="412"/>
      <c r="OBN87" s="415"/>
      <c r="OBO87" s="413"/>
      <c r="OBY87" s="396"/>
      <c r="OBZ87" s="452"/>
      <c r="OCA87" s="412"/>
      <c r="OCB87" s="415"/>
      <c r="OCC87" s="413"/>
      <c r="OCM87" s="396"/>
      <c r="OCN87" s="452"/>
      <c r="OCO87" s="412"/>
      <c r="OCP87" s="415"/>
      <c r="OCQ87" s="413"/>
      <c r="ODA87" s="396"/>
      <c r="ODB87" s="452"/>
      <c r="ODC87" s="412"/>
      <c r="ODD87" s="415"/>
      <c r="ODE87" s="413"/>
      <c r="ODO87" s="396"/>
      <c r="ODP87" s="452"/>
      <c r="ODQ87" s="412"/>
      <c r="ODR87" s="415"/>
      <c r="ODS87" s="413"/>
      <c r="OEC87" s="396"/>
      <c r="OED87" s="452"/>
      <c r="OEE87" s="412"/>
      <c r="OEF87" s="415"/>
      <c r="OEG87" s="413"/>
      <c r="OEQ87" s="396"/>
      <c r="OER87" s="452"/>
      <c r="OES87" s="412"/>
      <c r="OET87" s="415"/>
      <c r="OEU87" s="413"/>
      <c r="OFE87" s="396"/>
      <c r="OFF87" s="452"/>
      <c r="OFG87" s="412"/>
      <c r="OFH87" s="415"/>
      <c r="OFI87" s="413"/>
      <c r="OFS87" s="396"/>
      <c r="OFT87" s="452"/>
      <c r="OFU87" s="412"/>
      <c r="OFV87" s="415"/>
      <c r="OFW87" s="413"/>
      <c r="OGG87" s="396"/>
      <c r="OGH87" s="452"/>
      <c r="OGI87" s="412"/>
      <c r="OGJ87" s="415"/>
      <c r="OGK87" s="413"/>
      <c r="OGU87" s="396"/>
      <c r="OGV87" s="452"/>
      <c r="OGW87" s="412"/>
      <c r="OGX87" s="415"/>
      <c r="OGY87" s="413"/>
      <c r="OHI87" s="396"/>
      <c r="OHJ87" s="452"/>
      <c r="OHK87" s="412"/>
      <c r="OHL87" s="415"/>
      <c r="OHM87" s="413"/>
      <c r="OHW87" s="396"/>
      <c r="OHX87" s="452"/>
      <c r="OHY87" s="412"/>
      <c r="OHZ87" s="415"/>
      <c r="OIA87" s="413"/>
      <c r="OIK87" s="396"/>
      <c r="OIL87" s="452"/>
      <c r="OIM87" s="412"/>
      <c r="OIN87" s="415"/>
      <c r="OIO87" s="413"/>
      <c r="OIY87" s="396"/>
      <c r="OIZ87" s="452"/>
      <c r="OJA87" s="412"/>
      <c r="OJB87" s="415"/>
      <c r="OJC87" s="413"/>
      <c r="OJM87" s="396"/>
      <c r="OJN87" s="452"/>
      <c r="OJO87" s="412"/>
      <c r="OJP87" s="415"/>
      <c r="OJQ87" s="413"/>
      <c r="OKA87" s="396"/>
      <c r="OKB87" s="452"/>
      <c r="OKC87" s="412"/>
      <c r="OKD87" s="415"/>
      <c r="OKE87" s="413"/>
      <c r="OKO87" s="396"/>
      <c r="OKP87" s="452"/>
      <c r="OKQ87" s="412"/>
      <c r="OKR87" s="415"/>
      <c r="OKS87" s="413"/>
      <c r="OLC87" s="396"/>
      <c r="OLD87" s="452"/>
      <c r="OLE87" s="412"/>
      <c r="OLF87" s="415"/>
      <c r="OLG87" s="413"/>
      <c r="OLQ87" s="396"/>
      <c r="OLR87" s="452"/>
      <c r="OLS87" s="412"/>
      <c r="OLT87" s="415"/>
      <c r="OLU87" s="413"/>
      <c r="OME87" s="396"/>
      <c r="OMF87" s="452"/>
      <c r="OMG87" s="412"/>
      <c r="OMH87" s="415"/>
      <c r="OMI87" s="413"/>
      <c r="OMS87" s="396"/>
      <c r="OMT87" s="452"/>
      <c r="OMU87" s="412"/>
      <c r="OMV87" s="415"/>
      <c r="OMW87" s="413"/>
      <c r="ONG87" s="396"/>
      <c r="ONH87" s="452"/>
      <c r="ONI87" s="412"/>
      <c r="ONJ87" s="415"/>
      <c r="ONK87" s="413"/>
      <c r="ONU87" s="396"/>
      <c r="ONV87" s="452"/>
      <c r="ONW87" s="412"/>
      <c r="ONX87" s="415"/>
      <c r="ONY87" s="413"/>
      <c r="OOI87" s="396"/>
      <c r="OOJ87" s="452"/>
      <c r="OOK87" s="412"/>
      <c r="OOL87" s="415"/>
      <c r="OOM87" s="413"/>
      <c r="OOW87" s="396"/>
      <c r="OOX87" s="452"/>
      <c r="OOY87" s="412"/>
      <c r="OOZ87" s="415"/>
      <c r="OPA87" s="413"/>
      <c r="OPK87" s="396"/>
      <c r="OPL87" s="452"/>
      <c r="OPM87" s="412"/>
      <c r="OPN87" s="415"/>
      <c r="OPO87" s="413"/>
      <c r="OPY87" s="396"/>
      <c r="OPZ87" s="452"/>
      <c r="OQA87" s="412"/>
      <c r="OQB87" s="415"/>
      <c r="OQC87" s="413"/>
      <c r="OQM87" s="396"/>
      <c r="OQN87" s="452"/>
      <c r="OQO87" s="412"/>
      <c r="OQP87" s="415"/>
      <c r="OQQ87" s="413"/>
      <c r="ORA87" s="396"/>
      <c r="ORB87" s="452"/>
      <c r="ORC87" s="412"/>
      <c r="ORD87" s="415"/>
      <c r="ORE87" s="413"/>
      <c r="ORO87" s="396"/>
      <c r="ORP87" s="452"/>
      <c r="ORQ87" s="412"/>
      <c r="ORR87" s="415"/>
      <c r="ORS87" s="413"/>
      <c r="OSC87" s="396"/>
      <c r="OSD87" s="452"/>
      <c r="OSE87" s="412"/>
      <c r="OSF87" s="415"/>
      <c r="OSG87" s="413"/>
      <c r="OSQ87" s="396"/>
      <c r="OSR87" s="452"/>
      <c r="OSS87" s="412"/>
      <c r="OST87" s="415"/>
      <c r="OSU87" s="413"/>
      <c r="OTE87" s="396"/>
      <c r="OTF87" s="452"/>
      <c r="OTG87" s="412"/>
      <c r="OTH87" s="415"/>
      <c r="OTI87" s="413"/>
      <c r="OTS87" s="396"/>
      <c r="OTT87" s="452"/>
      <c r="OTU87" s="412"/>
      <c r="OTV87" s="415"/>
      <c r="OTW87" s="413"/>
      <c r="OUG87" s="396"/>
      <c r="OUH87" s="452"/>
      <c r="OUI87" s="412"/>
      <c r="OUJ87" s="415"/>
      <c r="OUK87" s="413"/>
      <c r="OUU87" s="396"/>
      <c r="OUV87" s="452"/>
      <c r="OUW87" s="412"/>
      <c r="OUX87" s="415"/>
      <c r="OUY87" s="413"/>
      <c r="OVI87" s="396"/>
      <c r="OVJ87" s="452"/>
      <c r="OVK87" s="412"/>
      <c r="OVL87" s="415"/>
      <c r="OVM87" s="413"/>
      <c r="OVW87" s="396"/>
      <c r="OVX87" s="452"/>
      <c r="OVY87" s="412"/>
      <c r="OVZ87" s="415"/>
      <c r="OWA87" s="413"/>
      <c r="OWK87" s="396"/>
      <c r="OWL87" s="452"/>
      <c r="OWM87" s="412"/>
      <c r="OWN87" s="415"/>
      <c r="OWO87" s="413"/>
      <c r="OWY87" s="396"/>
      <c r="OWZ87" s="452"/>
      <c r="OXA87" s="412"/>
      <c r="OXB87" s="415"/>
      <c r="OXC87" s="413"/>
      <c r="OXM87" s="396"/>
      <c r="OXN87" s="452"/>
      <c r="OXO87" s="412"/>
      <c r="OXP87" s="415"/>
      <c r="OXQ87" s="413"/>
      <c r="OYA87" s="396"/>
      <c r="OYB87" s="452"/>
      <c r="OYC87" s="412"/>
      <c r="OYD87" s="415"/>
      <c r="OYE87" s="413"/>
      <c r="OYO87" s="396"/>
      <c r="OYP87" s="452"/>
      <c r="OYQ87" s="412"/>
      <c r="OYR87" s="415"/>
      <c r="OYS87" s="413"/>
      <c r="OZC87" s="396"/>
      <c r="OZD87" s="452"/>
      <c r="OZE87" s="412"/>
      <c r="OZF87" s="415"/>
      <c r="OZG87" s="413"/>
      <c r="OZQ87" s="396"/>
      <c r="OZR87" s="452"/>
      <c r="OZS87" s="412"/>
      <c r="OZT87" s="415"/>
      <c r="OZU87" s="413"/>
      <c r="PAE87" s="396"/>
      <c r="PAF87" s="452"/>
      <c r="PAG87" s="412"/>
      <c r="PAH87" s="415"/>
      <c r="PAI87" s="413"/>
      <c r="PAS87" s="396"/>
      <c r="PAT87" s="452"/>
      <c r="PAU87" s="412"/>
      <c r="PAV87" s="415"/>
      <c r="PAW87" s="413"/>
      <c r="PBG87" s="396"/>
      <c r="PBH87" s="452"/>
      <c r="PBI87" s="412"/>
      <c r="PBJ87" s="415"/>
      <c r="PBK87" s="413"/>
      <c r="PBU87" s="396"/>
      <c r="PBV87" s="452"/>
      <c r="PBW87" s="412"/>
      <c r="PBX87" s="415"/>
      <c r="PBY87" s="413"/>
      <c r="PCI87" s="396"/>
      <c r="PCJ87" s="452"/>
      <c r="PCK87" s="412"/>
      <c r="PCL87" s="415"/>
      <c r="PCM87" s="413"/>
      <c r="PCW87" s="396"/>
      <c r="PCX87" s="452"/>
      <c r="PCY87" s="412"/>
      <c r="PCZ87" s="415"/>
      <c r="PDA87" s="413"/>
      <c r="PDK87" s="396"/>
      <c r="PDL87" s="452"/>
      <c r="PDM87" s="412"/>
      <c r="PDN87" s="415"/>
      <c r="PDO87" s="413"/>
      <c r="PDY87" s="396"/>
      <c r="PDZ87" s="452"/>
      <c r="PEA87" s="412"/>
      <c r="PEB87" s="415"/>
      <c r="PEC87" s="413"/>
      <c r="PEM87" s="396"/>
      <c r="PEN87" s="452"/>
      <c r="PEO87" s="412"/>
      <c r="PEP87" s="415"/>
      <c r="PEQ87" s="413"/>
      <c r="PFA87" s="396"/>
      <c r="PFB87" s="452"/>
      <c r="PFC87" s="412"/>
      <c r="PFD87" s="415"/>
      <c r="PFE87" s="413"/>
      <c r="PFO87" s="396"/>
      <c r="PFP87" s="452"/>
      <c r="PFQ87" s="412"/>
      <c r="PFR87" s="415"/>
      <c r="PFS87" s="413"/>
      <c r="PGC87" s="396"/>
      <c r="PGD87" s="452"/>
      <c r="PGE87" s="412"/>
      <c r="PGF87" s="415"/>
      <c r="PGG87" s="413"/>
      <c r="PGQ87" s="396"/>
      <c r="PGR87" s="452"/>
      <c r="PGS87" s="412"/>
      <c r="PGT87" s="415"/>
      <c r="PGU87" s="413"/>
      <c r="PHE87" s="396"/>
      <c r="PHF87" s="452"/>
      <c r="PHG87" s="412"/>
      <c r="PHH87" s="415"/>
      <c r="PHI87" s="413"/>
      <c r="PHS87" s="396"/>
      <c r="PHT87" s="452"/>
      <c r="PHU87" s="412"/>
      <c r="PHV87" s="415"/>
      <c r="PHW87" s="413"/>
      <c r="PIG87" s="396"/>
      <c r="PIH87" s="452"/>
      <c r="PII87" s="412"/>
      <c r="PIJ87" s="415"/>
      <c r="PIK87" s="413"/>
      <c r="PIU87" s="396"/>
      <c r="PIV87" s="452"/>
      <c r="PIW87" s="412"/>
      <c r="PIX87" s="415"/>
      <c r="PIY87" s="413"/>
      <c r="PJI87" s="396"/>
      <c r="PJJ87" s="452"/>
      <c r="PJK87" s="412"/>
      <c r="PJL87" s="415"/>
      <c r="PJM87" s="413"/>
      <c r="PJW87" s="396"/>
      <c r="PJX87" s="452"/>
      <c r="PJY87" s="412"/>
      <c r="PJZ87" s="415"/>
      <c r="PKA87" s="413"/>
      <c r="PKK87" s="396"/>
      <c r="PKL87" s="452"/>
      <c r="PKM87" s="412"/>
      <c r="PKN87" s="415"/>
      <c r="PKO87" s="413"/>
      <c r="PKY87" s="396"/>
      <c r="PKZ87" s="452"/>
      <c r="PLA87" s="412"/>
      <c r="PLB87" s="415"/>
      <c r="PLC87" s="413"/>
      <c r="PLM87" s="396"/>
      <c r="PLN87" s="452"/>
      <c r="PLO87" s="412"/>
      <c r="PLP87" s="415"/>
      <c r="PLQ87" s="413"/>
      <c r="PMA87" s="396"/>
      <c r="PMB87" s="452"/>
      <c r="PMC87" s="412"/>
      <c r="PMD87" s="415"/>
      <c r="PME87" s="413"/>
      <c r="PMO87" s="396"/>
      <c r="PMP87" s="452"/>
      <c r="PMQ87" s="412"/>
      <c r="PMR87" s="415"/>
      <c r="PMS87" s="413"/>
      <c r="PNC87" s="396"/>
      <c r="PND87" s="452"/>
      <c r="PNE87" s="412"/>
      <c r="PNF87" s="415"/>
      <c r="PNG87" s="413"/>
      <c r="PNQ87" s="396"/>
      <c r="PNR87" s="452"/>
      <c r="PNS87" s="412"/>
      <c r="PNT87" s="415"/>
      <c r="PNU87" s="413"/>
      <c r="POE87" s="396"/>
      <c r="POF87" s="452"/>
      <c r="POG87" s="412"/>
      <c r="POH87" s="415"/>
      <c r="POI87" s="413"/>
      <c r="POS87" s="396"/>
      <c r="POT87" s="452"/>
      <c r="POU87" s="412"/>
      <c r="POV87" s="415"/>
      <c r="POW87" s="413"/>
      <c r="PPG87" s="396"/>
      <c r="PPH87" s="452"/>
      <c r="PPI87" s="412"/>
      <c r="PPJ87" s="415"/>
      <c r="PPK87" s="413"/>
      <c r="PPU87" s="396"/>
      <c r="PPV87" s="452"/>
      <c r="PPW87" s="412"/>
      <c r="PPX87" s="415"/>
      <c r="PPY87" s="413"/>
      <c r="PQI87" s="396"/>
      <c r="PQJ87" s="452"/>
      <c r="PQK87" s="412"/>
      <c r="PQL87" s="415"/>
      <c r="PQM87" s="413"/>
      <c r="PQW87" s="396"/>
      <c r="PQX87" s="452"/>
      <c r="PQY87" s="412"/>
      <c r="PQZ87" s="415"/>
      <c r="PRA87" s="413"/>
      <c r="PRK87" s="396"/>
      <c r="PRL87" s="452"/>
      <c r="PRM87" s="412"/>
      <c r="PRN87" s="415"/>
      <c r="PRO87" s="413"/>
      <c r="PRY87" s="396"/>
      <c r="PRZ87" s="452"/>
      <c r="PSA87" s="412"/>
      <c r="PSB87" s="415"/>
      <c r="PSC87" s="413"/>
      <c r="PSM87" s="396"/>
      <c r="PSN87" s="452"/>
      <c r="PSO87" s="412"/>
      <c r="PSP87" s="415"/>
      <c r="PSQ87" s="413"/>
      <c r="PTA87" s="396"/>
      <c r="PTB87" s="452"/>
      <c r="PTC87" s="412"/>
      <c r="PTD87" s="415"/>
      <c r="PTE87" s="413"/>
      <c r="PTO87" s="396"/>
      <c r="PTP87" s="452"/>
      <c r="PTQ87" s="412"/>
      <c r="PTR87" s="415"/>
      <c r="PTS87" s="413"/>
      <c r="PUC87" s="396"/>
      <c r="PUD87" s="452"/>
      <c r="PUE87" s="412"/>
      <c r="PUF87" s="415"/>
      <c r="PUG87" s="413"/>
      <c r="PUQ87" s="396"/>
      <c r="PUR87" s="452"/>
      <c r="PUS87" s="412"/>
      <c r="PUT87" s="415"/>
      <c r="PUU87" s="413"/>
      <c r="PVE87" s="396"/>
      <c r="PVF87" s="452"/>
      <c r="PVG87" s="412"/>
      <c r="PVH87" s="415"/>
      <c r="PVI87" s="413"/>
      <c r="PVS87" s="396"/>
      <c r="PVT87" s="452"/>
      <c r="PVU87" s="412"/>
      <c r="PVV87" s="415"/>
      <c r="PVW87" s="413"/>
      <c r="PWG87" s="396"/>
      <c r="PWH87" s="452"/>
      <c r="PWI87" s="412"/>
      <c r="PWJ87" s="415"/>
      <c r="PWK87" s="413"/>
      <c r="PWU87" s="396"/>
      <c r="PWV87" s="452"/>
      <c r="PWW87" s="412"/>
      <c r="PWX87" s="415"/>
      <c r="PWY87" s="413"/>
      <c r="PXI87" s="396"/>
      <c r="PXJ87" s="452"/>
      <c r="PXK87" s="412"/>
      <c r="PXL87" s="415"/>
      <c r="PXM87" s="413"/>
      <c r="PXW87" s="396"/>
      <c r="PXX87" s="452"/>
      <c r="PXY87" s="412"/>
      <c r="PXZ87" s="415"/>
      <c r="PYA87" s="413"/>
      <c r="PYK87" s="396"/>
      <c r="PYL87" s="452"/>
      <c r="PYM87" s="412"/>
      <c r="PYN87" s="415"/>
      <c r="PYO87" s="413"/>
      <c r="PYY87" s="396"/>
      <c r="PYZ87" s="452"/>
      <c r="PZA87" s="412"/>
      <c r="PZB87" s="415"/>
      <c r="PZC87" s="413"/>
      <c r="PZM87" s="396"/>
      <c r="PZN87" s="452"/>
      <c r="PZO87" s="412"/>
      <c r="PZP87" s="415"/>
      <c r="PZQ87" s="413"/>
      <c r="QAA87" s="396"/>
      <c r="QAB87" s="452"/>
      <c r="QAC87" s="412"/>
      <c r="QAD87" s="415"/>
      <c r="QAE87" s="413"/>
      <c r="QAO87" s="396"/>
      <c r="QAP87" s="452"/>
      <c r="QAQ87" s="412"/>
      <c r="QAR87" s="415"/>
      <c r="QAS87" s="413"/>
      <c r="QBC87" s="396"/>
      <c r="QBD87" s="452"/>
      <c r="QBE87" s="412"/>
      <c r="QBF87" s="415"/>
      <c r="QBG87" s="413"/>
      <c r="QBQ87" s="396"/>
      <c r="QBR87" s="452"/>
      <c r="QBS87" s="412"/>
      <c r="QBT87" s="415"/>
      <c r="QBU87" s="413"/>
      <c r="QCE87" s="396"/>
      <c r="QCF87" s="452"/>
      <c r="QCG87" s="412"/>
      <c r="QCH87" s="415"/>
      <c r="QCI87" s="413"/>
      <c r="QCS87" s="396"/>
      <c r="QCT87" s="452"/>
      <c r="QCU87" s="412"/>
      <c r="QCV87" s="415"/>
      <c r="QCW87" s="413"/>
      <c r="QDG87" s="396"/>
      <c r="QDH87" s="452"/>
      <c r="QDI87" s="412"/>
      <c r="QDJ87" s="415"/>
      <c r="QDK87" s="413"/>
      <c r="QDU87" s="396"/>
      <c r="QDV87" s="452"/>
      <c r="QDW87" s="412"/>
      <c r="QDX87" s="415"/>
      <c r="QDY87" s="413"/>
      <c r="QEI87" s="396"/>
      <c r="QEJ87" s="452"/>
      <c r="QEK87" s="412"/>
      <c r="QEL87" s="415"/>
      <c r="QEM87" s="413"/>
      <c r="QEW87" s="396"/>
      <c r="QEX87" s="452"/>
      <c r="QEY87" s="412"/>
      <c r="QEZ87" s="415"/>
      <c r="QFA87" s="413"/>
      <c r="QFK87" s="396"/>
      <c r="QFL87" s="452"/>
      <c r="QFM87" s="412"/>
      <c r="QFN87" s="415"/>
      <c r="QFO87" s="413"/>
      <c r="QFY87" s="396"/>
      <c r="QFZ87" s="452"/>
      <c r="QGA87" s="412"/>
      <c r="QGB87" s="415"/>
      <c r="QGC87" s="413"/>
      <c r="QGM87" s="396"/>
      <c r="QGN87" s="452"/>
      <c r="QGO87" s="412"/>
      <c r="QGP87" s="415"/>
      <c r="QGQ87" s="413"/>
      <c r="QHA87" s="396"/>
      <c r="QHB87" s="452"/>
      <c r="QHC87" s="412"/>
      <c r="QHD87" s="415"/>
      <c r="QHE87" s="413"/>
      <c r="QHO87" s="396"/>
      <c r="QHP87" s="452"/>
      <c r="QHQ87" s="412"/>
      <c r="QHR87" s="415"/>
      <c r="QHS87" s="413"/>
      <c r="QIC87" s="396"/>
      <c r="QID87" s="452"/>
      <c r="QIE87" s="412"/>
      <c r="QIF87" s="415"/>
      <c r="QIG87" s="413"/>
      <c r="QIQ87" s="396"/>
      <c r="QIR87" s="452"/>
      <c r="QIS87" s="412"/>
      <c r="QIT87" s="415"/>
      <c r="QIU87" s="413"/>
      <c r="QJE87" s="396"/>
      <c r="QJF87" s="452"/>
      <c r="QJG87" s="412"/>
      <c r="QJH87" s="415"/>
      <c r="QJI87" s="413"/>
      <c r="QJS87" s="396"/>
      <c r="QJT87" s="452"/>
      <c r="QJU87" s="412"/>
      <c r="QJV87" s="415"/>
      <c r="QJW87" s="413"/>
      <c r="QKG87" s="396"/>
      <c r="QKH87" s="452"/>
      <c r="QKI87" s="412"/>
      <c r="QKJ87" s="415"/>
      <c r="QKK87" s="413"/>
      <c r="QKU87" s="396"/>
      <c r="QKV87" s="452"/>
      <c r="QKW87" s="412"/>
      <c r="QKX87" s="415"/>
      <c r="QKY87" s="413"/>
      <c r="QLI87" s="396"/>
      <c r="QLJ87" s="452"/>
      <c r="QLK87" s="412"/>
      <c r="QLL87" s="415"/>
      <c r="QLM87" s="413"/>
      <c r="QLW87" s="396"/>
      <c r="QLX87" s="452"/>
      <c r="QLY87" s="412"/>
      <c r="QLZ87" s="415"/>
      <c r="QMA87" s="413"/>
      <c r="QMK87" s="396"/>
      <c r="QML87" s="452"/>
      <c r="QMM87" s="412"/>
      <c r="QMN87" s="415"/>
      <c r="QMO87" s="413"/>
      <c r="QMY87" s="396"/>
      <c r="QMZ87" s="452"/>
      <c r="QNA87" s="412"/>
      <c r="QNB87" s="415"/>
      <c r="QNC87" s="413"/>
      <c r="QNM87" s="396"/>
      <c r="QNN87" s="452"/>
      <c r="QNO87" s="412"/>
      <c r="QNP87" s="415"/>
      <c r="QNQ87" s="413"/>
      <c r="QOA87" s="396"/>
      <c r="QOB87" s="452"/>
      <c r="QOC87" s="412"/>
      <c r="QOD87" s="415"/>
      <c r="QOE87" s="413"/>
      <c r="QOO87" s="396"/>
      <c r="QOP87" s="452"/>
      <c r="QOQ87" s="412"/>
      <c r="QOR87" s="415"/>
      <c r="QOS87" s="413"/>
      <c r="QPC87" s="396"/>
      <c r="QPD87" s="452"/>
      <c r="QPE87" s="412"/>
      <c r="QPF87" s="415"/>
      <c r="QPG87" s="413"/>
      <c r="QPQ87" s="396"/>
      <c r="QPR87" s="452"/>
      <c r="QPS87" s="412"/>
      <c r="QPT87" s="415"/>
      <c r="QPU87" s="413"/>
      <c r="QQE87" s="396"/>
      <c r="QQF87" s="452"/>
      <c r="QQG87" s="412"/>
      <c r="QQH87" s="415"/>
      <c r="QQI87" s="413"/>
      <c r="QQS87" s="396"/>
      <c r="QQT87" s="452"/>
      <c r="QQU87" s="412"/>
      <c r="QQV87" s="415"/>
      <c r="QQW87" s="413"/>
      <c r="QRG87" s="396"/>
      <c r="QRH87" s="452"/>
      <c r="QRI87" s="412"/>
      <c r="QRJ87" s="415"/>
      <c r="QRK87" s="413"/>
      <c r="QRU87" s="396"/>
      <c r="QRV87" s="452"/>
      <c r="QRW87" s="412"/>
      <c r="QRX87" s="415"/>
      <c r="QRY87" s="413"/>
      <c r="QSI87" s="396"/>
      <c r="QSJ87" s="452"/>
      <c r="QSK87" s="412"/>
      <c r="QSL87" s="415"/>
      <c r="QSM87" s="413"/>
      <c r="QSW87" s="396"/>
      <c r="QSX87" s="452"/>
      <c r="QSY87" s="412"/>
      <c r="QSZ87" s="415"/>
      <c r="QTA87" s="413"/>
      <c r="QTK87" s="396"/>
      <c r="QTL87" s="452"/>
      <c r="QTM87" s="412"/>
      <c r="QTN87" s="415"/>
      <c r="QTO87" s="413"/>
      <c r="QTY87" s="396"/>
      <c r="QTZ87" s="452"/>
      <c r="QUA87" s="412"/>
      <c r="QUB87" s="415"/>
      <c r="QUC87" s="413"/>
      <c r="QUM87" s="396"/>
      <c r="QUN87" s="452"/>
      <c r="QUO87" s="412"/>
      <c r="QUP87" s="415"/>
      <c r="QUQ87" s="413"/>
      <c r="QVA87" s="396"/>
      <c r="QVB87" s="452"/>
      <c r="QVC87" s="412"/>
      <c r="QVD87" s="415"/>
      <c r="QVE87" s="413"/>
      <c r="QVO87" s="396"/>
      <c r="QVP87" s="452"/>
      <c r="QVQ87" s="412"/>
      <c r="QVR87" s="415"/>
      <c r="QVS87" s="413"/>
      <c r="QWC87" s="396"/>
      <c r="QWD87" s="452"/>
      <c r="QWE87" s="412"/>
      <c r="QWF87" s="415"/>
      <c r="QWG87" s="413"/>
      <c r="QWQ87" s="396"/>
      <c r="QWR87" s="452"/>
      <c r="QWS87" s="412"/>
      <c r="QWT87" s="415"/>
      <c r="QWU87" s="413"/>
      <c r="QXE87" s="396"/>
      <c r="QXF87" s="452"/>
      <c r="QXG87" s="412"/>
      <c r="QXH87" s="415"/>
      <c r="QXI87" s="413"/>
      <c r="QXS87" s="396"/>
      <c r="QXT87" s="452"/>
      <c r="QXU87" s="412"/>
      <c r="QXV87" s="415"/>
      <c r="QXW87" s="413"/>
      <c r="QYG87" s="396"/>
      <c r="QYH87" s="452"/>
      <c r="QYI87" s="412"/>
      <c r="QYJ87" s="415"/>
      <c r="QYK87" s="413"/>
      <c r="QYU87" s="396"/>
      <c r="QYV87" s="452"/>
      <c r="QYW87" s="412"/>
      <c r="QYX87" s="415"/>
      <c r="QYY87" s="413"/>
      <c r="QZI87" s="396"/>
      <c r="QZJ87" s="452"/>
      <c r="QZK87" s="412"/>
      <c r="QZL87" s="415"/>
      <c r="QZM87" s="413"/>
      <c r="QZW87" s="396"/>
      <c r="QZX87" s="452"/>
      <c r="QZY87" s="412"/>
      <c r="QZZ87" s="415"/>
      <c r="RAA87" s="413"/>
      <c r="RAK87" s="396"/>
      <c r="RAL87" s="452"/>
      <c r="RAM87" s="412"/>
      <c r="RAN87" s="415"/>
      <c r="RAO87" s="413"/>
      <c r="RAY87" s="396"/>
      <c r="RAZ87" s="452"/>
      <c r="RBA87" s="412"/>
      <c r="RBB87" s="415"/>
      <c r="RBC87" s="413"/>
      <c r="RBM87" s="396"/>
      <c r="RBN87" s="452"/>
      <c r="RBO87" s="412"/>
      <c r="RBP87" s="415"/>
      <c r="RBQ87" s="413"/>
      <c r="RCA87" s="396"/>
      <c r="RCB87" s="452"/>
      <c r="RCC87" s="412"/>
      <c r="RCD87" s="415"/>
      <c r="RCE87" s="413"/>
      <c r="RCO87" s="396"/>
      <c r="RCP87" s="452"/>
      <c r="RCQ87" s="412"/>
      <c r="RCR87" s="415"/>
      <c r="RCS87" s="413"/>
      <c r="RDC87" s="396"/>
      <c r="RDD87" s="452"/>
      <c r="RDE87" s="412"/>
      <c r="RDF87" s="415"/>
      <c r="RDG87" s="413"/>
      <c r="RDQ87" s="396"/>
      <c r="RDR87" s="452"/>
      <c r="RDS87" s="412"/>
      <c r="RDT87" s="415"/>
      <c r="RDU87" s="413"/>
      <c r="REE87" s="396"/>
      <c r="REF87" s="452"/>
      <c r="REG87" s="412"/>
      <c r="REH87" s="415"/>
      <c r="REI87" s="413"/>
      <c r="RES87" s="396"/>
      <c r="RET87" s="452"/>
      <c r="REU87" s="412"/>
      <c r="REV87" s="415"/>
      <c r="REW87" s="413"/>
      <c r="RFG87" s="396"/>
      <c r="RFH87" s="452"/>
      <c r="RFI87" s="412"/>
      <c r="RFJ87" s="415"/>
      <c r="RFK87" s="413"/>
      <c r="RFU87" s="396"/>
      <c r="RFV87" s="452"/>
      <c r="RFW87" s="412"/>
      <c r="RFX87" s="415"/>
      <c r="RFY87" s="413"/>
      <c r="RGI87" s="396"/>
      <c r="RGJ87" s="452"/>
      <c r="RGK87" s="412"/>
      <c r="RGL87" s="415"/>
      <c r="RGM87" s="413"/>
      <c r="RGW87" s="396"/>
      <c r="RGX87" s="452"/>
      <c r="RGY87" s="412"/>
      <c r="RGZ87" s="415"/>
      <c r="RHA87" s="413"/>
      <c r="RHK87" s="396"/>
      <c r="RHL87" s="452"/>
      <c r="RHM87" s="412"/>
      <c r="RHN87" s="415"/>
      <c r="RHO87" s="413"/>
      <c r="RHY87" s="396"/>
      <c r="RHZ87" s="452"/>
      <c r="RIA87" s="412"/>
      <c r="RIB87" s="415"/>
      <c r="RIC87" s="413"/>
      <c r="RIM87" s="396"/>
      <c r="RIN87" s="452"/>
      <c r="RIO87" s="412"/>
      <c r="RIP87" s="415"/>
      <c r="RIQ87" s="413"/>
      <c r="RJA87" s="396"/>
      <c r="RJB87" s="452"/>
      <c r="RJC87" s="412"/>
      <c r="RJD87" s="415"/>
      <c r="RJE87" s="413"/>
      <c r="RJO87" s="396"/>
      <c r="RJP87" s="452"/>
      <c r="RJQ87" s="412"/>
      <c r="RJR87" s="415"/>
      <c r="RJS87" s="413"/>
      <c r="RKC87" s="396"/>
      <c r="RKD87" s="452"/>
      <c r="RKE87" s="412"/>
      <c r="RKF87" s="415"/>
      <c r="RKG87" s="413"/>
      <c r="RKQ87" s="396"/>
      <c r="RKR87" s="452"/>
      <c r="RKS87" s="412"/>
      <c r="RKT87" s="415"/>
      <c r="RKU87" s="413"/>
      <c r="RLE87" s="396"/>
      <c r="RLF87" s="452"/>
      <c r="RLG87" s="412"/>
      <c r="RLH87" s="415"/>
      <c r="RLI87" s="413"/>
      <c r="RLS87" s="396"/>
      <c r="RLT87" s="452"/>
      <c r="RLU87" s="412"/>
      <c r="RLV87" s="415"/>
      <c r="RLW87" s="413"/>
      <c r="RMG87" s="396"/>
      <c r="RMH87" s="452"/>
      <c r="RMI87" s="412"/>
      <c r="RMJ87" s="415"/>
      <c r="RMK87" s="413"/>
      <c r="RMU87" s="396"/>
      <c r="RMV87" s="452"/>
      <c r="RMW87" s="412"/>
      <c r="RMX87" s="415"/>
      <c r="RMY87" s="413"/>
      <c r="RNI87" s="396"/>
      <c r="RNJ87" s="452"/>
      <c r="RNK87" s="412"/>
      <c r="RNL87" s="415"/>
      <c r="RNM87" s="413"/>
      <c r="RNW87" s="396"/>
      <c r="RNX87" s="452"/>
      <c r="RNY87" s="412"/>
      <c r="RNZ87" s="415"/>
      <c r="ROA87" s="413"/>
      <c r="ROK87" s="396"/>
      <c r="ROL87" s="452"/>
      <c r="ROM87" s="412"/>
      <c r="RON87" s="415"/>
      <c r="ROO87" s="413"/>
      <c r="ROY87" s="396"/>
      <c r="ROZ87" s="452"/>
      <c r="RPA87" s="412"/>
      <c r="RPB87" s="415"/>
      <c r="RPC87" s="413"/>
      <c r="RPM87" s="396"/>
      <c r="RPN87" s="452"/>
      <c r="RPO87" s="412"/>
      <c r="RPP87" s="415"/>
      <c r="RPQ87" s="413"/>
      <c r="RQA87" s="396"/>
      <c r="RQB87" s="452"/>
      <c r="RQC87" s="412"/>
      <c r="RQD87" s="415"/>
      <c r="RQE87" s="413"/>
      <c r="RQO87" s="396"/>
      <c r="RQP87" s="452"/>
      <c r="RQQ87" s="412"/>
      <c r="RQR87" s="415"/>
      <c r="RQS87" s="413"/>
      <c r="RRC87" s="396"/>
      <c r="RRD87" s="452"/>
      <c r="RRE87" s="412"/>
      <c r="RRF87" s="415"/>
      <c r="RRG87" s="413"/>
      <c r="RRQ87" s="396"/>
      <c r="RRR87" s="452"/>
      <c r="RRS87" s="412"/>
      <c r="RRT87" s="415"/>
      <c r="RRU87" s="413"/>
      <c r="RSE87" s="396"/>
      <c r="RSF87" s="452"/>
      <c r="RSG87" s="412"/>
      <c r="RSH87" s="415"/>
      <c r="RSI87" s="413"/>
      <c r="RSS87" s="396"/>
      <c r="RST87" s="452"/>
      <c r="RSU87" s="412"/>
      <c r="RSV87" s="415"/>
      <c r="RSW87" s="413"/>
      <c r="RTG87" s="396"/>
      <c r="RTH87" s="452"/>
      <c r="RTI87" s="412"/>
      <c r="RTJ87" s="415"/>
      <c r="RTK87" s="413"/>
      <c r="RTU87" s="396"/>
      <c r="RTV87" s="452"/>
      <c r="RTW87" s="412"/>
      <c r="RTX87" s="415"/>
      <c r="RTY87" s="413"/>
      <c r="RUI87" s="396"/>
      <c r="RUJ87" s="452"/>
      <c r="RUK87" s="412"/>
      <c r="RUL87" s="415"/>
      <c r="RUM87" s="413"/>
      <c r="RUW87" s="396"/>
      <c r="RUX87" s="452"/>
      <c r="RUY87" s="412"/>
      <c r="RUZ87" s="415"/>
      <c r="RVA87" s="413"/>
      <c r="RVK87" s="396"/>
      <c r="RVL87" s="452"/>
      <c r="RVM87" s="412"/>
      <c r="RVN87" s="415"/>
      <c r="RVO87" s="413"/>
      <c r="RVY87" s="396"/>
      <c r="RVZ87" s="452"/>
      <c r="RWA87" s="412"/>
      <c r="RWB87" s="415"/>
      <c r="RWC87" s="413"/>
      <c r="RWM87" s="396"/>
      <c r="RWN87" s="452"/>
      <c r="RWO87" s="412"/>
      <c r="RWP87" s="415"/>
      <c r="RWQ87" s="413"/>
      <c r="RXA87" s="396"/>
      <c r="RXB87" s="452"/>
      <c r="RXC87" s="412"/>
      <c r="RXD87" s="415"/>
      <c r="RXE87" s="413"/>
      <c r="RXO87" s="396"/>
      <c r="RXP87" s="452"/>
      <c r="RXQ87" s="412"/>
      <c r="RXR87" s="415"/>
      <c r="RXS87" s="413"/>
      <c r="RYC87" s="396"/>
      <c r="RYD87" s="452"/>
      <c r="RYE87" s="412"/>
      <c r="RYF87" s="415"/>
      <c r="RYG87" s="413"/>
      <c r="RYQ87" s="396"/>
      <c r="RYR87" s="452"/>
      <c r="RYS87" s="412"/>
      <c r="RYT87" s="415"/>
      <c r="RYU87" s="413"/>
      <c r="RZE87" s="396"/>
      <c r="RZF87" s="452"/>
      <c r="RZG87" s="412"/>
      <c r="RZH87" s="415"/>
      <c r="RZI87" s="413"/>
      <c r="RZS87" s="396"/>
      <c r="RZT87" s="452"/>
      <c r="RZU87" s="412"/>
      <c r="RZV87" s="415"/>
      <c r="RZW87" s="413"/>
      <c r="SAG87" s="396"/>
      <c r="SAH87" s="452"/>
      <c r="SAI87" s="412"/>
      <c r="SAJ87" s="415"/>
      <c r="SAK87" s="413"/>
      <c r="SAU87" s="396"/>
      <c r="SAV87" s="452"/>
      <c r="SAW87" s="412"/>
      <c r="SAX87" s="415"/>
      <c r="SAY87" s="413"/>
      <c r="SBI87" s="396"/>
      <c r="SBJ87" s="452"/>
      <c r="SBK87" s="412"/>
      <c r="SBL87" s="415"/>
      <c r="SBM87" s="413"/>
      <c r="SBW87" s="396"/>
      <c r="SBX87" s="452"/>
      <c r="SBY87" s="412"/>
      <c r="SBZ87" s="415"/>
      <c r="SCA87" s="413"/>
      <c r="SCK87" s="396"/>
      <c r="SCL87" s="452"/>
      <c r="SCM87" s="412"/>
      <c r="SCN87" s="415"/>
      <c r="SCO87" s="413"/>
      <c r="SCY87" s="396"/>
      <c r="SCZ87" s="452"/>
      <c r="SDA87" s="412"/>
      <c r="SDB87" s="415"/>
      <c r="SDC87" s="413"/>
      <c r="SDM87" s="396"/>
      <c r="SDN87" s="452"/>
      <c r="SDO87" s="412"/>
      <c r="SDP87" s="415"/>
      <c r="SDQ87" s="413"/>
      <c r="SEA87" s="396"/>
      <c r="SEB87" s="452"/>
      <c r="SEC87" s="412"/>
      <c r="SED87" s="415"/>
      <c r="SEE87" s="413"/>
      <c r="SEO87" s="396"/>
      <c r="SEP87" s="452"/>
      <c r="SEQ87" s="412"/>
      <c r="SER87" s="415"/>
      <c r="SES87" s="413"/>
      <c r="SFC87" s="396"/>
      <c r="SFD87" s="452"/>
      <c r="SFE87" s="412"/>
      <c r="SFF87" s="415"/>
      <c r="SFG87" s="413"/>
      <c r="SFQ87" s="396"/>
      <c r="SFR87" s="452"/>
      <c r="SFS87" s="412"/>
      <c r="SFT87" s="415"/>
      <c r="SFU87" s="413"/>
      <c r="SGE87" s="396"/>
      <c r="SGF87" s="452"/>
      <c r="SGG87" s="412"/>
      <c r="SGH87" s="415"/>
      <c r="SGI87" s="413"/>
      <c r="SGS87" s="396"/>
      <c r="SGT87" s="452"/>
      <c r="SGU87" s="412"/>
      <c r="SGV87" s="415"/>
      <c r="SGW87" s="413"/>
      <c r="SHG87" s="396"/>
      <c r="SHH87" s="452"/>
      <c r="SHI87" s="412"/>
      <c r="SHJ87" s="415"/>
      <c r="SHK87" s="413"/>
      <c r="SHU87" s="396"/>
      <c r="SHV87" s="452"/>
      <c r="SHW87" s="412"/>
      <c r="SHX87" s="415"/>
      <c r="SHY87" s="413"/>
      <c r="SII87" s="396"/>
      <c r="SIJ87" s="452"/>
      <c r="SIK87" s="412"/>
      <c r="SIL87" s="415"/>
      <c r="SIM87" s="413"/>
      <c r="SIW87" s="396"/>
      <c r="SIX87" s="452"/>
      <c r="SIY87" s="412"/>
      <c r="SIZ87" s="415"/>
      <c r="SJA87" s="413"/>
      <c r="SJK87" s="396"/>
      <c r="SJL87" s="452"/>
      <c r="SJM87" s="412"/>
      <c r="SJN87" s="415"/>
      <c r="SJO87" s="413"/>
      <c r="SJY87" s="396"/>
      <c r="SJZ87" s="452"/>
      <c r="SKA87" s="412"/>
      <c r="SKB87" s="415"/>
      <c r="SKC87" s="413"/>
      <c r="SKM87" s="396"/>
      <c r="SKN87" s="452"/>
      <c r="SKO87" s="412"/>
      <c r="SKP87" s="415"/>
      <c r="SKQ87" s="413"/>
      <c r="SLA87" s="396"/>
      <c r="SLB87" s="452"/>
      <c r="SLC87" s="412"/>
      <c r="SLD87" s="415"/>
      <c r="SLE87" s="413"/>
      <c r="SLO87" s="396"/>
      <c r="SLP87" s="452"/>
      <c r="SLQ87" s="412"/>
      <c r="SLR87" s="415"/>
      <c r="SLS87" s="413"/>
      <c r="SMC87" s="396"/>
      <c r="SMD87" s="452"/>
      <c r="SME87" s="412"/>
      <c r="SMF87" s="415"/>
      <c r="SMG87" s="413"/>
      <c r="SMQ87" s="396"/>
      <c r="SMR87" s="452"/>
      <c r="SMS87" s="412"/>
      <c r="SMT87" s="415"/>
      <c r="SMU87" s="413"/>
      <c r="SNE87" s="396"/>
      <c r="SNF87" s="452"/>
      <c r="SNG87" s="412"/>
      <c r="SNH87" s="415"/>
      <c r="SNI87" s="413"/>
      <c r="SNS87" s="396"/>
      <c r="SNT87" s="452"/>
      <c r="SNU87" s="412"/>
      <c r="SNV87" s="415"/>
      <c r="SNW87" s="413"/>
      <c r="SOG87" s="396"/>
      <c r="SOH87" s="452"/>
      <c r="SOI87" s="412"/>
      <c r="SOJ87" s="415"/>
      <c r="SOK87" s="413"/>
      <c r="SOU87" s="396"/>
      <c r="SOV87" s="452"/>
      <c r="SOW87" s="412"/>
      <c r="SOX87" s="415"/>
      <c r="SOY87" s="413"/>
      <c r="SPI87" s="396"/>
      <c r="SPJ87" s="452"/>
      <c r="SPK87" s="412"/>
      <c r="SPL87" s="415"/>
      <c r="SPM87" s="413"/>
      <c r="SPW87" s="396"/>
      <c r="SPX87" s="452"/>
      <c r="SPY87" s="412"/>
      <c r="SPZ87" s="415"/>
      <c r="SQA87" s="413"/>
      <c r="SQK87" s="396"/>
      <c r="SQL87" s="452"/>
      <c r="SQM87" s="412"/>
      <c r="SQN87" s="415"/>
      <c r="SQO87" s="413"/>
      <c r="SQY87" s="396"/>
      <c r="SQZ87" s="452"/>
      <c r="SRA87" s="412"/>
      <c r="SRB87" s="415"/>
      <c r="SRC87" s="413"/>
      <c r="SRM87" s="396"/>
      <c r="SRN87" s="452"/>
      <c r="SRO87" s="412"/>
      <c r="SRP87" s="415"/>
      <c r="SRQ87" s="413"/>
      <c r="SSA87" s="396"/>
      <c r="SSB87" s="452"/>
      <c r="SSC87" s="412"/>
      <c r="SSD87" s="415"/>
      <c r="SSE87" s="413"/>
      <c r="SSO87" s="396"/>
      <c r="SSP87" s="452"/>
      <c r="SSQ87" s="412"/>
      <c r="SSR87" s="415"/>
      <c r="SSS87" s="413"/>
      <c r="STC87" s="396"/>
      <c r="STD87" s="452"/>
      <c r="STE87" s="412"/>
      <c r="STF87" s="415"/>
      <c r="STG87" s="413"/>
      <c r="STQ87" s="396"/>
      <c r="STR87" s="452"/>
      <c r="STS87" s="412"/>
      <c r="STT87" s="415"/>
      <c r="STU87" s="413"/>
      <c r="SUE87" s="396"/>
      <c r="SUF87" s="452"/>
      <c r="SUG87" s="412"/>
      <c r="SUH87" s="415"/>
      <c r="SUI87" s="413"/>
      <c r="SUS87" s="396"/>
      <c r="SUT87" s="452"/>
      <c r="SUU87" s="412"/>
      <c r="SUV87" s="415"/>
      <c r="SUW87" s="413"/>
      <c r="SVG87" s="396"/>
      <c r="SVH87" s="452"/>
      <c r="SVI87" s="412"/>
      <c r="SVJ87" s="415"/>
      <c r="SVK87" s="413"/>
      <c r="SVU87" s="396"/>
      <c r="SVV87" s="452"/>
      <c r="SVW87" s="412"/>
      <c r="SVX87" s="415"/>
      <c r="SVY87" s="413"/>
      <c r="SWI87" s="396"/>
      <c r="SWJ87" s="452"/>
      <c r="SWK87" s="412"/>
      <c r="SWL87" s="415"/>
      <c r="SWM87" s="413"/>
      <c r="SWW87" s="396"/>
      <c r="SWX87" s="452"/>
      <c r="SWY87" s="412"/>
      <c r="SWZ87" s="415"/>
      <c r="SXA87" s="413"/>
      <c r="SXK87" s="396"/>
      <c r="SXL87" s="452"/>
      <c r="SXM87" s="412"/>
      <c r="SXN87" s="415"/>
      <c r="SXO87" s="413"/>
      <c r="SXY87" s="396"/>
      <c r="SXZ87" s="452"/>
      <c r="SYA87" s="412"/>
      <c r="SYB87" s="415"/>
      <c r="SYC87" s="413"/>
      <c r="SYM87" s="396"/>
      <c r="SYN87" s="452"/>
      <c r="SYO87" s="412"/>
      <c r="SYP87" s="415"/>
      <c r="SYQ87" s="413"/>
      <c r="SZA87" s="396"/>
      <c r="SZB87" s="452"/>
      <c r="SZC87" s="412"/>
      <c r="SZD87" s="415"/>
      <c r="SZE87" s="413"/>
      <c r="SZO87" s="396"/>
      <c r="SZP87" s="452"/>
      <c r="SZQ87" s="412"/>
      <c r="SZR87" s="415"/>
      <c r="SZS87" s="413"/>
      <c r="TAC87" s="396"/>
      <c r="TAD87" s="452"/>
      <c r="TAE87" s="412"/>
      <c r="TAF87" s="415"/>
      <c r="TAG87" s="413"/>
      <c r="TAQ87" s="396"/>
      <c r="TAR87" s="452"/>
      <c r="TAS87" s="412"/>
      <c r="TAT87" s="415"/>
      <c r="TAU87" s="413"/>
      <c r="TBE87" s="396"/>
      <c r="TBF87" s="452"/>
      <c r="TBG87" s="412"/>
      <c r="TBH87" s="415"/>
      <c r="TBI87" s="413"/>
      <c r="TBS87" s="396"/>
      <c r="TBT87" s="452"/>
      <c r="TBU87" s="412"/>
      <c r="TBV87" s="415"/>
      <c r="TBW87" s="413"/>
      <c r="TCG87" s="396"/>
      <c r="TCH87" s="452"/>
      <c r="TCI87" s="412"/>
      <c r="TCJ87" s="415"/>
      <c r="TCK87" s="413"/>
      <c r="TCU87" s="396"/>
      <c r="TCV87" s="452"/>
      <c r="TCW87" s="412"/>
      <c r="TCX87" s="415"/>
      <c r="TCY87" s="413"/>
      <c r="TDI87" s="396"/>
      <c r="TDJ87" s="452"/>
      <c r="TDK87" s="412"/>
      <c r="TDL87" s="415"/>
      <c r="TDM87" s="413"/>
      <c r="TDW87" s="396"/>
      <c r="TDX87" s="452"/>
      <c r="TDY87" s="412"/>
      <c r="TDZ87" s="415"/>
      <c r="TEA87" s="413"/>
      <c r="TEK87" s="396"/>
      <c r="TEL87" s="452"/>
      <c r="TEM87" s="412"/>
      <c r="TEN87" s="415"/>
      <c r="TEO87" s="413"/>
      <c r="TEY87" s="396"/>
      <c r="TEZ87" s="452"/>
      <c r="TFA87" s="412"/>
      <c r="TFB87" s="415"/>
      <c r="TFC87" s="413"/>
      <c r="TFM87" s="396"/>
      <c r="TFN87" s="452"/>
      <c r="TFO87" s="412"/>
      <c r="TFP87" s="415"/>
      <c r="TFQ87" s="413"/>
      <c r="TGA87" s="396"/>
      <c r="TGB87" s="452"/>
      <c r="TGC87" s="412"/>
      <c r="TGD87" s="415"/>
      <c r="TGE87" s="413"/>
      <c r="TGO87" s="396"/>
      <c r="TGP87" s="452"/>
      <c r="TGQ87" s="412"/>
      <c r="TGR87" s="415"/>
      <c r="TGS87" s="413"/>
      <c r="THC87" s="396"/>
      <c r="THD87" s="452"/>
      <c r="THE87" s="412"/>
      <c r="THF87" s="415"/>
      <c r="THG87" s="413"/>
      <c r="THQ87" s="396"/>
      <c r="THR87" s="452"/>
      <c r="THS87" s="412"/>
      <c r="THT87" s="415"/>
      <c r="THU87" s="413"/>
      <c r="TIE87" s="396"/>
      <c r="TIF87" s="452"/>
      <c r="TIG87" s="412"/>
      <c r="TIH87" s="415"/>
      <c r="TII87" s="413"/>
      <c r="TIS87" s="396"/>
      <c r="TIT87" s="452"/>
      <c r="TIU87" s="412"/>
      <c r="TIV87" s="415"/>
      <c r="TIW87" s="413"/>
      <c r="TJG87" s="396"/>
      <c r="TJH87" s="452"/>
      <c r="TJI87" s="412"/>
      <c r="TJJ87" s="415"/>
      <c r="TJK87" s="413"/>
      <c r="TJU87" s="396"/>
      <c r="TJV87" s="452"/>
      <c r="TJW87" s="412"/>
      <c r="TJX87" s="415"/>
      <c r="TJY87" s="413"/>
      <c r="TKI87" s="396"/>
      <c r="TKJ87" s="452"/>
      <c r="TKK87" s="412"/>
      <c r="TKL87" s="415"/>
      <c r="TKM87" s="413"/>
      <c r="TKW87" s="396"/>
      <c r="TKX87" s="452"/>
      <c r="TKY87" s="412"/>
      <c r="TKZ87" s="415"/>
      <c r="TLA87" s="413"/>
      <c r="TLK87" s="396"/>
      <c r="TLL87" s="452"/>
      <c r="TLM87" s="412"/>
      <c r="TLN87" s="415"/>
      <c r="TLO87" s="413"/>
      <c r="TLY87" s="396"/>
      <c r="TLZ87" s="452"/>
      <c r="TMA87" s="412"/>
      <c r="TMB87" s="415"/>
      <c r="TMC87" s="413"/>
      <c r="TMM87" s="396"/>
      <c r="TMN87" s="452"/>
      <c r="TMO87" s="412"/>
      <c r="TMP87" s="415"/>
      <c r="TMQ87" s="413"/>
      <c r="TNA87" s="396"/>
      <c r="TNB87" s="452"/>
      <c r="TNC87" s="412"/>
      <c r="TND87" s="415"/>
      <c r="TNE87" s="413"/>
      <c r="TNO87" s="396"/>
      <c r="TNP87" s="452"/>
      <c r="TNQ87" s="412"/>
      <c r="TNR87" s="415"/>
      <c r="TNS87" s="413"/>
      <c r="TOC87" s="396"/>
      <c r="TOD87" s="452"/>
      <c r="TOE87" s="412"/>
      <c r="TOF87" s="415"/>
      <c r="TOG87" s="413"/>
      <c r="TOQ87" s="396"/>
      <c r="TOR87" s="452"/>
      <c r="TOS87" s="412"/>
      <c r="TOT87" s="415"/>
      <c r="TOU87" s="413"/>
      <c r="TPE87" s="396"/>
      <c r="TPF87" s="452"/>
      <c r="TPG87" s="412"/>
      <c r="TPH87" s="415"/>
      <c r="TPI87" s="413"/>
      <c r="TPS87" s="396"/>
      <c r="TPT87" s="452"/>
      <c r="TPU87" s="412"/>
      <c r="TPV87" s="415"/>
      <c r="TPW87" s="413"/>
      <c r="TQG87" s="396"/>
      <c r="TQH87" s="452"/>
      <c r="TQI87" s="412"/>
      <c r="TQJ87" s="415"/>
      <c r="TQK87" s="413"/>
      <c r="TQU87" s="396"/>
      <c r="TQV87" s="452"/>
      <c r="TQW87" s="412"/>
      <c r="TQX87" s="415"/>
      <c r="TQY87" s="413"/>
      <c r="TRI87" s="396"/>
      <c r="TRJ87" s="452"/>
      <c r="TRK87" s="412"/>
      <c r="TRL87" s="415"/>
      <c r="TRM87" s="413"/>
      <c r="TRW87" s="396"/>
      <c r="TRX87" s="452"/>
      <c r="TRY87" s="412"/>
      <c r="TRZ87" s="415"/>
      <c r="TSA87" s="413"/>
      <c r="TSK87" s="396"/>
      <c r="TSL87" s="452"/>
      <c r="TSM87" s="412"/>
      <c r="TSN87" s="415"/>
      <c r="TSO87" s="413"/>
      <c r="TSY87" s="396"/>
      <c r="TSZ87" s="452"/>
      <c r="TTA87" s="412"/>
      <c r="TTB87" s="415"/>
      <c r="TTC87" s="413"/>
      <c r="TTM87" s="396"/>
      <c r="TTN87" s="452"/>
      <c r="TTO87" s="412"/>
      <c r="TTP87" s="415"/>
      <c r="TTQ87" s="413"/>
      <c r="TUA87" s="396"/>
      <c r="TUB87" s="452"/>
      <c r="TUC87" s="412"/>
      <c r="TUD87" s="415"/>
      <c r="TUE87" s="413"/>
      <c r="TUO87" s="396"/>
      <c r="TUP87" s="452"/>
      <c r="TUQ87" s="412"/>
      <c r="TUR87" s="415"/>
      <c r="TUS87" s="413"/>
      <c r="TVC87" s="396"/>
      <c r="TVD87" s="452"/>
      <c r="TVE87" s="412"/>
      <c r="TVF87" s="415"/>
      <c r="TVG87" s="413"/>
      <c r="TVQ87" s="396"/>
      <c r="TVR87" s="452"/>
      <c r="TVS87" s="412"/>
      <c r="TVT87" s="415"/>
      <c r="TVU87" s="413"/>
      <c r="TWE87" s="396"/>
      <c r="TWF87" s="452"/>
      <c r="TWG87" s="412"/>
      <c r="TWH87" s="415"/>
      <c r="TWI87" s="413"/>
      <c r="TWS87" s="396"/>
      <c r="TWT87" s="452"/>
      <c r="TWU87" s="412"/>
      <c r="TWV87" s="415"/>
      <c r="TWW87" s="413"/>
      <c r="TXG87" s="396"/>
      <c r="TXH87" s="452"/>
      <c r="TXI87" s="412"/>
      <c r="TXJ87" s="415"/>
      <c r="TXK87" s="413"/>
      <c r="TXU87" s="396"/>
      <c r="TXV87" s="452"/>
      <c r="TXW87" s="412"/>
      <c r="TXX87" s="415"/>
      <c r="TXY87" s="413"/>
      <c r="TYI87" s="396"/>
      <c r="TYJ87" s="452"/>
      <c r="TYK87" s="412"/>
      <c r="TYL87" s="415"/>
      <c r="TYM87" s="413"/>
      <c r="TYW87" s="396"/>
      <c r="TYX87" s="452"/>
      <c r="TYY87" s="412"/>
      <c r="TYZ87" s="415"/>
      <c r="TZA87" s="413"/>
      <c r="TZK87" s="396"/>
      <c r="TZL87" s="452"/>
      <c r="TZM87" s="412"/>
      <c r="TZN87" s="415"/>
      <c r="TZO87" s="413"/>
      <c r="TZY87" s="396"/>
      <c r="TZZ87" s="452"/>
      <c r="UAA87" s="412"/>
      <c r="UAB87" s="415"/>
      <c r="UAC87" s="413"/>
      <c r="UAM87" s="396"/>
      <c r="UAN87" s="452"/>
      <c r="UAO87" s="412"/>
      <c r="UAP87" s="415"/>
      <c r="UAQ87" s="413"/>
      <c r="UBA87" s="396"/>
      <c r="UBB87" s="452"/>
      <c r="UBC87" s="412"/>
      <c r="UBD87" s="415"/>
      <c r="UBE87" s="413"/>
      <c r="UBO87" s="396"/>
      <c r="UBP87" s="452"/>
      <c r="UBQ87" s="412"/>
      <c r="UBR87" s="415"/>
      <c r="UBS87" s="413"/>
      <c r="UCC87" s="396"/>
      <c r="UCD87" s="452"/>
      <c r="UCE87" s="412"/>
      <c r="UCF87" s="415"/>
      <c r="UCG87" s="413"/>
      <c r="UCQ87" s="396"/>
      <c r="UCR87" s="452"/>
      <c r="UCS87" s="412"/>
      <c r="UCT87" s="415"/>
      <c r="UCU87" s="413"/>
      <c r="UDE87" s="396"/>
      <c r="UDF87" s="452"/>
      <c r="UDG87" s="412"/>
      <c r="UDH87" s="415"/>
      <c r="UDI87" s="413"/>
      <c r="UDS87" s="396"/>
      <c r="UDT87" s="452"/>
      <c r="UDU87" s="412"/>
      <c r="UDV87" s="415"/>
      <c r="UDW87" s="413"/>
      <c r="UEG87" s="396"/>
      <c r="UEH87" s="452"/>
      <c r="UEI87" s="412"/>
      <c r="UEJ87" s="415"/>
      <c r="UEK87" s="413"/>
      <c r="UEU87" s="396"/>
      <c r="UEV87" s="452"/>
      <c r="UEW87" s="412"/>
      <c r="UEX87" s="415"/>
      <c r="UEY87" s="413"/>
      <c r="UFI87" s="396"/>
      <c r="UFJ87" s="452"/>
      <c r="UFK87" s="412"/>
      <c r="UFL87" s="415"/>
      <c r="UFM87" s="413"/>
      <c r="UFW87" s="396"/>
      <c r="UFX87" s="452"/>
      <c r="UFY87" s="412"/>
      <c r="UFZ87" s="415"/>
      <c r="UGA87" s="413"/>
      <c r="UGK87" s="396"/>
      <c r="UGL87" s="452"/>
      <c r="UGM87" s="412"/>
      <c r="UGN87" s="415"/>
      <c r="UGO87" s="413"/>
      <c r="UGY87" s="396"/>
      <c r="UGZ87" s="452"/>
      <c r="UHA87" s="412"/>
      <c r="UHB87" s="415"/>
      <c r="UHC87" s="413"/>
      <c r="UHM87" s="396"/>
      <c r="UHN87" s="452"/>
      <c r="UHO87" s="412"/>
      <c r="UHP87" s="415"/>
      <c r="UHQ87" s="413"/>
      <c r="UIA87" s="396"/>
      <c r="UIB87" s="452"/>
      <c r="UIC87" s="412"/>
      <c r="UID87" s="415"/>
      <c r="UIE87" s="413"/>
      <c r="UIO87" s="396"/>
      <c r="UIP87" s="452"/>
      <c r="UIQ87" s="412"/>
      <c r="UIR87" s="415"/>
      <c r="UIS87" s="413"/>
      <c r="UJC87" s="396"/>
      <c r="UJD87" s="452"/>
      <c r="UJE87" s="412"/>
      <c r="UJF87" s="415"/>
      <c r="UJG87" s="413"/>
      <c r="UJQ87" s="396"/>
      <c r="UJR87" s="452"/>
      <c r="UJS87" s="412"/>
      <c r="UJT87" s="415"/>
      <c r="UJU87" s="413"/>
      <c r="UKE87" s="396"/>
      <c r="UKF87" s="452"/>
      <c r="UKG87" s="412"/>
      <c r="UKH87" s="415"/>
      <c r="UKI87" s="413"/>
      <c r="UKS87" s="396"/>
      <c r="UKT87" s="452"/>
      <c r="UKU87" s="412"/>
      <c r="UKV87" s="415"/>
      <c r="UKW87" s="413"/>
      <c r="ULG87" s="396"/>
      <c r="ULH87" s="452"/>
      <c r="ULI87" s="412"/>
      <c r="ULJ87" s="415"/>
      <c r="ULK87" s="413"/>
      <c r="ULU87" s="396"/>
      <c r="ULV87" s="452"/>
      <c r="ULW87" s="412"/>
      <c r="ULX87" s="415"/>
      <c r="ULY87" s="413"/>
      <c r="UMI87" s="396"/>
      <c r="UMJ87" s="452"/>
      <c r="UMK87" s="412"/>
      <c r="UML87" s="415"/>
      <c r="UMM87" s="413"/>
      <c r="UMW87" s="396"/>
      <c r="UMX87" s="452"/>
      <c r="UMY87" s="412"/>
      <c r="UMZ87" s="415"/>
      <c r="UNA87" s="413"/>
      <c r="UNK87" s="396"/>
      <c r="UNL87" s="452"/>
      <c r="UNM87" s="412"/>
      <c r="UNN87" s="415"/>
      <c r="UNO87" s="413"/>
      <c r="UNY87" s="396"/>
      <c r="UNZ87" s="452"/>
      <c r="UOA87" s="412"/>
      <c r="UOB87" s="415"/>
      <c r="UOC87" s="413"/>
      <c r="UOM87" s="396"/>
      <c r="UON87" s="452"/>
      <c r="UOO87" s="412"/>
      <c r="UOP87" s="415"/>
      <c r="UOQ87" s="413"/>
      <c r="UPA87" s="396"/>
      <c r="UPB87" s="452"/>
      <c r="UPC87" s="412"/>
      <c r="UPD87" s="415"/>
      <c r="UPE87" s="413"/>
      <c r="UPO87" s="396"/>
      <c r="UPP87" s="452"/>
      <c r="UPQ87" s="412"/>
      <c r="UPR87" s="415"/>
      <c r="UPS87" s="413"/>
      <c r="UQC87" s="396"/>
      <c r="UQD87" s="452"/>
      <c r="UQE87" s="412"/>
      <c r="UQF87" s="415"/>
      <c r="UQG87" s="413"/>
      <c r="UQQ87" s="396"/>
      <c r="UQR87" s="452"/>
      <c r="UQS87" s="412"/>
      <c r="UQT87" s="415"/>
      <c r="UQU87" s="413"/>
      <c r="URE87" s="396"/>
      <c r="URF87" s="452"/>
      <c r="URG87" s="412"/>
      <c r="URH87" s="415"/>
      <c r="URI87" s="413"/>
      <c r="URS87" s="396"/>
      <c r="URT87" s="452"/>
      <c r="URU87" s="412"/>
      <c r="URV87" s="415"/>
      <c r="URW87" s="413"/>
      <c r="USG87" s="396"/>
      <c r="USH87" s="452"/>
      <c r="USI87" s="412"/>
      <c r="USJ87" s="415"/>
      <c r="USK87" s="413"/>
      <c r="USU87" s="396"/>
      <c r="USV87" s="452"/>
      <c r="USW87" s="412"/>
      <c r="USX87" s="415"/>
      <c r="USY87" s="413"/>
      <c r="UTI87" s="396"/>
      <c r="UTJ87" s="452"/>
      <c r="UTK87" s="412"/>
      <c r="UTL87" s="415"/>
      <c r="UTM87" s="413"/>
      <c r="UTW87" s="396"/>
      <c r="UTX87" s="452"/>
      <c r="UTY87" s="412"/>
      <c r="UTZ87" s="415"/>
      <c r="UUA87" s="413"/>
      <c r="UUK87" s="396"/>
      <c r="UUL87" s="452"/>
      <c r="UUM87" s="412"/>
      <c r="UUN87" s="415"/>
      <c r="UUO87" s="413"/>
      <c r="UUY87" s="396"/>
      <c r="UUZ87" s="452"/>
      <c r="UVA87" s="412"/>
      <c r="UVB87" s="415"/>
      <c r="UVC87" s="413"/>
      <c r="UVM87" s="396"/>
      <c r="UVN87" s="452"/>
      <c r="UVO87" s="412"/>
      <c r="UVP87" s="415"/>
      <c r="UVQ87" s="413"/>
      <c r="UWA87" s="396"/>
      <c r="UWB87" s="452"/>
      <c r="UWC87" s="412"/>
      <c r="UWD87" s="415"/>
      <c r="UWE87" s="413"/>
      <c r="UWO87" s="396"/>
      <c r="UWP87" s="452"/>
      <c r="UWQ87" s="412"/>
      <c r="UWR87" s="415"/>
      <c r="UWS87" s="413"/>
      <c r="UXC87" s="396"/>
      <c r="UXD87" s="452"/>
      <c r="UXE87" s="412"/>
      <c r="UXF87" s="415"/>
      <c r="UXG87" s="413"/>
      <c r="UXQ87" s="396"/>
      <c r="UXR87" s="452"/>
      <c r="UXS87" s="412"/>
      <c r="UXT87" s="415"/>
      <c r="UXU87" s="413"/>
      <c r="UYE87" s="396"/>
      <c r="UYF87" s="452"/>
      <c r="UYG87" s="412"/>
      <c r="UYH87" s="415"/>
      <c r="UYI87" s="413"/>
      <c r="UYS87" s="396"/>
      <c r="UYT87" s="452"/>
      <c r="UYU87" s="412"/>
      <c r="UYV87" s="415"/>
      <c r="UYW87" s="413"/>
      <c r="UZG87" s="396"/>
      <c r="UZH87" s="452"/>
      <c r="UZI87" s="412"/>
      <c r="UZJ87" s="415"/>
      <c r="UZK87" s="413"/>
      <c r="UZU87" s="396"/>
      <c r="UZV87" s="452"/>
      <c r="UZW87" s="412"/>
      <c r="UZX87" s="415"/>
      <c r="UZY87" s="413"/>
      <c r="VAI87" s="396"/>
      <c r="VAJ87" s="452"/>
      <c r="VAK87" s="412"/>
      <c r="VAL87" s="415"/>
      <c r="VAM87" s="413"/>
      <c r="VAW87" s="396"/>
      <c r="VAX87" s="452"/>
      <c r="VAY87" s="412"/>
      <c r="VAZ87" s="415"/>
      <c r="VBA87" s="413"/>
      <c r="VBK87" s="396"/>
      <c r="VBL87" s="452"/>
      <c r="VBM87" s="412"/>
      <c r="VBN87" s="415"/>
      <c r="VBO87" s="413"/>
      <c r="VBY87" s="396"/>
      <c r="VBZ87" s="452"/>
      <c r="VCA87" s="412"/>
      <c r="VCB87" s="415"/>
      <c r="VCC87" s="413"/>
      <c r="VCM87" s="396"/>
      <c r="VCN87" s="452"/>
      <c r="VCO87" s="412"/>
      <c r="VCP87" s="415"/>
      <c r="VCQ87" s="413"/>
      <c r="VDA87" s="396"/>
      <c r="VDB87" s="452"/>
      <c r="VDC87" s="412"/>
      <c r="VDD87" s="415"/>
      <c r="VDE87" s="413"/>
      <c r="VDO87" s="396"/>
      <c r="VDP87" s="452"/>
      <c r="VDQ87" s="412"/>
      <c r="VDR87" s="415"/>
      <c r="VDS87" s="413"/>
      <c r="VEC87" s="396"/>
      <c r="VED87" s="452"/>
      <c r="VEE87" s="412"/>
      <c r="VEF87" s="415"/>
      <c r="VEG87" s="413"/>
      <c r="VEQ87" s="396"/>
      <c r="VER87" s="452"/>
      <c r="VES87" s="412"/>
      <c r="VET87" s="415"/>
      <c r="VEU87" s="413"/>
      <c r="VFE87" s="396"/>
      <c r="VFF87" s="452"/>
      <c r="VFG87" s="412"/>
      <c r="VFH87" s="415"/>
      <c r="VFI87" s="413"/>
      <c r="VFS87" s="396"/>
      <c r="VFT87" s="452"/>
      <c r="VFU87" s="412"/>
      <c r="VFV87" s="415"/>
      <c r="VFW87" s="413"/>
      <c r="VGG87" s="396"/>
      <c r="VGH87" s="452"/>
      <c r="VGI87" s="412"/>
      <c r="VGJ87" s="415"/>
      <c r="VGK87" s="413"/>
      <c r="VGU87" s="396"/>
      <c r="VGV87" s="452"/>
      <c r="VGW87" s="412"/>
      <c r="VGX87" s="415"/>
      <c r="VGY87" s="413"/>
      <c r="VHI87" s="396"/>
      <c r="VHJ87" s="452"/>
      <c r="VHK87" s="412"/>
      <c r="VHL87" s="415"/>
      <c r="VHM87" s="413"/>
      <c r="VHW87" s="396"/>
      <c r="VHX87" s="452"/>
      <c r="VHY87" s="412"/>
      <c r="VHZ87" s="415"/>
      <c r="VIA87" s="413"/>
      <c r="VIK87" s="396"/>
      <c r="VIL87" s="452"/>
      <c r="VIM87" s="412"/>
      <c r="VIN87" s="415"/>
      <c r="VIO87" s="413"/>
      <c r="VIY87" s="396"/>
      <c r="VIZ87" s="452"/>
      <c r="VJA87" s="412"/>
      <c r="VJB87" s="415"/>
      <c r="VJC87" s="413"/>
      <c r="VJM87" s="396"/>
      <c r="VJN87" s="452"/>
      <c r="VJO87" s="412"/>
      <c r="VJP87" s="415"/>
      <c r="VJQ87" s="413"/>
      <c r="VKA87" s="396"/>
      <c r="VKB87" s="452"/>
      <c r="VKC87" s="412"/>
      <c r="VKD87" s="415"/>
      <c r="VKE87" s="413"/>
      <c r="VKO87" s="396"/>
      <c r="VKP87" s="452"/>
      <c r="VKQ87" s="412"/>
      <c r="VKR87" s="415"/>
      <c r="VKS87" s="413"/>
      <c r="VLC87" s="396"/>
      <c r="VLD87" s="452"/>
      <c r="VLE87" s="412"/>
      <c r="VLF87" s="415"/>
      <c r="VLG87" s="413"/>
      <c r="VLQ87" s="396"/>
      <c r="VLR87" s="452"/>
      <c r="VLS87" s="412"/>
      <c r="VLT87" s="415"/>
      <c r="VLU87" s="413"/>
      <c r="VME87" s="396"/>
      <c r="VMF87" s="452"/>
      <c r="VMG87" s="412"/>
      <c r="VMH87" s="415"/>
      <c r="VMI87" s="413"/>
      <c r="VMS87" s="396"/>
      <c r="VMT87" s="452"/>
      <c r="VMU87" s="412"/>
      <c r="VMV87" s="415"/>
      <c r="VMW87" s="413"/>
      <c r="VNG87" s="396"/>
      <c r="VNH87" s="452"/>
      <c r="VNI87" s="412"/>
      <c r="VNJ87" s="415"/>
      <c r="VNK87" s="413"/>
      <c r="VNU87" s="396"/>
      <c r="VNV87" s="452"/>
      <c r="VNW87" s="412"/>
      <c r="VNX87" s="415"/>
      <c r="VNY87" s="413"/>
      <c r="VOI87" s="396"/>
      <c r="VOJ87" s="452"/>
      <c r="VOK87" s="412"/>
      <c r="VOL87" s="415"/>
      <c r="VOM87" s="413"/>
      <c r="VOW87" s="396"/>
      <c r="VOX87" s="452"/>
      <c r="VOY87" s="412"/>
      <c r="VOZ87" s="415"/>
      <c r="VPA87" s="413"/>
      <c r="VPK87" s="396"/>
      <c r="VPL87" s="452"/>
      <c r="VPM87" s="412"/>
      <c r="VPN87" s="415"/>
      <c r="VPO87" s="413"/>
      <c r="VPY87" s="396"/>
      <c r="VPZ87" s="452"/>
      <c r="VQA87" s="412"/>
      <c r="VQB87" s="415"/>
      <c r="VQC87" s="413"/>
      <c r="VQM87" s="396"/>
      <c r="VQN87" s="452"/>
      <c r="VQO87" s="412"/>
      <c r="VQP87" s="415"/>
      <c r="VQQ87" s="413"/>
      <c r="VRA87" s="396"/>
      <c r="VRB87" s="452"/>
      <c r="VRC87" s="412"/>
      <c r="VRD87" s="415"/>
      <c r="VRE87" s="413"/>
      <c r="VRO87" s="396"/>
      <c r="VRP87" s="452"/>
      <c r="VRQ87" s="412"/>
      <c r="VRR87" s="415"/>
      <c r="VRS87" s="413"/>
      <c r="VSC87" s="396"/>
      <c r="VSD87" s="452"/>
      <c r="VSE87" s="412"/>
      <c r="VSF87" s="415"/>
      <c r="VSG87" s="413"/>
      <c r="VSQ87" s="396"/>
      <c r="VSR87" s="452"/>
      <c r="VSS87" s="412"/>
      <c r="VST87" s="415"/>
      <c r="VSU87" s="413"/>
      <c r="VTE87" s="396"/>
      <c r="VTF87" s="452"/>
      <c r="VTG87" s="412"/>
      <c r="VTH87" s="415"/>
      <c r="VTI87" s="413"/>
      <c r="VTS87" s="396"/>
      <c r="VTT87" s="452"/>
      <c r="VTU87" s="412"/>
      <c r="VTV87" s="415"/>
      <c r="VTW87" s="413"/>
      <c r="VUG87" s="396"/>
      <c r="VUH87" s="452"/>
      <c r="VUI87" s="412"/>
      <c r="VUJ87" s="415"/>
      <c r="VUK87" s="413"/>
      <c r="VUU87" s="396"/>
      <c r="VUV87" s="452"/>
      <c r="VUW87" s="412"/>
      <c r="VUX87" s="415"/>
      <c r="VUY87" s="413"/>
      <c r="VVI87" s="396"/>
      <c r="VVJ87" s="452"/>
      <c r="VVK87" s="412"/>
      <c r="VVL87" s="415"/>
      <c r="VVM87" s="413"/>
      <c r="VVW87" s="396"/>
      <c r="VVX87" s="452"/>
      <c r="VVY87" s="412"/>
      <c r="VVZ87" s="415"/>
      <c r="VWA87" s="413"/>
      <c r="VWK87" s="396"/>
      <c r="VWL87" s="452"/>
      <c r="VWM87" s="412"/>
      <c r="VWN87" s="415"/>
      <c r="VWO87" s="413"/>
      <c r="VWY87" s="396"/>
      <c r="VWZ87" s="452"/>
      <c r="VXA87" s="412"/>
      <c r="VXB87" s="415"/>
      <c r="VXC87" s="413"/>
      <c r="VXM87" s="396"/>
      <c r="VXN87" s="452"/>
      <c r="VXO87" s="412"/>
      <c r="VXP87" s="415"/>
      <c r="VXQ87" s="413"/>
      <c r="VYA87" s="396"/>
      <c r="VYB87" s="452"/>
      <c r="VYC87" s="412"/>
      <c r="VYD87" s="415"/>
      <c r="VYE87" s="413"/>
      <c r="VYO87" s="396"/>
      <c r="VYP87" s="452"/>
      <c r="VYQ87" s="412"/>
      <c r="VYR87" s="415"/>
      <c r="VYS87" s="413"/>
      <c r="VZC87" s="396"/>
      <c r="VZD87" s="452"/>
      <c r="VZE87" s="412"/>
      <c r="VZF87" s="415"/>
      <c r="VZG87" s="413"/>
      <c r="VZQ87" s="396"/>
      <c r="VZR87" s="452"/>
      <c r="VZS87" s="412"/>
      <c r="VZT87" s="415"/>
      <c r="VZU87" s="413"/>
      <c r="WAE87" s="396"/>
      <c r="WAF87" s="452"/>
      <c r="WAG87" s="412"/>
      <c r="WAH87" s="415"/>
      <c r="WAI87" s="413"/>
      <c r="WAS87" s="396"/>
      <c r="WAT87" s="452"/>
      <c r="WAU87" s="412"/>
      <c r="WAV87" s="415"/>
      <c r="WAW87" s="413"/>
      <c r="WBG87" s="396"/>
      <c r="WBH87" s="452"/>
      <c r="WBI87" s="412"/>
      <c r="WBJ87" s="415"/>
      <c r="WBK87" s="413"/>
      <c r="WBU87" s="396"/>
      <c r="WBV87" s="452"/>
      <c r="WBW87" s="412"/>
      <c r="WBX87" s="415"/>
      <c r="WBY87" s="413"/>
      <c r="WCI87" s="396"/>
      <c r="WCJ87" s="452"/>
      <c r="WCK87" s="412"/>
      <c r="WCL87" s="415"/>
      <c r="WCM87" s="413"/>
      <c r="WCW87" s="396"/>
      <c r="WCX87" s="452"/>
      <c r="WCY87" s="412"/>
      <c r="WCZ87" s="415"/>
      <c r="WDA87" s="413"/>
      <c r="WDK87" s="396"/>
      <c r="WDL87" s="452"/>
      <c r="WDM87" s="412"/>
      <c r="WDN87" s="415"/>
      <c r="WDO87" s="413"/>
      <c r="WDY87" s="396"/>
      <c r="WDZ87" s="452"/>
      <c r="WEA87" s="412"/>
      <c r="WEB87" s="415"/>
      <c r="WEC87" s="413"/>
      <c r="WEM87" s="396"/>
      <c r="WEN87" s="452"/>
      <c r="WEO87" s="412"/>
      <c r="WEP87" s="415"/>
      <c r="WEQ87" s="413"/>
      <c r="WFA87" s="396"/>
      <c r="WFB87" s="452"/>
      <c r="WFC87" s="412"/>
      <c r="WFD87" s="415"/>
      <c r="WFE87" s="413"/>
      <c r="WFO87" s="396"/>
      <c r="WFP87" s="452"/>
      <c r="WFQ87" s="412"/>
      <c r="WFR87" s="415"/>
      <c r="WFS87" s="413"/>
      <c r="WGC87" s="396"/>
      <c r="WGD87" s="452"/>
      <c r="WGE87" s="412"/>
      <c r="WGF87" s="415"/>
      <c r="WGG87" s="413"/>
      <c r="WGQ87" s="396"/>
      <c r="WGR87" s="452"/>
      <c r="WGS87" s="412"/>
      <c r="WGT87" s="415"/>
      <c r="WGU87" s="413"/>
      <c r="WHE87" s="396"/>
      <c r="WHF87" s="452"/>
      <c r="WHG87" s="412"/>
      <c r="WHH87" s="415"/>
      <c r="WHI87" s="413"/>
      <c r="WHS87" s="396"/>
      <c r="WHT87" s="452"/>
      <c r="WHU87" s="412"/>
      <c r="WHV87" s="415"/>
      <c r="WHW87" s="413"/>
      <c r="WIG87" s="396"/>
      <c r="WIH87" s="452"/>
      <c r="WII87" s="412"/>
      <c r="WIJ87" s="415"/>
      <c r="WIK87" s="413"/>
      <c r="WIU87" s="396"/>
      <c r="WIV87" s="452"/>
      <c r="WIW87" s="412"/>
      <c r="WIX87" s="415"/>
      <c r="WIY87" s="413"/>
      <c r="WJI87" s="396"/>
      <c r="WJJ87" s="452"/>
      <c r="WJK87" s="412"/>
      <c r="WJL87" s="415"/>
      <c r="WJM87" s="413"/>
      <c r="WJW87" s="396"/>
      <c r="WJX87" s="452"/>
      <c r="WJY87" s="412"/>
      <c r="WJZ87" s="415"/>
      <c r="WKA87" s="413"/>
      <c r="WKK87" s="396"/>
      <c r="WKL87" s="452"/>
      <c r="WKM87" s="412"/>
      <c r="WKN87" s="415"/>
      <c r="WKO87" s="413"/>
      <c r="WKY87" s="396"/>
      <c r="WKZ87" s="452"/>
      <c r="WLA87" s="412"/>
      <c r="WLB87" s="415"/>
      <c r="WLC87" s="413"/>
      <c r="WLM87" s="396"/>
      <c r="WLN87" s="452"/>
      <c r="WLO87" s="412"/>
      <c r="WLP87" s="415"/>
      <c r="WLQ87" s="413"/>
      <c r="WMA87" s="396"/>
      <c r="WMB87" s="452"/>
      <c r="WMC87" s="412"/>
      <c r="WMD87" s="415"/>
      <c r="WME87" s="413"/>
      <c r="WMO87" s="396"/>
      <c r="WMP87" s="452"/>
      <c r="WMQ87" s="412"/>
      <c r="WMR87" s="415"/>
      <c r="WMS87" s="413"/>
      <c r="WNC87" s="396"/>
      <c r="WND87" s="452"/>
      <c r="WNE87" s="412"/>
      <c r="WNF87" s="415"/>
      <c r="WNG87" s="413"/>
      <c r="WNQ87" s="396"/>
      <c r="WNR87" s="452"/>
      <c r="WNS87" s="412"/>
      <c r="WNT87" s="415"/>
      <c r="WNU87" s="413"/>
      <c r="WOE87" s="396"/>
      <c r="WOF87" s="452"/>
      <c r="WOG87" s="412"/>
      <c r="WOH87" s="415"/>
      <c r="WOI87" s="413"/>
      <c r="WOS87" s="396"/>
      <c r="WOT87" s="452"/>
      <c r="WOU87" s="412"/>
      <c r="WOV87" s="415"/>
      <c r="WOW87" s="413"/>
      <c r="WPG87" s="396"/>
      <c r="WPH87" s="452"/>
      <c r="WPI87" s="412"/>
      <c r="WPJ87" s="415"/>
      <c r="WPK87" s="413"/>
      <c r="WPU87" s="396"/>
      <c r="WPV87" s="452"/>
      <c r="WPW87" s="412"/>
      <c r="WPX87" s="415"/>
      <c r="WPY87" s="413"/>
      <c r="WQI87" s="396"/>
      <c r="WQJ87" s="452"/>
      <c r="WQK87" s="412"/>
      <c r="WQL87" s="415"/>
      <c r="WQM87" s="413"/>
      <c r="WQW87" s="396"/>
      <c r="WQX87" s="452"/>
      <c r="WQY87" s="412"/>
      <c r="WQZ87" s="415"/>
      <c r="WRA87" s="413"/>
      <c r="WRK87" s="396"/>
      <c r="WRL87" s="452"/>
      <c r="WRM87" s="412"/>
      <c r="WRN87" s="415"/>
      <c r="WRO87" s="413"/>
      <c r="WRY87" s="396"/>
      <c r="WRZ87" s="452"/>
      <c r="WSA87" s="412"/>
      <c r="WSB87" s="415"/>
      <c r="WSC87" s="413"/>
      <c r="WSM87" s="396"/>
      <c r="WSN87" s="452"/>
      <c r="WSO87" s="412"/>
      <c r="WSP87" s="415"/>
      <c r="WSQ87" s="413"/>
      <c r="WTA87" s="396"/>
      <c r="WTB87" s="452"/>
      <c r="WTC87" s="412"/>
      <c r="WTD87" s="415"/>
      <c r="WTE87" s="413"/>
      <c r="WTO87" s="396"/>
      <c r="WTP87" s="452"/>
      <c r="WTQ87" s="412"/>
      <c r="WTR87" s="415"/>
      <c r="WTS87" s="413"/>
      <c r="WUC87" s="396"/>
      <c r="WUD87" s="452"/>
      <c r="WUE87" s="412"/>
      <c r="WUF87" s="415"/>
      <c r="WUG87" s="413"/>
      <c r="WUQ87" s="396"/>
      <c r="WUR87" s="452"/>
      <c r="WUS87" s="412"/>
      <c r="WUT87" s="415"/>
      <c r="WUU87" s="413"/>
      <c r="WVE87" s="396"/>
      <c r="WVF87" s="452"/>
      <c r="WVG87" s="412"/>
      <c r="WVH87" s="415"/>
      <c r="WVI87" s="413"/>
      <c r="WVS87" s="396"/>
      <c r="WVT87" s="452"/>
      <c r="WVU87" s="412"/>
      <c r="WVV87" s="415"/>
      <c r="WVW87" s="413"/>
      <c r="WWG87" s="396"/>
      <c r="WWH87" s="452"/>
      <c r="WWI87" s="412"/>
      <c r="WWJ87" s="415"/>
      <c r="WWK87" s="413"/>
      <c r="WWU87" s="396"/>
      <c r="WWV87" s="452"/>
      <c r="WWW87" s="412"/>
      <c r="WWX87" s="415"/>
      <c r="WWY87" s="413"/>
      <c r="WXI87" s="396"/>
      <c r="WXJ87" s="452"/>
      <c r="WXK87" s="412"/>
      <c r="WXL87" s="415"/>
      <c r="WXM87" s="413"/>
      <c r="WXW87" s="396"/>
      <c r="WXX87" s="452"/>
      <c r="WXY87" s="412"/>
      <c r="WXZ87" s="415"/>
      <c r="WYA87" s="413"/>
      <c r="WYK87" s="396"/>
      <c r="WYL87" s="452"/>
      <c r="WYM87" s="412"/>
      <c r="WYN87" s="415"/>
      <c r="WYO87" s="413"/>
      <c r="WYY87" s="396"/>
      <c r="WYZ87" s="452"/>
      <c r="WZA87" s="412"/>
      <c r="WZB87" s="415"/>
      <c r="WZC87" s="413"/>
      <c r="WZM87" s="396"/>
      <c r="WZN87" s="452"/>
      <c r="WZO87" s="412"/>
      <c r="WZP87" s="415"/>
      <c r="WZQ87" s="413"/>
      <c r="XAA87" s="396"/>
      <c r="XAB87" s="452"/>
      <c r="XAC87" s="412"/>
      <c r="XAD87" s="415"/>
      <c r="XAE87" s="413"/>
      <c r="XAO87" s="396"/>
      <c r="XAP87" s="452"/>
      <c r="XAQ87" s="412"/>
      <c r="XAR87" s="415"/>
      <c r="XAS87" s="413"/>
      <c r="XBC87" s="396"/>
      <c r="XBD87" s="452"/>
      <c r="XBE87" s="412"/>
      <c r="XBF87" s="415"/>
      <c r="XBG87" s="413"/>
      <c r="XBQ87" s="396"/>
      <c r="XBR87" s="452"/>
      <c r="XBS87" s="412"/>
      <c r="XBT87" s="415"/>
      <c r="XBU87" s="413"/>
      <c r="XCE87" s="396"/>
      <c r="XCF87" s="452"/>
      <c r="XCG87" s="412"/>
      <c r="XCH87" s="415"/>
      <c r="XCI87" s="413"/>
      <c r="XCS87" s="396"/>
      <c r="XCT87" s="452"/>
      <c r="XCU87" s="412"/>
      <c r="XCV87" s="415"/>
      <c r="XCW87" s="413"/>
      <c r="XDG87" s="396"/>
      <c r="XDH87" s="452"/>
      <c r="XDI87" s="412"/>
      <c r="XDJ87" s="415"/>
      <c r="XDK87" s="413"/>
      <c r="XDU87" s="396"/>
      <c r="XDV87" s="452"/>
      <c r="XDW87" s="412"/>
      <c r="XDX87" s="415"/>
      <c r="XDY87" s="413"/>
      <c r="XEI87" s="396"/>
      <c r="XEJ87" s="452"/>
      <c r="XEK87" s="412"/>
      <c r="XEL87" s="415"/>
      <c r="XEM87" s="413"/>
      <c r="XEW87" s="396"/>
      <c r="XEX87" s="452"/>
      <c r="XEY87" s="412"/>
      <c r="XEZ87" s="415"/>
      <c r="XFA87" s="413"/>
    </row>
    <row r="88" spans="1:1023 1033:2045 2055:3067 3077:4089 4099:5111 5121:8191 8201:9213 9223:10235 10245:11257 11267:12279 12289:15359 15369:16381" x14ac:dyDescent="0.25">
      <c r="A88" s="432">
        <v>43282</v>
      </c>
      <c r="B88" s="411">
        <v>24303719.999999996</v>
      </c>
      <c r="C88" s="411">
        <v>416666.66666666669</v>
      </c>
      <c r="D88" s="411">
        <v>4238020</v>
      </c>
      <c r="E88" s="411">
        <v>5499765.3269648477</v>
      </c>
      <c r="F88" s="411">
        <v>189100</v>
      </c>
      <c r="G88" s="411"/>
      <c r="H88" s="411">
        <v>0</v>
      </c>
      <c r="I88" s="411">
        <v>3087600</v>
      </c>
      <c r="J88" s="396">
        <v>0</v>
      </c>
      <c r="K88" s="411">
        <v>1042249.99</v>
      </c>
      <c r="L88" s="453">
        <v>38777121.983631514</v>
      </c>
      <c r="M88" s="452">
        <v>15158585.259809</v>
      </c>
      <c r="N88" s="412">
        <v>23618536.723822512</v>
      </c>
      <c r="O88" s="415">
        <v>4562438021</v>
      </c>
      <c r="P88" s="413">
        <v>5.1799999999999997E-3</v>
      </c>
      <c r="Q88" s="454"/>
    </row>
    <row r="89" spans="1:1023 1033:2045 2055:3067 3077:4089 4099:5111 5121:8191 8201:9213 9223:10235 10245:11257 11267:12279 12289:15359 15369:16381" x14ac:dyDescent="0.25">
      <c r="A89" s="432">
        <v>43313</v>
      </c>
      <c r="B89" s="411">
        <v>24303719.999999996</v>
      </c>
      <c r="C89" s="411">
        <v>416666.66666666669</v>
      </c>
      <c r="D89" s="411">
        <v>4241592</v>
      </c>
      <c r="E89" s="411">
        <v>5484484.9611246344</v>
      </c>
      <c r="F89" s="411">
        <v>93100</v>
      </c>
      <c r="G89" s="411"/>
      <c r="H89" s="411">
        <v>0</v>
      </c>
      <c r="I89" s="411">
        <v>3087600</v>
      </c>
      <c r="J89" s="396">
        <v>0</v>
      </c>
      <c r="K89" s="411">
        <v>1042249.99</v>
      </c>
      <c r="L89" s="453">
        <v>38669413.617791303</v>
      </c>
      <c r="M89" s="452">
        <v>14556294.191658035</v>
      </c>
      <c r="N89" s="412">
        <v>24113119.426133268</v>
      </c>
      <c r="O89" s="415">
        <v>4687457691</v>
      </c>
      <c r="P89" s="413">
        <v>5.1399999999999996E-3</v>
      </c>
      <c r="Q89" s="454"/>
    </row>
    <row r="90" spans="1:1023 1033:2045 2055:3067 3077:4089 4099:5111 5121:8191 8201:9213 9223:10235 10245:11257 11267:12279 12289:15359 15369:16381" x14ac:dyDescent="0.25">
      <c r="A90" s="432">
        <v>43344</v>
      </c>
      <c r="B90" s="411">
        <v>24303719.999999996</v>
      </c>
      <c r="C90" s="411">
        <v>416666.66666666669</v>
      </c>
      <c r="D90" s="411">
        <v>4245171</v>
      </c>
      <c r="E90" s="411">
        <v>5469205.5974331079</v>
      </c>
      <c r="F90" s="411">
        <v>61100</v>
      </c>
      <c r="G90" s="411"/>
      <c r="H90" s="411">
        <v>0</v>
      </c>
      <c r="I90" s="411">
        <v>3087600</v>
      </c>
      <c r="J90" s="396">
        <v>0</v>
      </c>
      <c r="K90" s="411">
        <v>1042249.99</v>
      </c>
      <c r="L90" s="453">
        <v>38625713.254099771</v>
      </c>
      <c r="M90" s="452">
        <v>2518091.8945380002</v>
      </c>
      <c r="N90" s="412">
        <v>36107621.359561771</v>
      </c>
      <c r="O90" s="415">
        <v>4298518854</v>
      </c>
      <c r="P90" s="413">
        <v>8.3999999999999995E-3</v>
      </c>
      <c r="Q90" s="454"/>
    </row>
    <row r="91" spans="1:1023 1033:2045 2055:3067 3077:4089 4099:5111 5121:8191 8201:9213 9223:10235 10245:11257 11267:12279 12289:15359 15369:16381" x14ac:dyDescent="0.25">
      <c r="A91" s="432">
        <v>43374</v>
      </c>
      <c r="B91" s="411">
        <v>16781140</v>
      </c>
      <c r="C91" s="411">
        <v>416666.66666666669</v>
      </c>
      <c r="D91" s="411">
        <v>4248758</v>
      </c>
      <c r="E91" s="411">
        <v>5453927.2358901519</v>
      </c>
      <c r="F91" s="411">
        <v>54100</v>
      </c>
      <c r="G91" s="411"/>
      <c r="H91" s="411">
        <v>0</v>
      </c>
      <c r="I91" s="411">
        <v>3087600</v>
      </c>
      <c r="J91" s="396">
        <v>0</v>
      </c>
      <c r="K91" s="411">
        <v>1042249.99</v>
      </c>
      <c r="L91" s="453">
        <v>31084441.89255682</v>
      </c>
      <c r="M91" s="452">
        <v>7614642.2743625008</v>
      </c>
      <c r="N91" s="412">
        <v>23469799.618194319</v>
      </c>
      <c r="O91" s="415">
        <v>3660552176</v>
      </c>
      <c r="P91" s="413">
        <v>6.4099999999999999E-3</v>
      </c>
      <c r="Q91" s="454"/>
    </row>
    <row r="92" spans="1:1023 1033:2045 2055:3067 3077:4089 4099:5111 5121:8191 8201:9213 9223:10235 10245:11257 11267:12279 12289:15359 15369:16381" x14ac:dyDescent="0.25">
      <c r="A92" s="432">
        <v>43405</v>
      </c>
      <c r="B92" s="411">
        <v>16781140</v>
      </c>
      <c r="C92" s="411">
        <v>416666.66666666669</v>
      </c>
      <c r="D92" s="411">
        <v>4252352</v>
      </c>
      <c r="E92" s="411">
        <v>5438649.8764959229</v>
      </c>
      <c r="F92" s="411">
        <v>54100</v>
      </c>
      <c r="G92" s="411"/>
      <c r="H92" s="411">
        <v>0</v>
      </c>
      <c r="I92" s="411">
        <v>3087600</v>
      </c>
      <c r="J92" s="396">
        <v>0</v>
      </c>
      <c r="K92" s="411">
        <v>1042249.99</v>
      </c>
      <c r="L92" s="453">
        <v>31072758.53316259</v>
      </c>
      <c r="M92" s="452">
        <v>-10483869.484015774</v>
      </c>
      <c r="N92" s="412">
        <v>41556628.017178364</v>
      </c>
      <c r="O92" s="415">
        <v>3267662214</v>
      </c>
      <c r="P92" s="413">
        <v>1.272E-2</v>
      </c>
      <c r="Q92" s="454"/>
    </row>
    <row r="93" spans="1:1023 1033:2045 2055:3067 3077:4089 4099:5111 5121:8191 8201:9213 9223:10235 10245:11257 11267:12279 12289:15359 15369:16381" x14ac:dyDescent="0.25">
      <c r="A93" s="432">
        <v>43435</v>
      </c>
      <c r="B93" s="411">
        <v>16781140</v>
      </c>
      <c r="C93" s="411">
        <v>416666.66666666669</v>
      </c>
      <c r="D93" s="411">
        <v>4255953</v>
      </c>
      <c r="E93" s="411">
        <v>5423373.5192503035</v>
      </c>
      <c r="F93" s="411">
        <v>19100</v>
      </c>
      <c r="G93" s="411"/>
      <c r="H93" s="411">
        <v>0</v>
      </c>
      <c r="I93" s="411">
        <v>3087600</v>
      </c>
      <c r="J93" s="396">
        <v>0</v>
      </c>
      <c r="K93" s="411">
        <v>1042249.99</v>
      </c>
      <c r="L93" s="453">
        <v>31026083.17591697</v>
      </c>
      <c r="M93" s="452">
        <v>-5836708.9748537168</v>
      </c>
      <c r="N93" s="412">
        <v>36862792.150770687</v>
      </c>
      <c r="O93" s="415">
        <v>3558726389</v>
      </c>
      <c r="P93" s="413">
        <v>1.0359999999999999E-2</v>
      </c>
      <c r="Q93" s="454"/>
    </row>
    <row r="94" spans="1:1023 1033:2045 2055:3067 3077:4089 4099:5111 5121:8191 8201:9213 9223:10235 10245:11257 11267:12279 12289:15359 15369:16381" x14ac:dyDescent="0.25">
      <c r="A94" s="432">
        <v>43466</v>
      </c>
      <c r="B94" s="411">
        <v>16781140</v>
      </c>
      <c r="C94" s="411">
        <v>416666.66666666669</v>
      </c>
      <c r="D94" s="411">
        <v>4259561</v>
      </c>
      <c r="E94" s="411">
        <v>5423852.9745782642</v>
      </c>
      <c r="F94" s="411">
        <v>42252</v>
      </c>
      <c r="G94" s="411"/>
      <c r="H94" s="411">
        <v>0</v>
      </c>
      <c r="I94" s="411">
        <v>2994000</v>
      </c>
      <c r="J94" s="396">
        <v>0</v>
      </c>
      <c r="K94" s="411">
        <v>1042250.02</v>
      </c>
      <c r="L94" s="453">
        <v>30959722.661244933</v>
      </c>
      <c r="M94" s="452">
        <v>4519706.9902190715</v>
      </c>
      <c r="N94" s="412">
        <v>26440015.671025861</v>
      </c>
      <c r="O94" s="415">
        <v>3623777849</v>
      </c>
      <c r="P94" s="413">
        <v>7.3000000000000001E-3</v>
      </c>
      <c r="Q94" s="454"/>
    </row>
    <row r="95" spans="1:1023 1033:2045 2055:3067 3077:4089 4099:5111 5121:8191 8201:9213 9223:10235 10245:11257 11267:12279 12289:15359 15369:16381" x14ac:dyDescent="0.25">
      <c r="A95" s="432">
        <v>43497</v>
      </c>
      <c r="B95" s="411">
        <v>16781140</v>
      </c>
      <c r="C95" s="411">
        <v>416666.66666666669</v>
      </c>
      <c r="D95" s="411">
        <v>4263177</v>
      </c>
      <c r="E95" s="411">
        <v>5408578.6216299403</v>
      </c>
      <c r="F95" s="411">
        <v>32252</v>
      </c>
      <c r="G95" s="411"/>
      <c r="H95" s="411">
        <v>0</v>
      </c>
      <c r="I95" s="411">
        <v>2994000</v>
      </c>
      <c r="J95" s="396">
        <v>0</v>
      </c>
      <c r="K95" s="411">
        <v>1042250.02</v>
      </c>
      <c r="L95" s="453">
        <v>30938064.30829661</v>
      </c>
      <c r="M95" s="452">
        <v>-2949513.0900845714</v>
      </c>
      <c r="N95" s="412">
        <v>33887577.398381181</v>
      </c>
      <c r="O95" s="415">
        <v>3631780569</v>
      </c>
      <c r="P95" s="413">
        <v>9.3299999999999998E-3</v>
      </c>
      <c r="Q95" s="454"/>
    </row>
    <row r="96" spans="1:1023 1033:2045 2055:3067 3077:4089 4099:5111 5121:8191 8201:9213 9223:10235 10245:11257 11267:12279 12289:15359 15369:16381" x14ac:dyDescent="0.25">
      <c r="A96" s="432">
        <v>43525</v>
      </c>
      <c r="B96" s="411">
        <v>16781140</v>
      </c>
      <c r="C96" s="411">
        <v>416666.66666666669</v>
      </c>
      <c r="D96" s="411">
        <v>4266800</v>
      </c>
      <c r="E96" s="411">
        <v>5393305.2708302662</v>
      </c>
      <c r="F96" s="411">
        <v>37252</v>
      </c>
      <c r="G96" s="411"/>
      <c r="H96" s="411">
        <v>0</v>
      </c>
      <c r="I96" s="411">
        <v>2994000</v>
      </c>
      <c r="J96" s="396">
        <v>0</v>
      </c>
      <c r="K96" s="411">
        <v>1042250.02</v>
      </c>
      <c r="L96" s="453">
        <v>30931413.957496934</v>
      </c>
      <c r="M96" s="452">
        <v>-10387843.536376178</v>
      </c>
      <c r="N96" s="412">
        <v>41319257.493873112</v>
      </c>
      <c r="O96" s="415">
        <v>3430711453</v>
      </c>
      <c r="P96" s="413">
        <v>1.204E-2</v>
      </c>
      <c r="Q96" s="454"/>
    </row>
    <row r="97" spans="1:17" x14ac:dyDescent="0.25">
      <c r="A97" s="432">
        <v>43556</v>
      </c>
      <c r="B97" s="411">
        <v>16781140</v>
      </c>
      <c r="C97" s="411">
        <v>416666.66666666669</v>
      </c>
      <c r="D97" s="411">
        <v>4270431</v>
      </c>
      <c r="E97" s="411">
        <v>4783753.3013429511</v>
      </c>
      <c r="F97" s="411">
        <v>58520.2</v>
      </c>
      <c r="G97" s="411"/>
      <c r="H97" s="411">
        <v>0</v>
      </c>
      <c r="I97" s="411">
        <v>2994000</v>
      </c>
      <c r="J97" s="396">
        <v>0</v>
      </c>
      <c r="K97" s="411">
        <v>1042250.02</v>
      </c>
      <c r="L97" s="453">
        <v>30346761.18800962</v>
      </c>
      <c r="M97" s="452">
        <v>-11440781.096310001</v>
      </c>
      <c r="N97" s="412">
        <v>41787542.284319624</v>
      </c>
      <c r="O97" s="415">
        <v>3130649277</v>
      </c>
      <c r="P97" s="413">
        <v>1.3350000000000001E-2</v>
      </c>
      <c r="Q97" s="454"/>
    </row>
    <row r="98" spans="1:17" x14ac:dyDescent="0.25">
      <c r="A98" s="432">
        <v>43586</v>
      </c>
      <c r="B98" s="411">
        <v>16781140</v>
      </c>
      <c r="C98" s="411">
        <v>416666.66666666669</v>
      </c>
      <c r="D98" s="411">
        <v>4274069</v>
      </c>
      <c r="E98" s="411">
        <v>4770583.3541580858</v>
      </c>
      <c r="F98" s="411">
        <v>363897.19</v>
      </c>
      <c r="G98" s="411"/>
      <c r="H98" s="411">
        <v>0</v>
      </c>
      <c r="I98" s="411">
        <v>2994000</v>
      </c>
      <c r="J98" s="396">
        <v>0</v>
      </c>
      <c r="K98" s="411">
        <v>0</v>
      </c>
      <c r="L98" s="453">
        <v>29600356.210824754</v>
      </c>
      <c r="M98" s="452">
        <v>13890939.228442619</v>
      </c>
      <c r="N98" s="412">
        <v>15709416.982382135</v>
      </c>
      <c r="O98" s="415">
        <v>3122733018</v>
      </c>
      <c r="P98" s="413">
        <v>5.0299999999999997E-3</v>
      </c>
      <c r="Q98" s="454"/>
    </row>
    <row r="99" spans="1:17" x14ac:dyDescent="0.25">
      <c r="A99" s="410">
        <v>43617</v>
      </c>
      <c r="B99" s="411">
        <v>24303719.999999996</v>
      </c>
      <c r="C99" s="411">
        <v>416666.66666666669</v>
      </c>
      <c r="D99" s="411">
        <v>4277714</v>
      </c>
      <c r="E99" s="411">
        <v>4757413.4069731431</v>
      </c>
      <c r="F99" s="411">
        <v>160232.43</v>
      </c>
      <c r="G99" s="411"/>
      <c r="H99" s="411">
        <v>0</v>
      </c>
      <c r="I99" s="411">
        <v>2994000</v>
      </c>
      <c r="J99" s="411">
        <v>0</v>
      </c>
      <c r="K99" s="411">
        <v>1979109</v>
      </c>
      <c r="L99" s="396">
        <v>38888855.50363981</v>
      </c>
      <c r="M99" s="452">
        <v>13359968.016558094</v>
      </c>
      <c r="N99" s="412">
        <v>25528887.487081714</v>
      </c>
      <c r="O99" s="415">
        <v>3711667676</v>
      </c>
      <c r="P99" s="413">
        <v>6.8799999999999998E-3</v>
      </c>
      <c r="Q99" s="454"/>
    </row>
    <row r="100" spans="1:17" x14ac:dyDescent="0.25">
      <c r="A100" s="410">
        <v>43647</v>
      </c>
      <c r="B100" s="411">
        <v>24303719.999999996</v>
      </c>
      <c r="C100" s="411">
        <v>416666.66666666669</v>
      </c>
      <c r="D100" s="411">
        <v>4281367</v>
      </c>
      <c r="E100" s="411">
        <v>4757413.4069731431</v>
      </c>
      <c r="F100" s="411">
        <v>197532.18</v>
      </c>
      <c r="G100" s="411"/>
      <c r="H100" s="411">
        <v>0</v>
      </c>
      <c r="I100" s="411">
        <v>2994000</v>
      </c>
      <c r="J100" s="411">
        <v>0</v>
      </c>
      <c r="K100" s="411">
        <v>1994535</v>
      </c>
      <c r="L100" s="396">
        <v>38945234.25363981</v>
      </c>
      <c r="M100" s="452">
        <v>17133028.78470825</v>
      </c>
      <c r="N100" s="412">
        <v>21812205.468931559</v>
      </c>
      <c r="O100" s="415">
        <v>4477615619</v>
      </c>
      <c r="P100" s="413">
        <v>4.8700000000000002E-3</v>
      </c>
      <c r="Q100" s="454"/>
    </row>
    <row r="101" spans="1:17" x14ac:dyDescent="0.25">
      <c r="A101" s="410">
        <v>43678</v>
      </c>
      <c r="B101" s="411">
        <v>24303719.999999996</v>
      </c>
      <c r="C101" s="411">
        <v>416666.66666666669</v>
      </c>
      <c r="D101" s="411">
        <v>4285027</v>
      </c>
      <c r="E101" s="411">
        <v>5074620.2924235743</v>
      </c>
      <c r="F101" s="411">
        <v>203350.92</v>
      </c>
      <c r="G101" s="411"/>
      <c r="H101" s="411">
        <v>0</v>
      </c>
      <c r="I101" s="411">
        <v>2994000</v>
      </c>
      <c r="J101" s="411">
        <v>0</v>
      </c>
      <c r="K101" s="411">
        <v>1994495</v>
      </c>
      <c r="L101" s="396">
        <v>39271879.879090242</v>
      </c>
      <c r="M101" s="452">
        <v>15259929.660610002</v>
      </c>
      <c r="N101" s="412">
        <v>24011950.218480241</v>
      </c>
      <c r="O101" s="415">
        <v>4612636708</v>
      </c>
      <c r="P101" s="413">
        <v>5.2100000000000002E-3</v>
      </c>
      <c r="Q101" s="454"/>
    </row>
    <row r="102" spans="1:17" x14ac:dyDescent="0.25">
      <c r="A102" s="455">
        <v>43709</v>
      </c>
      <c r="B102" s="411">
        <v>24303719.999999996</v>
      </c>
      <c r="C102" s="411">
        <v>416666.66666666669</v>
      </c>
      <c r="D102" s="411">
        <v>4288694</v>
      </c>
      <c r="E102" s="411">
        <v>5061450.3452387098</v>
      </c>
      <c r="F102" s="411">
        <v>128230.18</v>
      </c>
      <c r="G102" s="411"/>
      <c r="H102" s="411">
        <v>0</v>
      </c>
      <c r="I102" s="411">
        <v>2994000</v>
      </c>
      <c r="J102" s="411">
        <v>0</v>
      </c>
      <c r="K102" s="411">
        <v>1994495</v>
      </c>
      <c r="L102" s="433">
        <v>39187256.191905372</v>
      </c>
      <c r="M102" s="452">
        <v>13649876.386792334</v>
      </c>
      <c r="N102" s="456">
        <v>25537379.80511304</v>
      </c>
      <c r="O102" s="415">
        <v>4267703209</v>
      </c>
      <c r="P102" s="457">
        <v>5.9800000000000001E-3</v>
      </c>
      <c r="Q102" s="454"/>
    </row>
    <row r="103" spans="1:17" x14ac:dyDescent="0.25">
      <c r="A103" s="455">
        <v>43739</v>
      </c>
      <c r="B103" s="411">
        <v>16781140</v>
      </c>
      <c r="C103" s="411">
        <v>416666.66666666669</v>
      </c>
      <c r="D103" s="411">
        <v>4292369</v>
      </c>
      <c r="E103" s="411">
        <v>5048280.3980537662</v>
      </c>
      <c r="F103" s="411">
        <v>139436.69</v>
      </c>
      <c r="G103" s="411"/>
      <c r="H103" s="411">
        <v>0</v>
      </c>
      <c r="I103" s="411">
        <v>2994000</v>
      </c>
      <c r="J103" s="411">
        <v>0</v>
      </c>
      <c r="K103" s="411">
        <v>1994515</v>
      </c>
      <c r="L103" s="433">
        <v>31666407.754720435</v>
      </c>
      <c r="M103" s="452">
        <v>14950314.501478564</v>
      </c>
      <c r="N103" s="456">
        <v>16716093.253241871</v>
      </c>
      <c r="O103" s="415">
        <v>3512734687</v>
      </c>
      <c r="P103" s="457">
        <v>4.7600000000000003E-3</v>
      </c>
      <c r="Q103" s="454"/>
    </row>
    <row r="104" spans="1:17" x14ac:dyDescent="0.25">
      <c r="A104" s="455">
        <v>43770</v>
      </c>
      <c r="B104" s="411">
        <v>16781140</v>
      </c>
      <c r="C104" s="411">
        <v>416666.66666666669</v>
      </c>
      <c r="D104" s="411">
        <v>4296051</v>
      </c>
      <c r="E104" s="411">
        <v>5035110.4508689018</v>
      </c>
      <c r="F104" s="411">
        <v>137552</v>
      </c>
      <c r="G104" s="411"/>
      <c r="H104" s="411">
        <v>0</v>
      </c>
      <c r="I104" s="411">
        <v>2994000</v>
      </c>
      <c r="J104" s="411">
        <v>0</v>
      </c>
      <c r="K104" s="411">
        <v>1994515</v>
      </c>
      <c r="L104" s="433">
        <v>31655035.117535569</v>
      </c>
      <c r="M104" s="452">
        <v>-4334173.1466624252</v>
      </c>
      <c r="N104" s="456">
        <v>35989208.26419799</v>
      </c>
      <c r="O104" s="415">
        <v>3198846884</v>
      </c>
      <c r="P104" s="457">
        <v>1.125E-2</v>
      </c>
      <c r="Q104" s="454"/>
    </row>
    <row r="105" spans="1:17" x14ac:dyDescent="0.25">
      <c r="A105" s="455">
        <v>43800</v>
      </c>
      <c r="B105" s="411">
        <v>16781140</v>
      </c>
      <c r="C105" s="411">
        <v>416666.66666666669</v>
      </c>
      <c r="D105" s="411">
        <v>4299741</v>
      </c>
      <c r="E105" s="411">
        <v>5021940.5036839601</v>
      </c>
      <c r="F105" s="411">
        <v>180677</v>
      </c>
      <c r="G105" s="411"/>
      <c r="H105" s="411">
        <v>0</v>
      </c>
      <c r="I105" s="411">
        <v>2994000</v>
      </c>
      <c r="J105" s="411">
        <v>0</v>
      </c>
      <c r="K105" s="411">
        <v>1994515</v>
      </c>
      <c r="L105" s="433">
        <v>31688680.170350626</v>
      </c>
      <c r="M105" s="452">
        <v>-1389235.8081468418</v>
      </c>
      <c r="N105" s="456">
        <v>33077915.978497468</v>
      </c>
      <c r="O105" s="415">
        <v>3534896143</v>
      </c>
      <c r="P105" s="457">
        <v>9.3600000000000003E-3</v>
      </c>
      <c r="Q105" s="454"/>
    </row>
    <row r="106" spans="1:17" x14ac:dyDescent="0.25">
      <c r="A106" s="455">
        <v>43831</v>
      </c>
      <c r="B106" s="411">
        <v>16781140</v>
      </c>
      <c r="C106" s="411">
        <v>416666.66666666669</v>
      </c>
      <c r="D106" s="411">
        <v>4303290</v>
      </c>
      <c r="E106" s="411">
        <v>5021940.5036839601</v>
      </c>
      <c r="F106" s="411">
        <v>63777</v>
      </c>
      <c r="G106" s="411"/>
      <c r="H106" s="411">
        <v>0</v>
      </c>
      <c r="I106" s="411">
        <v>2890100</v>
      </c>
      <c r="J106" s="411">
        <v>0</v>
      </c>
      <c r="K106" s="411">
        <v>1994515</v>
      </c>
      <c r="L106" s="433">
        <v>31471429.170350626</v>
      </c>
      <c r="M106" s="452">
        <v>-10995.843622542918</v>
      </c>
      <c r="N106" s="456">
        <v>31482425.013973169</v>
      </c>
      <c r="O106" s="415">
        <v>3580961012</v>
      </c>
      <c r="P106" s="457">
        <v>8.7899999999999992E-3</v>
      </c>
      <c r="Q106" s="454"/>
    </row>
    <row r="107" spans="1:17" x14ac:dyDescent="0.25">
      <c r="A107" s="410">
        <v>43862</v>
      </c>
      <c r="B107" s="411">
        <v>16522605</v>
      </c>
      <c r="C107" s="458">
        <v>416666.66666666669</v>
      </c>
      <c r="D107" s="458">
        <v>4306845</v>
      </c>
      <c r="E107" s="458">
        <v>5687000</v>
      </c>
      <c r="F107" s="458">
        <v>53777</v>
      </c>
      <c r="G107" s="458"/>
      <c r="H107" s="458">
        <v>0</v>
      </c>
      <c r="I107" s="458">
        <v>2890100</v>
      </c>
      <c r="J107" s="458">
        <v>0</v>
      </c>
      <c r="K107" s="458">
        <v>1994515</v>
      </c>
      <c r="L107" s="459">
        <v>31871508.666666668</v>
      </c>
      <c r="M107" s="452">
        <v>-5079045.0501322784</v>
      </c>
      <c r="N107" s="412">
        <v>36950553.716798946</v>
      </c>
      <c r="O107" s="415">
        <v>3620951988</v>
      </c>
      <c r="P107" s="460">
        <v>1.0200000000000001E-2</v>
      </c>
    </row>
    <row r="108" spans="1:17" x14ac:dyDescent="0.25">
      <c r="A108" s="410">
        <v>43891</v>
      </c>
      <c r="B108" s="411">
        <v>16522605</v>
      </c>
      <c r="C108" s="458">
        <v>416666.66666666669</v>
      </c>
      <c r="D108" s="458">
        <v>4310408</v>
      </c>
      <c r="E108" s="458">
        <v>5687000</v>
      </c>
      <c r="F108" s="458">
        <v>53777</v>
      </c>
      <c r="G108" s="458"/>
      <c r="H108" s="458">
        <v>0</v>
      </c>
      <c r="I108" s="458">
        <v>2890100</v>
      </c>
      <c r="J108" s="458">
        <v>0</v>
      </c>
      <c r="K108" s="458">
        <v>1994515</v>
      </c>
      <c r="L108" s="459">
        <v>31875071.666666668</v>
      </c>
      <c r="M108" s="452">
        <v>-7430909.5765577853</v>
      </c>
      <c r="N108" s="412">
        <v>39305981.243224457</v>
      </c>
      <c r="O108" s="415">
        <v>3350884233</v>
      </c>
      <c r="P108" s="460">
        <v>1.1730000000000001E-2</v>
      </c>
    </row>
    <row r="109" spans="1:17" x14ac:dyDescent="0.25">
      <c r="A109" s="410">
        <v>43922</v>
      </c>
      <c r="B109" s="411">
        <v>16522605</v>
      </c>
      <c r="C109" s="458">
        <v>416666.66666666669</v>
      </c>
      <c r="D109" s="458">
        <v>4313977</v>
      </c>
      <c r="E109" s="458">
        <v>5687000</v>
      </c>
      <c r="F109" s="458">
        <v>75045.2</v>
      </c>
      <c r="G109" s="458"/>
      <c r="H109" s="458">
        <v>0</v>
      </c>
      <c r="I109" s="458">
        <v>2435200</v>
      </c>
      <c r="J109" s="458">
        <v>0</v>
      </c>
      <c r="K109" s="458">
        <v>1994515</v>
      </c>
      <c r="L109" s="459">
        <v>31445008.866666667</v>
      </c>
      <c r="M109" s="452">
        <v>-4466246.1891748272</v>
      </c>
      <c r="N109" s="412">
        <v>35911255.055841491</v>
      </c>
      <c r="O109" s="415">
        <v>3107838246</v>
      </c>
      <c r="P109" s="460">
        <v>1.1560000000000001E-2</v>
      </c>
    </row>
    <row r="110" spans="1:17" x14ac:dyDescent="0.25">
      <c r="A110" s="432">
        <f>+'[75]Valued History'!A110</f>
        <v>43952</v>
      </c>
      <c r="B110" s="411">
        <f>+'[75]Valued History'!B110</f>
        <v>16522605</v>
      </c>
      <c r="C110" s="411">
        <f>+'[75]Valued History'!C110</f>
        <v>416666.66666666669</v>
      </c>
      <c r="D110" s="411">
        <f>+'[75]Valued History'!D110</f>
        <v>4317553</v>
      </c>
      <c r="E110" s="411">
        <f>+'[75]Valued History'!E110</f>
        <v>5687000</v>
      </c>
      <c r="F110" s="411">
        <f>+'[75]Valued History'!F110</f>
        <v>648447.18999999994</v>
      </c>
      <c r="G110" s="411">
        <f>+'[75]Valued History'!G110</f>
        <v>0</v>
      </c>
      <c r="H110" s="411">
        <f>+'[75]Valued History'!H110</f>
        <v>0</v>
      </c>
      <c r="I110" s="411">
        <f>+'[75]Valued History'!I110</f>
        <v>2435200</v>
      </c>
      <c r="J110" s="411">
        <f>+'[75]Valued History'!J110</f>
        <v>0</v>
      </c>
      <c r="K110" s="411">
        <f>+'[75]Valued History'!K110</f>
        <v>1994504.44</v>
      </c>
      <c r="L110" s="459">
        <f>+'[75]Valued History'!L110</f>
        <v>32021976.296666671</v>
      </c>
      <c r="M110" s="411">
        <f>+'[75]Valued History'!M110</f>
        <v>14867225.371223785</v>
      </c>
      <c r="N110" s="412">
        <f>+'[75]Valued History'!N110</f>
        <v>17154750.925442886</v>
      </c>
      <c r="O110" s="571">
        <f>+'[75]Valued History'!O110</f>
        <v>2750500343</v>
      </c>
      <c r="P110" s="460">
        <f>+'[75]Valued History'!P110</f>
        <v>6.2399999999999999E-3</v>
      </c>
    </row>
    <row r="111" spans="1:17" x14ac:dyDescent="0.25">
      <c r="A111" s="432">
        <f>+'[75]Valued History'!A111</f>
        <v>43983</v>
      </c>
      <c r="B111" s="411">
        <f>+'[75]Valued History'!B111</f>
        <v>23929290</v>
      </c>
      <c r="C111" s="411">
        <f>+'[75]Valued History'!C111</f>
        <v>416666.66666666669</v>
      </c>
      <c r="D111" s="411">
        <f>+'[75]Valued History'!D111</f>
        <v>4321136</v>
      </c>
      <c r="E111" s="411">
        <f>+'[75]Valued History'!E111</f>
        <v>5687000</v>
      </c>
      <c r="F111" s="411">
        <f>+'[75]Valued History'!F111</f>
        <v>247607.43</v>
      </c>
      <c r="G111" s="411">
        <f>+'[75]Valued History'!G111</f>
        <v>0</v>
      </c>
      <c r="H111" s="411">
        <f>+'[75]Valued History'!H111</f>
        <v>0</v>
      </c>
      <c r="I111" s="411">
        <f>+'[75]Valued History'!I111</f>
        <v>2435200</v>
      </c>
      <c r="J111" s="411">
        <f>+'[75]Valued History'!J111</f>
        <v>0</v>
      </c>
      <c r="K111" s="411">
        <f>+'[75]Valued History'!K111</f>
        <v>15429</v>
      </c>
      <c r="L111" s="459">
        <f>+'[75]Valued History'!L111</f>
        <v>37052329.096666671</v>
      </c>
      <c r="M111" s="411">
        <f>+'[75]Valued History'!M111</f>
        <v>16256311.508553915</v>
      </c>
      <c r="N111" s="412">
        <f>+'[75]Valued History'!N111</f>
        <v>20796017.588112757</v>
      </c>
      <c r="O111" s="571">
        <f>+'[75]Valued History'!O111</f>
        <v>3232787354</v>
      </c>
      <c r="P111" s="460">
        <f>+'[75]Valued History'!P111</f>
        <v>6.43E-3</v>
      </c>
    </row>
    <row r="112" spans="1:17" x14ac:dyDescent="0.25">
      <c r="A112" s="432">
        <f>+'[75]Valued History'!A112</f>
        <v>44013</v>
      </c>
      <c r="B112" s="411">
        <f>+'[75]Valued History'!B112</f>
        <v>23929290</v>
      </c>
      <c r="C112" s="411">
        <f>+'[75]Valued History'!C112</f>
        <v>416666.66666666669</v>
      </c>
      <c r="D112" s="411">
        <f>+'[75]Valued History'!D112</f>
        <v>4324727</v>
      </c>
      <c r="E112" s="411">
        <f>+'[75]Valued History'!E112</f>
        <v>5687000</v>
      </c>
      <c r="F112" s="411">
        <f>+'[75]Valued History'!F112</f>
        <v>325357.18</v>
      </c>
      <c r="G112" s="411">
        <f>+'[75]Valued History'!G112</f>
        <v>0</v>
      </c>
      <c r="H112" s="411">
        <f>+'[75]Valued History'!H112</f>
        <v>0</v>
      </c>
      <c r="I112" s="411">
        <f>+'[75]Valued History'!I112</f>
        <v>2435200</v>
      </c>
      <c r="J112" s="411">
        <f>+'[75]Valued History'!J112</f>
        <v>0</v>
      </c>
      <c r="K112" s="411">
        <f>+'[75]Valued History'!K112</f>
        <v>0</v>
      </c>
      <c r="L112" s="459">
        <f>+'[75]Valued History'!L112</f>
        <v>37118240.846666671</v>
      </c>
      <c r="M112" s="411">
        <f>+'[75]Valued History'!M112</f>
        <v>17485698.751592871</v>
      </c>
      <c r="N112" s="412">
        <f>+'[75]Valued History'!N112</f>
        <v>19632542.095073801</v>
      </c>
      <c r="O112" s="571">
        <f>+'[75]Valued History'!O112</f>
        <v>4064039109</v>
      </c>
      <c r="P112" s="460">
        <f>+'[75]Valued History'!P112</f>
        <v>4.8300000000000001E-3</v>
      </c>
    </row>
    <row r="113" spans="1:16" x14ac:dyDescent="0.25">
      <c r="A113" s="606">
        <v>44044</v>
      </c>
      <c r="B113" s="458">
        <v>23929290</v>
      </c>
      <c r="C113" s="458">
        <v>416666.66666666669</v>
      </c>
      <c r="D113" s="458">
        <v>4328324</v>
      </c>
      <c r="E113" s="458">
        <v>5687000</v>
      </c>
      <c r="F113" s="458">
        <v>337425.91999999998</v>
      </c>
      <c r="G113" s="458"/>
      <c r="H113" s="458">
        <v>0</v>
      </c>
      <c r="I113" s="458">
        <v>2435200</v>
      </c>
      <c r="J113" s="458">
        <v>0</v>
      </c>
      <c r="K113" s="458">
        <v>0</v>
      </c>
      <c r="L113" s="459">
        <v>37133906.586666673</v>
      </c>
      <c r="M113" s="607">
        <v>18683530.219969101</v>
      </c>
      <c r="N113" s="608">
        <v>18450376.366697572</v>
      </c>
      <c r="O113" s="609">
        <v>4345774248</v>
      </c>
      <c r="P113" s="610">
        <v>4.2500000000000003E-3</v>
      </c>
    </row>
    <row r="114" spans="1:16" x14ac:dyDescent="0.25">
      <c r="A114" s="432">
        <f>+'[75]Valued History'!A114</f>
        <v>44075</v>
      </c>
      <c r="B114" s="411">
        <f>+'[75]Valued History'!B114</f>
        <v>23929290</v>
      </c>
      <c r="C114" s="411">
        <f>+'[75]Valued History'!C114</f>
        <v>416666.66666666669</v>
      </c>
      <c r="D114" s="411">
        <f>+'[75]Valued History'!D114</f>
        <v>4265954</v>
      </c>
      <c r="E114" s="411">
        <f>+'[75]Valued History'!E114</f>
        <v>5687000</v>
      </c>
      <c r="F114" s="411">
        <f>+'[75]Valued History'!F114</f>
        <v>194430.18</v>
      </c>
      <c r="G114" s="411">
        <f>+'[75]Valued History'!G114</f>
        <v>0</v>
      </c>
      <c r="H114" s="411">
        <f>+'[75]Valued History'!H114</f>
        <v>0</v>
      </c>
      <c r="I114" s="411">
        <f>+'[75]Valued History'!I114</f>
        <v>2435200</v>
      </c>
      <c r="J114" s="411">
        <f>+'[75]Valued History'!J114</f>
        <v>0</v>
      </c>
      <c r="K114" s="411">
        <f>+'[75]Valued History'!K114</f>
        <v>0</v>
      </c>
      <c r="L114" s="459">
        <f>+'[75]Valued History'!L114</f>
        <v>36928540.846666671</v>
      </c>
      <c r="M114" s="411">
        <f>+'[75]Valued History'!M114</f>
        <v>15610772.563591952</v>
      </c>
      <c r="N114" s="412">
        <f>+'[75]Valued History'!N114</f>
        <v>21317768.283074722</v>
      </c>
      <c r="O114" s="571">
        <f>+'[75]Valued History'!O114</f>
        <v>4098466482</v>
      </c>
      <c r="P114" s="460">
        <f>+'[75]Valued History'!P114</f>
        <v>5.1999999999999998E-3</v>
      </c>
    </row>
    <row r="115" spans="1:16" x14ac:dyDescent="0.25">
      <c r="A115" s="432">
        <f>+'[76]Valued History'!A115</f>
        <v>44105</v>
      </c>
      <c r="B115" s="411">
        <f>+'[76]Valued History'!B115</f>
        <v>16522605</v>
      </c>
      <c r="C115" s="411">
        <f>+'[76]Valued History'!C115</f>
        <v>416666.66666666669</v>
      </c>
      <c r="D115" s="411">
        <f>+'[76]Valued History'!D115</f>
        <v>4267249</v>
      </c>
      <c r="E115" s="411">
        <f>+'[76]Valued History'!E115</f>
        <v>5687000</v>
      </c>
      <c r="F115" s="411">
        <f>+'[76]Valued History'!F115</f>
        <v>244386.69</v>
      </c>
      <c r="G115" s="411">
        <f>+'[76]Valued History'!G115</f>
        <v>0</v>
      </c>
      <c r="H115" s="411">
        <f>+'[76]Valued History'!H115</f>
        <v>0</v>
      </c>
      <c r="I115" s="411">
        <f>+'[76]Valued History'!I115</f>
        <v>2435200</v>
      </c>
      <c r="J115" s="411">
        <f>+'[76]Valued History'!J115</f>
        <v>0</v>
      </c>
      <c r="K115" s="411">
        <f>+'[76]Valued History'!K115</f>
        <v>3170226.25</v>
      </c>
      <c r="L115" s="459">
        <f>+'[76]Valued History'!L115</f>
        <v>32743333.606666669</v>
      </c>
      <c r="M115" s="411">
        <f>+'[76]Valued History'!M115</f>
        <v>17579893.06804543</v>
      </c>
      <c r="N115" s="412">
        <f>+'[76]Valued History'!N115</f>
        <v>15163440.538621239</v>
      </c>
      <c r="O115" s="571">
        <f>+'[76]Valued History'!O115</f>
        <v>3545737555</v>
      </c>
      <c r="P115" s="460">
        <f>+'[76]Valued History'!P115</f>
        <v>4.28E-3</v>
      </c>
    </row>
    <row r="116" spans="1:16" x14ac:dyDescent="0.25">
      <c r="A116" s="432">
        <f>+'[77]Valued History'!A116</f>
        <v>44136</v>
      </c>
      <c r="B116" s="411">
        <f>+'[77]Valued History'!B116</f>
        <v>16522605</v>
      </c>
      <c r="C116" s="411">
        <f>+'[77]Valued History'!C116</f>
        <v>416666.66666666669</v>
      </c>
      <c r="D116" s="411">
        <f>+'[77]Valued History'!D116</f>
        <v>4268544</v>
      </c>
      <c r="E116" s="411">
        <f>+'[77]Valued History'!E116</f>
        <v>5687000</v>
      </c>
      <c r="F116" s="411">
        <f>+'[77]Valued History'!F116</f>
        <v>267502</v>
      </c>
      <c r="G116" s="411" t="e">
        <f>+'[77]Valued History'!G116</f>
        <v>#REF!</v>
      </c>
      <c r="H116" s="411">
        <f>+'[77]Valued History'!H116</f>
        <v>0</v>
      </c>
      <c r="I116" s="411">
        <f>+'[77]Valued History'!I116</f>
        <v>2435200</v>
      </c>
      <c r="J116" s="411">
        <f>+'[77]Valued History'!J116</f>
        <v>0</v>
      </c>
      <c r="K116" s="411">
        <f>+'[77]Valued History'!K116</f>
        <v>3170226.25</v>
      </c>
      <c r="L116" s="459">
        <f>+'[77]Valued History'!L116</f>
        <v>44874628.567924283</v>
      </c>
      <c r="M116" s="411">
        <f>+'[77]Valued History'!M116</f>
        <v>7224998.7569564655</v>
      </c>
      <c r="N116" s="412">
        <f>+'[77]Valued History'!N116</f>
        <v>37649629.810967818</v>
      </c>
      <c r="O116" s="571">
        <f>+'[77]Valued History'!O116</f>
        <v>3025901901</v>
      </c>
      <c r="P116" s="460">
        <f>+'[77]Valued History'!P116</f>
        <v>1.244E-2</v>
      </c>
    </row>
    <row r="117" spans="1:16" x14ac:dyDescent="0.25">
      <c r="A117" s="432">
        <v>44166</v>
      </c>
      <c r="B117" s="411">
        <f>+'[77]Valued History'!B117</f>
        <v>16522605</v>
      </c>
      <c r="C117" s="411">
        <f>+'[77]Valued History'!C117</f>
        <v>416666.66666666669</v>
      </c>
      <c r="D117" s="411">
        <f>+'[77]Valued History'!D117</f>
        <v>4269840</v>
      </c>
      <c r="E117" s="411">
        <f>+'[77]Valued History'!E117</f>
        <v>5687000</v>
      </c>
      <c r="F117" s="411">
        <f>+'[77]Valued History'!F117</f>
        <v>358127</v>
      </c>
      <c r="G117" s="411" t="e">
        <f>+'[77]Valued History'!G117</f>
        <v>#REF!</v>
      </c>
      <c r="H117" s="411">
        <f>+'[77]Valued History'!H117</f>
        <v>12106884.651257616</v>
      </c>
      <c r="I117" s="411">
        <f>+'[77]Valued History'!I117</f>
        <v>2435200</v>
      </c>
      <c r="J117" s="411">
        <f>+'[77]Valued History'!J117</f>
        <v>0</v>
      </c>
      <c r="K117" s="411">
        <f>+'[77]Valued History'!K117</f>
        <v>3170226.25</v>
      </c>
      <c r="L117" s="459">
        <f>+'[77]Valued History'!L117</f>
        <v>44966549.567924283</v>
      </c>
      <c r="M117" s="411">
        <f>+'[77]Valued History'!M117</f>
        <v>6050632.558176022</v>
      </c>
      <c r="N117" s="412">
        <f>+'[77]Valued History'!N117</f>
        <v>38915917.009748265</v>
      </c>
      <c r="O117" s="571">
        <f>+'[77]Valued History'!O117</f>
        <v>3442957975</v>
      </c>
      <c r="P117" s="460">
        <f>+'[77]Valued History'!P117</f>
        <v>1.1299999999999999E-2</v>
      </c>
    </row>
    <row r="118" spans="1:16" x14ac:dyDescent="0.25">
      <c r="A118" s="432">
        <v>44197</v>
      </c>
      <c r="B118" s="411">
        <f>+'[77]Valued History'!B118</f>
        <v>16781140</v>
      </c>
      <c r="C118" s="411">
        <f>+'[77]Valued History'!C118</f>
        <v>416666.66666666669</v>
      </c>
      <c r="D118" s="411">
        <f>+'[77]Valued History'!D118</f>
        <v>4271879</v>
      </c>
      <c r="E118" s="411">
        <f>+'[77]Valued History'!E118</f>
        <v>5257931.9992777649</v>
      </c>
      <c r="F118" s="411">
        <f>+'[77]Valued History'!F118</f>
        <v>0</v>
      </c>
      <c r="G118" s="411" t="e">
        <f>+'[77]Valued History'!G118</f>
        <v>#REF!</v>
      </c>
      <c r="H118" s="411">
        <f>+'[77]Valued History'!H118</f>
        <v>0</v>
      </c>
      <c r="I118" s="411">
        <f>+'[77]Valued History'!I118</f>
        <v>0</v>
      </c>
      <c r="J118" s="411">
        <f>+'[77]Valued History'!J118</f>
        <v>0</v>
      </c>
      <c r="K118" s="411">
        <f>+'[77]Valued History'!K118</f>
        <v>3235997.3</v>
      </c>
      <c r="L118" s="459">
        <f>+'[77]Valued History'!L118</f>
        <v>29963614.965944435</v>
      </c>
      <c r="M118" s="411">
        <f>+'[77]Valued History'!M118</f>
        <v>8310505.190416187</v>
      </c>
      <c r="N118" s="412">
        <f>+'[77]Valued History'!N118</f>
        <v>21653109.775528248</v>
      </c>
      <c r="O118" s="571">
        <f>+'[77]Valued History'!O118</f>
        <v>3572998290</v>
      </c>
      <c r="P118" s="460">
        <f>+'[77]Valued History'!P118</f>
        <v>6.0600000000000003E-3</v>
      </c>
    </row>
    <row r="119" spans="1:16" x14ac:dyDescent="0.25">
      <c r="A119" s="432">
        <v>44228</v>
      </c>
      <c r="B119" s="411">
        <f>'[78]Valued History'!$B$119</f>
        <v>16264070</v>
      </c>
      <c r="C119" s="411">
        <f>'[78]Valued History'!C$119</f>
        <v>416666.66666666669</v>
      </c>
      <c r="D119" s="411">
        <f>'[78]Valued History'!D$119</f>
        <v>4273921</v>
      </c>
      <c r="E119" s="411">
        <f>'[78]Valued History'!E$119</f>
        <v>5244788.1504256632</v>
      </c>
      <c r="F119" s="411">
        <f>'[78]Valued History'!F$119</f>
        <v>0</v>
      </c>
      <c r="G119" s="411">
        <f>'[78]Valued History'!G$119</f>
        <v>0</v>
      </c>
      <c r="H119" s="411">
        <f>'[78]Valued History'!H$119</f>
        <v>0</v>
      </c>
      <c r="I119" s="411">
        <f>'[78]Valued History'!I$119</f>
        <v>0</v>
      </c>
      <c r="J119" s="411">
        <f>'[78]Valued History'!J$119</f>
        <v>0</v>
      </c>
      <c r="K119" s="411">
        <f>'[78]Valued History'!K$119</f>
        <v>3251568.8</v>
      </c>
      <c r="L119" s="411">
        <f>'[78]Valued History'!L$119</f>
        <v>29451014.61709233</v>
      </c>
      <c r="M119" s="411">
        <f>'[78]Valued History'!M$119</f>
        <v>8750321.4547538161</v>
      </c>
      <c r="N119" s="411">
        <f>'[78]Valued History'!N$119</f>
        <v>20700693.162338514</v>
      </c>
      <c r="O119" s="571">
        <f>'[78]Valued History'!O$119</f>
        <v>3434015632</v>
      </c>
      <c r="P119" s="681">
        <f>'[78]Valued History'!P$119</f>
        <v>6.0299999999999998E-3</v>
      </c>
    </row>
    <row r="120" spans="1:16" x14ac:dyDescent="0.25">
      <c r="A120" s="432">
        <f>'[79]Valued History'!$A$120</f>
        <v>44256</v>
      </c>
      <c r="B120" s="411">
        <f>'[79]Valued History'!B$120</f>
        <v>16522605</v>
      </c>
      <c r="C120" s="411">
        <f>'[79]Valued History'!C$120</f>
        <v>416666.66666666669</v>
      </c>
      <c r="D120" s="411">
        <f>'[79]Valued History'!D$120</f>
        <v>4275964</v>
      </c>
      <c r="E120" s="411">
        <f>'[79]Valued History'!E$120</f>
        <v>5231475.8898346787</v>
      </c>
      <c r="F120" s="411">
        <f>'[79]Valued History'!F$120</f>
        <v>0</v>
      </c>
      <c r="G120" s="411">
        <f>'[79]Valued History'!G$120</f>
        <v>0</v>
      </c>
      <c r="H120" s="411">
        <f>'[79]Valued History'!H$120</f>
        <v>0</v>
      </c>
      <c r="I120" s="411">
        <f>'[79]Valued History'!I$120</f>
        <v>0</v>
      </c>
      <c r="J120" s="411">
        <f>'[79]Valued History'!J$120</f>
        <v>0</v>
      </c>
      <c r="K120" s="411">
        <f>'[79]Valued History'!K$120</f>
        <v>3251568.8</v>
      </c>
      <c r="L120" s="411">
        <f>'[79]Valued History'!L$120</f>
        <v>29698280.356501348</v>
      </c>
      <c r="M120" s="411">
        <f>'[79]Valued History'!M$120</f>
        <v>9940507.1910923384</v>
      </c>
      <c r="N120" s="411">
        <f>'[79]Valued History'!N$120</f>
        <v>19757773.16540901</v>
      </c>
      <c r="O120" s="411">
        <f>'[79]Valued History'!O$120</f>
        <v>3168100302</v>
      </c>
      <c r="P120" s="681">
        <f>'[79]Valued History'!P$120</f>
        <v>6.2399999999999999E-3</v>
      </c>
    </row>
    <row r="121" spans="1:16" x14ac:dyDescent="0.25">
      <c r="A121" s="432">
        <f>+'[79]Valued History'!A121</f>
        <v>44287</v>
      </c>
      <c r="B121" s="411">
        <f>+'[79]Valued History'!B121</f>
        <v>16522605</v>
      </c>
      <c r="C121" s="411">
        <f>+'[79]Valued History'!C121</f>
        <v>416666.66666666669</v>
      </c>
      <c r="D121" s="411">
        <f>+'[79]Valued History'!D121</f>
        <v>4278009</v>
      </c>
      <c r="E121" s="411">
        <f>+'[79]Valued History'!E121</f>
        <v>5218163.6292437734</v>
      </c>
      <c r="F121" s="411">
        <f>+'[79]Valued History'!F121</f>
        <v>0</v>
      </c>
      <c r="G121" s="411">
        <f>+'[79]Valued History'!G121</f>
        <v>0</v>
      </c>
      <c r="H121" s="411">
        <f>+'[79]Valued History'!H121</f>
        <v>0</v>
      </c>
      <c r="I121" s="411">
        <f>+'[79]Valued History'!I121</f>
        <v>0</v>
      </c>
      <c r="J121" s="411">
        <f>+'[79]Valued History'!J121</f>
        <v>0</v>
      </c>
      <c r="K121" s="411">
        <f>+'[79]Valued History'!K121</f>
        <v>3251568.8</v>
      </c>
      <c r="L121" s="411">
        <f>+'[79]Valued History'!L121</f>
        <v>29687013.095910441</v>
      </c>
      <c r="M121" s="411">
        <f>+'[79]Valued History'!M121</f>
        <v>6891375.4913031794</v>
      </c>
      <c r="N121" s="411">
        <f>+'[79]Valued History'!N121</f>
        <v>22795637.604607262</v>
      </c>
      <c r="O121" s="411">
        <f>+'[79]Valued History'!O121</f>
        <v>2768888624</v>
      </c>
      <c r="P121" s="681">
        <f>+'[79]Valued History'!P121</f>
        <v>8.2299999999999995E-3</v>
      </c>
    </row>
    <row r="122" spans="1:16" x14ac:dyDescent="0.25">
      <c r="A122" s="432">
        <f>+'[79]Valued History'!A122</f>
        <v>44317</v>
      </c>
      <c r="B122" s="411">
        <f>+'[79]Valued History'!B122</f>
        <v>16522605</v>
      </c>
      <c r="C122" s="411">
        <f>+'[79]Valued History'!C122</f>
        <v>416666.66666666669</v>
      </c>
      <c r="D122" s="411">
        <f>+'[79]Valued History'!D122</f>
        <v>4280057</v>
      </c>
      <c r="E122" s="411">
        <f>+'[79]Valued History'!E122</f>
        <v>5204851.3686527889</v>
      </c>
      <c r="F122" s="411">
        <f>+'[79]Valued History'!F122</f>
        <v>0</v>
      </c>
      <c r="G122" s="411">
        <f>+'[79]Valued History'!G122</f>
        <v>0</v>
      </c>
      <c r="H122" s="411">
        <f>+'[79]Valued History'!H122</f>
        <v>0</v>
      </c>
      <c r="I122" s="411">
        <f>+'[79]Valued History'!I122</f>
        <v>0</v>
      </c>
      <c r="J122" s="411">
        <f>+'[79]Valued History'!J122</f>
        <v>0</v>
      </c>
      <c r="K122" s="411">
        <f>+'[79]Valued History'!K122</f>
        <v>3251568.8</v>
      </c>
      <c r="L122" s="411">
        <f>+'[79]Valued History'!L122</f>
        <v>29675748.835319456</v>
      </c>
      <c r="M122" s="411">
        <f>+'[79]Valued History'!M122</f>
        <v>1806183.4112213366</v>
      </c>
      <c r="N122" s="411">
        <f>+'[79]Valued History'!N122</f>
        <v>27869565.424098119</v>
      </c>
      <c r="O122" s="411">
        <f>+'[79]Valued History'!O122</f>
        <v>2754778878</v>
      </c>
      <c r="P122" s="681">
        <f>+'[79]Valued History'!P122</f>
        <v>1.0120000000000001E-2</v>
      </c>
    </row>
    <row r="123" spans="1:16" x14ac:dyDescent="0.25">
      <c r="A123" s="432">
        <f>'[80]Valued History'!$A$125</f>
        <v>44348</v>
      </c>
      <c r="B123" s="411">
        <f>'[80]Valued History'!B$125</f>
        <v>23929290</v>
      </c>
      <c r="C123" s="411">
        <f>'[80]Valued History'!C$125</f>
        <v>416666.66666666669</v>
      </c>
      <c r="D123" s="411">
        <f>'[80]Valued History'!D$125</f>
        <v>4282107</v>
      </c>
      <c r="E123" s="411">
        <f>'[80]Valued History'!E$125</f>
        <v>5191539.1080618836</v>
      </c>
      <c r="F123" s="411">
        <f>'[80]Valued History'!F$125</f>
        <v>0</v>
      </c>
      <c r="G123" s="411">
        <f>'[80]Valued History'!G$125</f>
        <v>0</v>
      </c>
      <c r="H123" s="411">
        <f>'[80]Valued History'!H$125</f>
        <v>0</v>
      </c>
      <c r="I123" s="411">
        <f>'[80]Valued History'!I$125</f>
        <v>0</v>
      </c>
      <c r="J123" s="411">
        <f>'[80]Valued History'!J$125</f>
        <v>0</v>
      </c>
      <c r="K123" s="411">
        <f>'[80]Valued History'!K$125</f>
        <v>5852144.4900000002</v>
      </c>
      <c r="L123" s="411">
        <f>'[80]Valued History'!L$125</f>
        <v>39671747.264728554</v>
      </c>
      <c r="M123" s="411">
        <f>'[80]Valued History'!M$125</f>
        <v>2119337.9398259707</v>
      </c>
      <c r="N123" s="411">
        <f>'[80]Valued History'!N$125</f>
        <v>37552409.324902579</v>
      </c>
      <c r="O123" s="411">
        <f>'[80]Valued History'!O$125</f>
        <v>3353789526</v>
      </c>
      <c r="P123" s="681">
        <f>'[80]Valued History'!P$125</f>
        <v>1.12E-2</v>
      </c>
    </row>
    <row r="124" spans="1:16" x14ac:dyDescent="0.25">
      <c r="A124" s="432">
        <f>'[81]Valued History'!A$126</f>
        <v>44378</v>
      </c>
      <c r="B124" s="411">
        <f>'[81]Valued History'!$B$126</f>
        <v>23929290</v>
      </c>
      <c r="C124" s="411">
        <f>'[81]Valued History'!$C$126</f>
        <v>416666.66666666669</v>
      </c>
      <c r="D124" s="411">
        <f>'[81]Valued History'!$D$126</f>
        <v>4311174</v>
      </c>
      <c r="E124" s="411">
        <f>'[81]Valued History'!$E$126</f>
        <v>5183821.1018058425</v>
      </c>
      <c r="F124" s="411">
        <f>'[81]Valued History'!$F$126</f>
        <v>0</v>
      </c>
      <c r="G124" s="411" t="e">
        <f>'[81]Valued History'!$G$126</f>
        <v>#REF!</v>
      </c>
      <c r="H124" s="411">
        <f>'[81]Valued History'!$H$126</f>
        <v>0</v>
      </c>
      <c r="I124" s="411">
        <f>'[81]Valued History'!$I$126</f>
        <v>0</v>
      </c>
      <c r="J124" s="411">
        <f>'[81]Valued History'!$J$126</f>
        <v>0</v>
      </c>
      <c r="K124" s="411">
        <f>'[81]Valued History'!$K$126</f>
        <v>5852144.4900000002</v>
      </c>
      <c r="L124" s="411">
        <f>'[81]Valued History'!$L$126</f>
        <v>39693096.25847251</v>
      </c>
      <c r="M124" s="411">
        <f>'[81]Valued History'!$M$126</f>
        <v>5998167.9532495569</v>
      </c>
      <c r="N124" s="411">
        <f>'[81]Valued History'!$N$126</f>
        <v>33694928.305222951</v>
      </c>
      <c r="O124" s="411">
        <f>'[81]Valued History'!$O$126</f>
        <v>4119732369</v>
      </c>
      <c r="P124" s="681">
        <f>'[81]Valued History'!$P$126</f>
        <v>8.1799999999999998E-3</v>
      </c>
    </row>
    <row r="125" spans="1:16" x14ac:dyDescent="0.25">
      <c r="A125" s="432">
        <f>'[82]Valued History'!A$127</f>
        <v>44409</v>
      </c>
      <c r="B125" s="411">
        <f>'[82]Valued History'!$B$127</f>
        <v>23929290</v>
      </c>
      <c r="C125" s="411">
        <f>'[82]Valued History'!$C$127</f>
        <v>416666.66666666669</v>
      </c>
      <c r="D125" s="411">
        <f>'[82]Valued History'!$D$127</f>
        <v>4314685</v>
      </c>
      <c r="E125" s="411">
        <f>'[82]Valued History'!$E$127</f>
        <v>5170508.8412149353</v>
      </c>
      <c r="F125" s="411">
        <f>'[82]Valued History'!$F$127</f>
        <v>0</v>
      </c>
      <c r="G125" s="411">
        <f>'[82]Valued History'!$G$127</f>
        <v>0</v>
      </c>
      <c r="H125" s="411">
        <f>'[82]Valued History'!$H$127</f>
        <v>0</v>
      </c>
      <c r="I125" s="411">
        <f>'[82]Valued History'!$I$127</f>
        <v>0</v>
      </c>
      <c r="J125" s="411">
        <f>'[82]Valued History'!$J$127</f>
        <v>0</v>
      </c>
      <c r="K125" s="411">
        <f>'[82]Valued History'!$K$127</f>
        <v>5852144.4900000002</v>
      </c>
      <c r="L125" s="411">
        <f>'[82]Valued History'!$L$127</f>
        <v>39683294.997881606</v>
      </c>
      <c r="M125" s="411">
        <f>'[82]Valued History'!$M$127</f>
        <v>6991177.9403704945</v>
      </c>
      <c r="N125" s="411">
        <f>'[82]Valued History'!$N$127</f>
        <v>32692117.057511114</v>
      </c>
      <c r="O125" s="411">
        <f>'[82]Valued History'!$O$127</f>
        <v>4316690250</v>
      </c>
      <c r="P125" s="681">
        <f>'[82]Valued History'!$P$127</f>
        <v>7.5700000000000003E-3</v>
      </c>
    </row>
    <row r="126" spans="1:16" x14ac:dyDescent="0.25">
      <c r="A126" s="432">
        <f>'[83]Valued History'!$A$128</f>
        <v>44440</v>
      </c>
      <c r="B126" s="411">
        <f>'[83]Valued History'!$B$128</f>
        <v>23929290</v>
      </c>
      <c r="C126" s="411">
        <f>'[83]Valued History'!$C$128</f>
        <v>416666.66666666669</v>
      </c>
      <c r="D126" s="411">
        <f>'[83]Valued History'!$D$128</f>
        <v>4318203</v>
      </c>
      <c r="E126" s="411">
        <f>'[83]Valued History'!$E$128</f>
        <v>5278919.9835397992</v>
      </c>
      <c r="F126" s="411">
        <f>'[83]Valued History'!$F$128</f>
        <v>0</v>
      </c>
      <c r="G126" s="411">
        <f>'[83]Valued History'!$G$128</f>
        <v>0</v>
      </c>
      <c r="H126" s="411">
        <f>'[83]Valued History'!$H$128</f>
        <v>0</v>
      </c>
      <c r="I126" s="411">
        <f>'[83]Valued History'!$I$128</f>
        <v>0</v>
      </c>
      <c r="J126" s="411">
        <f>'[83]Valued History'!$J$128</f>
        <v>0</v>
      </c>
      <c r="K126" s="411">
        <f>'[83]Valued History'!$K$128</f>
        <v>5852144.4900000002</v>
      </c>
      <c r="L126" s="411">
        <f>'[83]Valued History'!$L$128</f>
        <v>39795224.140206471</v>
      </c>
      <c r="M126" s="411">
        <f>'[83]Valued History'!$M$128</f>
        <v>2851362.9613164552</v>
      </c>
      <c r="N126" s="411">
        <f>'[83]Valued History'!$N$128</f>
        <v>36943861.17889002</v>
      </c>
      <c r="O126" s="411">
        <f>'[83]Valued History'!$O$128</f>
        <v>3986762526</v>
      </c>
      <c r="P126" s="681">
        <f>'[83]Valued History'!$P$128</f>
        <v>9.2700000000000005E-3</v>
      </c>
    </row>
  </sheetData>
  <mergeCells count="3">
    <mergeCell ref="A1:P1"/>
    <mergeCell ref="A3:P3"/>
    <mergeCell ref="A4:P4"/>
  </mergeCells>
  <pageMargins left="0.75" right="0.75" top="1" bottom="1" header="0.5" footer="0.5"/>
  <pageSetup scale="53" fitToHeight="2" orientation="landscape" r:id="rId1"/>
  <headerFooter alignWithMargins="0"/>
  <rowBreaks count="1" manualBreakCount="1">
    <brk id="69" max="16383" man="1"/>
  </rowBreaks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4">
    <tabColor indexed="44"/>
    <pageSetUpPr fitToPage="1"/>
  </sheetPr>
  <dimension ref="A1:S188"/>
  <sheetViews>
    <sheetView zoomScaleNormal="100" zoomScaleSheetLayoutView="115" workbookViewId="0">
      <pane xSplit="1" ySplit="16" topLeftCell="B22" activePane="bottomRight" state="frozen"/>
      <selection pane="topRight" activeCell="B1" sqref="B1"/>
      <selection pane="bottomLeft" activeCell="A17" sqref="A17"/>
      <selection pane="bottomRight" activeCell="B23" sqref="B23"/>
    </sheetView>
  </sheetViews>
  <sheetFormatPr defaultColWidth="9.1796875" defaultRowHeight="12.5" x14ac:dyDescent="0.25"/>
  <cols>
    <col min="1" max="1" width="10.1796875" style="234" customWidth="1"/>
    <col min="2" max="2" width="15.81640625" style="234" customWidth="1"/>
    <col min="3" max="3" width="13.1796875" style="234" customWidth="1"/>
    <col min="4" max="4" width="14.1796875" style="234" customWidth="1"/>
    <col min="5" max="5" width="13.54296875" style="234" customWidth="1"/>
    <col min="6" max="6" width="13.26953125" style="234" hidden="1" customWidth="1"/>
    <col min="7" max="7" width="10.81640625" style="234" hidden="1" customWidth="1"/>
    <col min="8" max="8" width="13.26953125" style="234" hidden="1" customWidth="1"/>
    <col min="9" max="9" width="12.26953125" style="234" hidden="1" customWidth="1"/>
    <col min="10" max="10" width="7" style="234" hidden="1" customWidth="1"/>
    <col min="11" max="11" width="12.26953125" style="234" bestFit="1" customWidth="1"/>
    <col min="12" max="12" width="14.1796875" style="234" hidden="1" customWidth="1"/>
    <col min="13" max="13" width="8.54296875" style="234" hidden="1" customWidth="1"/>
    <col min="14" max="14" width="18.1796875" style="234" customWidth="1"/>
    <col min="15" max="15" width="14.26953125" style="234" bestFit="1" customWidth="1"/>
    <col min="16" max="16" width="15.26953125" style="234" bestFit="1" customWidth="1"/>
    <col min="17" max="17" width="16.26953125" style="234" bestFit="1" customWidth="1"/>
    <col min="18" max="18" width="12.7265625" style="234" customWidth="1"/>
    <col min="19" max="19" width="33.54296875" style="234" bestFit="1" customWidth="1"/>
    <col min="20" max="20" width="9.1796875" style="234"/>
    <col min="21" max="21" width="10" style="234" bestFit="1" customWidth="1"/>
    <col min="22" max="16384" width="9.1796875" style="234"/>
  </cols>
  <sheetData>
    <row r="1" spans="1:19" ht="13" x14ac:dyDescent="0.3">
      <c r="A1" s="809" t="s">
        <v>212</v>
      </c>
      <c r="B1" s="809"/>
      <c r="C1" s="809"/>
      <c r="D1" s="809"/>
      <c r="E1" s="809"/>
      <c r="F1" s="809"/>
      <c r="G1" s="809"/>
      <c r="H1" s="809"/>
      <c r="I1" s="809"/>
      <c r="J1" s="809"/>
      <c r="K1" s="809"/>
      <c r="L1" s="809"/>
      <c r="M1" s="809"/>
      <c r="N1" s="809"/>
      <c r="O1" s="809"/>
      <c r="P1" s="809"/>
      <c r="Q1" s="810"/>
      <c r="R1" s="810"/>
    </row>
    <row r="3" spans="1:19" ht="13" x14ac:dyDescent="0.3">
      <c r="A3" s="804" t="s">
        <v>417</v>
      </c>
      <c r="B3" s="804"/>
      <c r="C3" s="804"/>
      <c r="D3" s="804"/>
      <c r="E3" s="804"/>
      <c r="F3" s="804"/>
      <c r="G3" s="804"/>
      <c r="H3" s="804"/>
      <c r="I3" s="804"/>
      <c r="J3" s="804"/>
      <c r="K3" s="804"/>
      <c r="L3" s="804"/>
      <c r="M3" s="804"/>
      <c r="N3" s="804"/>
      <c r="O3" s="804"/>
      <c r="P3" s="804"/>
      <c r="Q3" s="810"/>
      <c r="R3" s="810"/>
    </row>
    <row r="4" spans="1:19" ht="13" x14ac:dyDescent="0.3">
      <c r="A4" s="811">
        <f>A12</f>
        <v>44440</v>
      </c>
      <c r="B4" s="811"/>
      <c r="C4" s="811"/>
      <c r="D4" s="811"/>
      <c r="E4" s="811"/>
      <c r="F4" s="811"/>
      <c r="G4" s="811"/>
      <c r="H4" s="811"/>
      <c r="I4" s="811"/>
      <c r="J4" s="811"/>
      <c r="K4" s="811"/>
      <c r="L4" s="811"/>
      <c r="M4" s="811"/>
      <c r="N4" s="811"/>
      <c r="O4" s="811"/>
      <c r="P4" s="811"/>
      <c r="Q4" s="810"/>
      <c r="R4" s="810"/>
    </row>
    <row r="5" spans="1:19" x14ac:dyDescent="0.25">
      <c r="A5" s="395"/>
      <c r="B5" s="396"/>
      <c r="C5" s="396"/>
      <c r="D5" s="396"/>
    </row>
    <row r="6" spans="1:19" ht="13" x14ac:dyDescent="0.3">
      <c r="A6" s="395"/>
      <c r="B6" s="397"/>
      <c r="C6" s="397"/>
      <c r="D6" s="397"/>
      <c r="E6" s="398"/>
      <c r="F6" s="398"/>
      <c r="G6" s="398"/>
      <c r="H6" s="398"/>
      <c r="I6" s="398"/>
      <c r="J6" s="398"/>
      <c r="K6" s="398"/>
      <c r="L6" s="398"/>
      <c r="M6" s="398"/>
    </row>
    <row r="7" spans="1:19" ht="33" customHeight="1" x14ac:dyDescent="0.3">
      <c r="E7" s="385"/>
      <c r="F7" s="385"/>
      <c r="G7" s="385"/>
      <c r="H7" s="385"/>
      <c r="I7" s="385"/>
      <c r="J7" s="385"/>
      <c r="K7" s="385"/>
      <c r="L7" s="661"/>
      <c r="M7" s="661"/>
      <c r="N7" s="386"/>
      <c r="O7" s="399"/>
      <c r="P7" s="399"/>
    </row>
    <row r="8" spans="1:19" ht="52" x14ac:dyDescent="0.3">
      <c r="A8" s="400" t="s">
        <v>367</v>
      </c>
      <c r="B8" s="400" t="s">
        <v>460</v>
      </c>
      <c r="C8" s="400" t="s">
        <v>461</v>
      </c>
      <c r="D8" s="400" t="s">
        <v>462</v>
      </c>
      <c r="E8" s="401" t="s">
        <v>463</v>
      </c>
      <c r="F8" s="400" t="s">
        <v>464</v>
      </c>
      <c r="G8" s="400" t="s">
        <v>465</v>
      </c>
      <c r="H8" s="400" t="s">
        <v>466</v>
      </c>
      <c r="I8" s="400" t="s">
        <v>467</v>
      </c>
      <c r="J8" s="400" t="s">
        <v>468</v>
      </c>
      <c r="K8" s="400" t="s">
        <v>469</v>
      </c>
      <c r="L8" s="400" t="str">
        <f>+'[84]Forecast MAC Total'!$L$8</f>
        <v>Climate Change Implementation Plan</v>
      </c>
      <c r="M8" s="400" t="str">
        <f>+'[84]Forecast MAC Total'!$M$8</f>
        <v>EV Make Ready Program</v>
      </c>
      <c r="N8" s="400" t="s">
        <v>470</v>
      </c>
      <c r="O8" s="400" t="s">
        <v>471</v>
      </c>
      <c r="P8" s="400" t="s">
        <v>472</v>
      </c>
      <c r="Q8" s="402" t="s">
        <v>473</v>
      </c>
      <c r="R8" s="402" t="s">
        <v>474</v>
      </c>
    </row>
    <row r="9" spans="1:19" ht="15" customHeight="1" x14ac:dyDescent="0.3">
      <c r="A9" s="403"/>
      <c r="B9" s="404" t="s">
        <v>475</v>
      </c>
      <c r="C9" s="404" t="s">
        <v>475</v>
      </c>
      <c r="D9" s="404" t="s">
        <v>475</v>
      </c>
      <c r="E9" s="404" t="s">
        <v>475</v>
      </c>
      <c r="F9" s="404" t="s">
        <v>475</v>
      </c>
      <c r="G9" s="404" t="s">
        <v>475</v>
      </c>
      <c r="H9" s="404" t="s">
        <v>475</v>
      </c>
      <c r="I9" s="404" t="s">
        <v>475</v>
      </c>
      <c r="J9" s="404" t="s">
        <v>475</v>
      </c>
      <c r="K9" s="404"/>
      <c r="L9" s="404"/>
      <c r="M9" s="404"/>
      <c r="N9" s="405" t="s">
        <v>572</v>
      </c>
      <c r="O9" s="392"/>
      <c r="P9" s="406" t="s">
        <v>573</v>
      </c>
      <c r="R9" s="407" t="s">
        <v>574</v>
      </c>
    </row>
    <row r="10" spans="1:19" ht="13" x14ac:dyDescent="0.3">
      <c r="A10" s="403"/>
      <c r="B10" s="408" t="str">
        <f>+'[77]Forecast MAC Total'!B10</f>
        <v>(1)</v>
      </c>
      <c r="C10" s="408" t="str">
        <f>+'[77]Forecast MAC Total'!C10</f>
        <v>(2)</v>
      </c>
      <c r="D10" s="408" t="str">
        <f>+'[77]Forecast MAC Total'!D10</f>
        <v>(3)</v>
      </c>
      <c r="E10" s="408" t="str">
        <f>+'[77]Forecast MAC Total'!E10</f>
        <v>(4)</v>
      </c>
      <c r="F10" s="408" t="str">
        <f>+'[77]Forecast MAC Total'!F10</f>
        <v>(5)</v>
      </c>
      <c r="G10" s="409" t="s">
        <v>476</v>
      </c>
      <c r="H10" s="408" t="str">
        <f>+'[77]Forecast MAC Total'!H10</f>
        <v>(6)</v>
      </c>
      <c r="I10" s="408" t="str">
        <f>+'[77]Forecast MAC Total'!I10</f>
        <v>(7)</v>
      </c>
      <c r="J10" s="406" t="s">
        <v>477</v>
      </c>
      <c r="K10" s="408" t="str">
        <f>+'[77]Forecast MAC Total'!K10</f>
        <v>(5)</v>
      </c>
      <c r="L10" s="406"/>
      <c r="M10" s="406"/>
      <c r="N10" s="408" t="str">
        <f>+'[77]Forecast MAC Total'!L10</f>
        <v>(6)</v>
      </c>
      <c r="O10" s="408" t="str">
        <f>+'[77]Forecast MAC Total'!M10</f>
        <v>(7)</v>
      </c>
      <c r="P10" s="408" t="str">
        <f>+'[77]Forecast MAC Total'!N10</f>
        <v>(8)</v>
      </c>
      <c r="Q10" s="408" t="str">
        <f>+'[77]Forecast MAC Total'!O10</f>
        <v>(9)</v>
      </c>
      <c r="R10" s="408" t="str">
        <f>+'[77]Forecast MAC Total'!P10</f>
        <v>(10)</v>
      </c>
    </row>
    <row r="11" spans="1:19" x14ac:dyDescent="0.25">
      <c r="B11" s="352"/>
      <c r="C11" s="352"/>
      <c r="D11" s="352"/>
      <c r="E11" s="352"/>
    </row>
    <row r="12" spans="1:19" x14ac:dyDescent="0.25">
      <c r="A12" s="410">
        <f>'[83]Forecast MAC Total'!$A$12</f>
        <v>44440</v>
      </c>
      <c r="B12" s="411">
        <f>'[83]Forecast MAC Total'!$B$12</f>
        <v>23929290</v>
      </c>
      <c r="C12" s="411">
        <f>'[83]Forecast MAC Total'!$C$12</f>
        <v>416666.66666666669</v>
      </c>
      <c r="D12" s="411">
        <f>'[83]Forecast MAC Total'!$D$12</f>
        <v>4318203</v>
      </c>
      <c r="E12" s="411">
        <f>'[83]Forecast MAC Total'!$E$12</f>
        <v>5278919.9835397992</v>
      </c>
      <c r="F12" s="411">
        <f>'[80]Forecast MAC Total'!F$12</f>
        <v>0</v>
      </c>
      <c r="G12" s="411">
        <f>'[80]Forecast MAC Total'!G$12</f>
        <v>0</v>
      </c>
      <c r="H12" s="411">
        <f>'[80]Forecast MAC Total'!H$12</f>
        <v>0</v>
      </c>
      <c r="I12" s="411">
        <f>'[80]Forecast MAC Total'!I$12</f>
        <v>0</v>
      </c>
      <c r="J12" s="411">
        <f>'[80]Forecast MAC Total'!J$12</f>
        <v>0</v>
      </c>
      <c r="K12" s="411">
        <f>'[83]Forecast MAC Total'!$K$12</f>
        <v>5852144.4900000002</v>
      </c>
      <c r="L12" s="411"/>
      <c r="M12" s="411"/>
      <c r="N12" s="396">
        <f>+B12+C12+D12+E12+K12</f>
        <v>39795224.140206471</v>
      </c>
      <c r="O12" s="411">
        <f>'[83]Forecast MAC Total'!$M$12</f>
        <v>2851362.9613164552</v>
      </c>
      <c r="P12" s="412">
        <f>N12-O12</f>
        <v>36943861.17889002</v>
      </c>
      <c r="Q12" s="411">
        <f>'[83]Forecast MAC Total'!$O$12</f>
        <v>3986762526</v>
      </c>
      <c r="R12" s="413">
        <f>ROUND(P12/Q12,5)</f>
        <v>9.2700000000000005E-3</v>
      </c>
      <c r="S12" s="570"/>
    </row>
    <row r="13" spans="1:19" x14ac:dyDescent="0.25">
      <c r="A13" s="410"/>
      <c r="B13" s="410"/>
      <c r="C13" s="410"/>
      <c r="D13" s="410"/>
      <c r="E13" s="410"/>
      <c r="F13" s="410"/>
      <c r="G13" s="410"/>
      <c r="H13" s="410"/>
      <c r="I13" s="410"/>
      <c r="J13" s="410"/>
      <c r="K13" s="410"/>
      <c r="L13" s="410"/>
      <c r="M13" s="410"/>
      <c r="N13" s="410"/>
      <c r="O13" s="410"/>
      <c r="P13" s="410"/>
      <c r="Q13" s="410"/>
      <c r="R13" s="410"/>
      <c r="S13" s="570"/>
    </row>
    <row r="14" spans="1:19" x14ac:dyDescent="0.25">
      <c r="A14" s="410"/>
      <c r="B14" s="411"/>
      <c r="C14" s="411"/>
      <c r="D14" s="411"/>
      <c r="E14" s="411"/>
      <c r="F14" s="411"/>
      <c r="G14" s="411"/>
      <c r="H14" s="411"/>
      <c r="I14" s="411"/>
      <c r="J14" s="389"/>
      <c r="K14" s="411"/>
      <c r="L14" s="411"/>
      <c r="M14" s="411"/>
      <c r="N14" s="396"/>
      <c r="O14" s="411"/>
      <c r="P14" s="412"/>
      <c r="Q14" s="411"/>
      <c r="R14" s="457"/>
      <c r="S14" s="570"/>
    </row>
    <row r="15" spans="1:19" x14ac:dyDescent="0.25">
      <c r="A15" s="410"/>
      <c r="B15" s="411"/>
      <c r="C15" s="411"/>
      <c r="D15" s="411"/>
      <c r="E15" s="411"/>
      <c r="F15" s="411"/>
      <c r="G15" s="389"/>
      <c r="H15" s="389"/>
      <c r="I15" s="411"/>
      <c r="J15" s="389"/>
      <c r="K15" s="411"/>
      <c r="L15" s="411"/>
      <c r="M15" s="411"/>
      <c r="N15" s="396"/>
      <c r="O15" s="411"/>
      <c r="P15" s="412"/>
      <c r="Q15" s="411"/>
      <c r="R15" s="457"/>
      <c r="S15" s="570"/>
    </row>
    <row r="16" spans="1:19" ht="21.5" x14ac:dyDescent="0.45">
      <c r="A16" s="410"/>
      <c r="B16" s="812" t="s">
        <v>575</v>
      </c>
      <c r="C16" s="812"/>
      <c r="D16" s="812"/>
      <c r="E16" s="812"/>
      <c r="F16" s="812"/>
      <c r="G16" s="812"/>
      <c r="H16" s="812"/>
      <c r="I16" s="812"/>
      <c r="J16" s="812"/>
      <c r="K16" s="812"/>
      <c r="L16" s="812"/>
      <c r="M16" s="812"/>
      <c r="N16" s="812"/>
      <c r="O16" s="812"/>
      <c r="P16" s="812"/>
      <c r="Q16" s="812"/>
      <c r="R16" s="457"/>
      <c r="S16" s="570"/>
    </row>
    <row r="17" spans="1:19" x14ac:dyDescent="0.25">
      <c r="A17" s="410"/>
      <c r="B17" s="411"/>
      <c r="C17" s="411"/>
      <c r="D17" s="411"/>
      <c r="E17" s="411"/>
      <c r="F17" s="411"/>
      <c r="G17" s="389"/>
      <c r="H17" s="389"/>
      <c r="I17" s="411"/>
      <c r="J17" s="389"/>
      <c r="K17" s="411"/>
      <c r="L17" s="411"/>
      <c r="M17" s="411"/>
      <c r="N17" s="396"/>
      <c r="O17" s="411"/>
      <c r="P17" s="412"/>
      <c r="Q17" s="411"/>
      <c r="R17" s="457"/>
      <c r="S17" s="570"/>
    </row>
    <row r="18" spans="1:19" x14ac:dyDescent="0.25">
      <c r="A18" s="762">
        <f>'[79]Forecast MAC Total'!$A$12</f>
        <v>44317</v>
      </c>
      <c r="B18" s="411">
        <f>'[79]Forecast MAC Total'!$B$12</f>
        <v>16522605</v>
      </c>
      <c r="C18" s="411">
        <f>'[79]Forecast MAC Total'!$C$12</f>
        <v>416666.66666666669</v>
      </c>
      <c r="D18" s="411">
        <f>'[79]Forecast MAC Total'!$D$12</f>
        <v>4280057</v>
      </c>
      <c r="E18" s="411">
        <f>'[79]Forecast MAC Total'!$E$12</f>
        <v>5204851.3686527889</v>
      </c>
      <c r="F18" s="411">
        <f>+F12</f>
        <v>0</v>
      </c>
      <c r="G18" s="411">
        <f>+G12</f>
        <v>0</v>
      </c>
      <c r="H18" s="411">
        <f>+H12</f>
        <v>0</v>
      </c>
      <c r="I18" s="411">
        <f>+I12</f>
        <v>0</v>
      </c>
      <c r="J18" s="411">
        <f>+J12</f>
        <v>0</v>
      </c>
      <c r="K18" s="411">
        <f>'[79]Forecast MAC Total'!$K$12</f>
        <v>3251568.8</v>
      </c>
      <c r="L18" s="411"/>
      <c r="M18" s="411"/>
      <c r="N18" s="396">
        <f t="shared" ref="N18:N19" si="0">+B18+C18+D18+E18+K18</f>
        <v>29675748.835319456</v>
      </c>
      <c r="O18" s="411">
        <f>'[79]Forecast MAC Total'!$M$12</f>
        <v>1806183.4112213366</v>
      </c>
      <c r="P18" s="412">
        <f t="shared" ref="P18:P23" si="1">N18-O18</f>
        <v>27869565.424098119</v>
      </c>
      <c r="Q18" s="411">
        <f>'[79]Forecast MAC Total'!$O$12</f>
        <v>2754778878</v>
      </c>
      <c r="R18" s="413">
        <f t="shared" ref="R18:R19" si="2">ROUND(P18/Q18,5)</f>
        <v>1.0120000000000001E-2</v>
      </c>
      <c r="S18" s="666" t="s">
        <v>637</v>
      </c>
    </row>
    <row r="19" spans="1:19" x14ac:dyDescent="0.25">
      <c r="A19" s="762">
        <f>'[80]Forecast MAC Total'!$A$12</f>
        <v>44348</v>
      </c>
      <c r="B19" s="411">
        <f>'[80]Forecast MAC Total'!$B$12</f>
        <v>23929290</v>
      </c>
      <c r="C19" s="411">
        <f>'[80]Forecast MAC Total'!$C$12</f>
        <v>416666.66666666669</v>
      </c>
      <c r="D19" s="411">
        <f>'[80]Forecast MAC Total'!$D$12</f>
        <v>4282107</v>
      </c>
      <c r="E19" s="411">
        <f>'[80]Forecast MAC Total'!$E$12</f>
        <v>5191539.1080618836</v>
      </c>
      <c r="F19" s="411">
        <f>+'[79]Forecast MAC Total'!F19</f>
        <v>0</v>
      </c>
      <c r="G19" s="411">
        <f>+'[79]Forecast MAC Total'!G19</f>
        <v>0</v>
      </c>
      <c r="H19" s="411">
        <f>+'[79]Forecast MAC Total'!H19</f>
        <v>0</v>
      </c>
      <c r="I19" s="411">
        <f>+'[79]Forecast MAC Total'!I19</f>
        <v>0</v>
      </c>
      <c r="J19" s="411">
        <f>+'[79]Forecast MAC Total'!J19</f>
        <v>0</v>
      </c>
      <c r="K19" s="411">
        <f>'[80]Forecast MAC Total'!$K$12</f>
        <v>5852144.4900000002</v>
      </c>
      <c r="L19" s="411"/>
      <c r="M19" s="411"/>
      <c r="N19" s="396">
        <f t="shared" si="0"/>
        <v>39671747.264728554</v>
      </c>
      <c r="O19" s="411">
        <f>'[80]Forecast MAC Total'!$M$12</f>
        <v>2119337.9398259707</v>
      </c>
      <c r="P19" s="412">
        <f t="shared" si="1"/>
        <v>37552409.324902579</v>
      </c>
      <c r="Q19" s="411">
        <f>'[80]Forecast MAC Total'!$O$12</f>
        <v>3353789526</v>
      </c>
      <c r="R19" s="413">
        <f t="shared" si="2"/>
        <v>1.12E-2</v>
      </c>
      <c r="S19" s="666" t="s">
        <v>637</v>
      </c>
    </row>
    <row r="20" spans="1:19" x14ac:dyDescent="0.25">
      <c r="A20" s="762">
        <f>'[85]Forecast MAC Total'!$A$12</f>
        <v>44378</v>
      </c>
      <c r="B20" s="411">
        <f>'[85]Forecast MAC Total'!$B$12</f>
        <v>23929290</v>
      </c>
      <c r="C20" s="411">
        <f>'[85]Forecast MAC Total'!$C$12</f>
        <v>416666.66666666669</v>
      </c>
      <c r="D20" s="411">
        <f>'[85]Forecast MAC Total'!$D$12</f>
        <v>4311174</v>
      </c>
      <c r="E20" s="411">
        <f>'[85]Forecast MAC Total'!$E$12</f>
        <v>5183821.1018058425</v>
      </c>
      <c r="F20" s="411">
        <v>0</v>
      </c>
      <c r="G20" s="411">
        <v>0</v>
      </c>
      <c r="H20" s="411">
        <v>0</v>
      </c>
      <c r="I20" s="411">
        <v>0</v>
      </c>
      <c r="J20" s="411">
        <v>0</v>
      </c>
      <c r="K20" s="411">
        <f>'[85]Forecast MAC Total'!$K$12</f>
        <v>5852144.4900000002</v>
      </c>
      <c r="L20" s="411"/>
      <c r="M20" s="411"/>
      <c r="N20" s="396">
        <f>+B20+C20+D20+E20+K20</f>
        <v>39693096.25847251</v>
      </c>
      <c r="O20" s="411">
        <f>'[85]Forecast MAC Total'!$M$12</f>
        <v>5998167.9532495569</v>
      </c>
      <c r="P20" s="412">
        <f t="shared" si="1"/>
        <v>33694928.305222951</v>
      </c>
      <c r="Q20" s="411">
        <f>'[85]Forecast MAC Total'!$O$12</f>
        <v>4119732369</v>
      </c>
      <c r="R20" s="413">
        <v>8.1799999999999998E-3</v>
      </c>
      <c r="S20" s="666" t="s">
        <v>637</v>
      </c>
    </row>
    <row r="21" spans="1:19" x14ac:dyDescent="0.25">
      <c r="A21" s="762">
        <f>'[82]Forecast MAC Total'!$A$12</f>
        <v>44409</v>
      </c>
      <c r="B21" s="411">
        <f>'[82]Forecast MAC Total'!$B$12</f>
        <v>23929290</v>
      </c>
      <c r="C21" s="411">
        <f>'[82]Forecast MAC Total'!$C$12</f>
        <v>416666.66666666669</v>
      </c>
      <c r="D21" s="411">
        <f>'[82]Forecast MAC Total'!$D$12</f>
        <v>4314685</v>
      </c>
      <c r="E21" s="411">
        <f>'[82]Forecast MAC Total'!$E$12</f>
        <v>5170508.8412149353</v>
      </c>
      <c r="F21" s="411">
        <f t="shared" ref="F21:J21" si="3">F12</f>
        <v>0</v>
      </c>
      <c r="G21" s="411">
        <f t="shared" si="3"/>
        <v>0</v>
      </c>
      <c r="H21" s="411">
        <f t="shared" si="3"/>
        <v>0</v>
      </c>
      <c r="I21" s="411">
        <f t="shared" si="3"/>
        <v>0</v>
      </c>
      <c r="J21" s="411">
        <f t="shared" si="3"/>
        <v>0</v>
      </c>
      <c r="K21" s="411">
        <f>'[82]Forecast MAC Total'!$K$12</f>
        <v>5852144.4900000002</v>
      </c>
      <c r="L21" s="411"/>
      <c r="M21" s="411"/>
      <c r="N21" s="396">
        <f>+B21+C21+D21+E21+K21</f>
        <v>39683294.997881606</v>
      </c>
      <c r="O21" s="411">
        <f>'[82]Forecast MAC Total'!$M$12</f>
        <v>6991177.9403704945</v>
      </c>
      <c r="P21" s="412">
        <f>N21-O21</f>
        <v>32692117.057511114</v>
      </c>
      <c r="Q21" s="411">
        <f>'[82]Forecast MAC Total'!$O$12</f>
        <v>4316690250</v>
      </c>
      <c r="R21" s="413">
        <f t="shared" ref="R21:R23" si="4">ROUND(P21/Q21,5)</f>
        <v>7.5700000000000003E-3</v>
      </c>
      <c r="S21" s="666" t="s">
        <v>637</v>
      </c>
    </row>
    <row r="22" spans="1:19" x14ac:dyDescent="0.25">
      <c r="A22" s="762">
        <v>44440</v>
      </c>
      <c r="B22" s="411">
        <f>'[83]Forecast MAC Total'!$B$12</f>
        <v>23929290</v>
      </c>
      <c r="C22" s="411">
        <f>'[83]Forecast MAC Total'!$C$12</f>
        <v>416666.66666666669</v>
      </c>
      <c r="D22" s="411">
        <f>'[83]Forecast MAC Total'!$D$12</f>
        <v>4318203</v>
      </c>
      <c r="E22" s="411">
        <f>'[83]Forecast MAC Total'!$E$12</f>
        <v>5278919.9835397992</v>
      </c>
      <c r="F22" s="411">
        <f>+'[79]Forecast MAC Total'!F22</f>
        <v>0</v>
      </c>
      <c r="G22" s="411">
        <f>+'[79]Forecast MAC Total'!G22</f>
        <v>0</v>
      </c>
      <c r="H22" s="411">
        <f>+'[79]Forecast MAC Total'!H22</f>
        <v>0</v>
      </c>
      <c r="I22" s="411">
        <f>+'[79]Forecast MAC Total'!I22</f>
        <v>0</v>
      </c>
      <c r="J22" s="411">
        <f>+'[79]Forecast MAC Total'!J22</f>
        <v>0</v>
      </c>
      <c r="K22" s="411">
        <f>'[83]Forecast MAC Total'!$K$12</f>
        <v>5852144.4900000002</v>
      </c>
      <c r="L22" s="411"/>
      <c r="M22" s="411"/>
      <c r="N22" s="396">
        <f t="shared" ref="N22:N23" si="5">+B22+C22+D22+E22+K22</f>
        <v>39795224.140206471</v>
      </c>
      <c r="O22" s="411">
        <f>'[83]Forecast MAC Total'!$M$12</f>
        <v>2851362.9613164552</v>
      </c>
      <c r="P22" s="412">
        <f t="shared" si="1"/>
        <v>36943861.17889002</v>
      </c>
      <c r="Q22" s="411">
        <f>'[83]Forecast MAC Total'!$O$12</f>
        <v>3986762526</v>
      </c>
      <c r="R22" s="413">
        <f t="shared" si="4"/>
        <v>9.2700000000000005E-3</v>
      </c>
      <c r="S22" s="666" t="s">
        <v>637</v>
      </c>
    </row>
    <row r="23" spans="1:19" x14ac:dyDescent="0.25">
      <c r="A23" s="763">
        <v>44470</v>
      </c>
      <c r="B23" s="411">
        <f>'[86]2021'!$K$10</f>
        <v>16522605</v>
      </c>
      <c r="C23" s="411">
        <f>'[86]2021'!$K$9</f>
        <v>416666.66666666669</v>
      </c>
      <c r="D23" s="411">
        <f>[87]Current!$GJ$64*1000</f>
        <v>4321727</v>
      </c>
      <c r="E23" s="411">
        <f>'[86]2021'!$K$8</f>
        <v>5265461.1382669527</v>
      </c>
      <c r="F23" s="411">
        <f t="shared" ref="F23:J23" si="6">F12</f>
        <v>0</v>
      </c>
      <c r="G23" s="411">
        <f t="shared" si="6"/>
        <v>0</v>
      </c>
      <c r="H23" s="411">
        <f t="shared" si="6"/>
        <v>0</v>
      </c>
      <c r="I23" s="411">
        <f t="shared" si="6"/>
        <v>0</v>
      </c>
      <c r="J23" s="411">
        <f t="shared" si="6"/>
        <v>0</v>
      </c>
      <c r="K23" s="411">
        <f>'[88]Electric Schedule'!$CE$18</f>
        <v>2681918.2400000002</v>
      </c>
      <c r="L23" s="411"/>
      <c r="M23" s="411"/>
      <c r="N23" s="396">
        <f t="shared" si="5"/>
        <v>29208378.044933625</v>
      </c>
      <c r="O23" s="411">
        <f>[89]Summary!$T$54</f>
        <v>3566188.0325377621</v>
      </c>
      <c r="P23" s="412">
        <f t="shared" si="1"/>
        <v>25642190.012395862</v>
      </c>
      <c r="Q23" s="411">
        <f>+'Adj Sales Forecast'!G48</f>
        <v>3357712253</v>
      </c>
      <c r="R23" s="413">
        <f t="shared" si="4"/>
        <v>7.6400000000000001E-3</v>
      </c>
      <c r="S23" s="764" t="s">
        <v>620</v>
      </c>
    </row>
    <row r="24" spans="1:19" x14ac:dyDescent="0.25">
      <c r="A24" s="733">
        <v>44501</v>
      </c>
      <c r="B24" s="411">
        <f>'[86]2021'!$L$10</f>
        <v>16522605</v>
      </c>
      <c r="C24" s="411">
        <f>'[86]2021'!$L$9</f>
        <v>416666.66666666669</v>
      </c>
      <c r="D24" s="411">
        <f>[87]Current!$GK$64*1000</f>
        <v>4325258</v>
      </c>
      <c r="E24" s="411">
        <f>'[86]2021'!$L$8</f>
        <v>5252003.3553770231</v>
      </c>
      <c r="F24" s="411">
        <f>+'[79]Forecast MAC Total'!F24</f>
        <v>0</v>
      </c>
      <c r="G24" s="411">
        <f>+'[79]Forecast MAC Total'!G24</f>
        <v>0</v>
      </c>
      <c r="H24" s="411">
        <f>+'[79]Forecast MAC Total'!H24</f>
        <v>0</v>
      </c>
      <c r="I24" s="411">
        <f>+'[79]Forecast MAC Total'!I24</f>
        <v>0</v>
      </c>
      <c r="J24" s="411">
        <f>+'[79]Forecast MAC Total'!J24</f>
        <v>0</v>
      </c>
      <c r="K24" s="687">
        <f>'[90]Electric Schedule'!$CE$19</f>
        <v>2681918.2400000002</v>
      </c>
      <c r="L24" s="411"/>
      <c r="M24" s="411"/>
      <c r="N24" s="396">
        <f t="shared" ref="N24:N27" si="7">+B24+C24+D24+E24+K24</f>
        <v>29198451.262043692</v>
      </c>
      <c r="O24" s="411">
        <f>[89]Summary!$T$55</f>
        <v>101061.63384623826</v>
      </c>
      <c r="P24" s="412">
        <f t="shared" ref="P24:P27" si="8">N24-O24</f>
        <v>29097389.628197454</v>
      </c>
      <c r="Q24" s="411">
        <f>+'Adj Sales Forecast'!P48</f>
        <v>3024811271</v>
      </c>
      <c r="R24" s="413">
        <f t="shared" ref="R24:R27" si="9">ROUND(P24/Q24,5)</f>
        <v>9.6200000000000001E-3</v>
      </c>
      <c r="S24" s="765" t="s">
        <v>620</v>
      </c>
    </row>
    <row r="25" spans="1:19" x14ac:dyDescent="0.25">
      <c r="A25" s="733">
        <v>44531</v>
      </c>
      <c r="B25" s="411">
        <f>'[86]2021'!$M$10</f>
        <v>16522605</v>
      </c>
      <c r="C25" s="411">
        <f>'[86]2021'!$M$9</f>
        <v>416666.66666666669</v>
      </c>
      <c r="D25" s="411">
        <f>[87]Current!$GL$64*1000</f>
        <v>4328794</v>
      </c>
      <c r="E25" s="411">
        <f>'[86]2021'!$M$8</f>
        <v>5238546.6348699294</v>
      </c>
      <c r="F25" s="411">
        <f>+'[79]Forecast MAC Total'!F25</f>
        <v>0</v>
      </c>
      <c r="G25" s="411">
        <f>+'[79]Forecast MAC Total'!G25</f>
        <v>0</v>
      </c>
      <c r="H25" s="411">
        <f>+'[79]Forecast MAC Total'!H25</f>
        <v>0</v>
      </c>
      <c r="I25" s="411">
        <f>+'[79]Forecast MAC Total'!I25</f>
        <v>0</v>
      </c>
      <c r="J25" s="411">
        <f>+'[79]Forecast MAC Total'!J25</f>
        <v>0</v>
      </c>
      <c r="K25" s="687">
        <f>'[90]Electric Schedule'!$CE$20</f>
        <v>2616147.19</v>
      </c>
      <c r="L25" s="411"/>
      <c r="M25" s="411"/>
      <c r="N25" s="396">
        <f t="shared" si="7"/>
        <v>29122759.491536599</v>
      </c>
      <c r="O25" s="411">
        <f>[89]Summary!$T$56</f>
        <v>7281110.8872864693</v>
      </c>
      <c r="P25" s="412">
        <f t="shared" si="8"/>
        <v>21841648.604250129</v>
      </c>
      <c r="Q25" s="411">
        <f>+'Adj Sales Forecast'!Q48</f>
        <v>3278856570</v>
      </c>
      <c r="R25" s="413">
        <f t="shared" si="9"/>
        <v>6.6600000000000001E-3</v>
      </c>
      <c r="S25" s="765" t="s">
        <v>620</v>
      </c>
    </row>
    <row r="26" spans="1:19" x14ac:dyDescent="0.25">
      <c r="A26" s="733">
        <v>44562</v>
      </c>
      <c r="B26" s="411">
        <f>'[86]2022'!$B$10</f>
        <v>16781140</v>
      </c>
      <c r="C26" s="411">
        <f>'[86]2022'!$B$9</f>
        <v>416666.66666666669</v>
      </c>
      <c r="D26" s="411">
        <f>[87]Current!$GM$64*1000</f>
        <v>4332545</v>
      </c>
      <c r="E26" s="411">
        <f>'[86]2022'!$B$8</f>
        <v>5243734.4411730021</v>
      </c>
      <c r="F26" s="411">
        <f>+'[79]Forecast MAC Total'!F26</f>
        <v>0</v>
      </c>
      <c r="G26" s="411">
        <f>+'[79]Forecast MAC Total'!G26</f>
        <v>0</v>
      </c>
      <c r="H26" s="411">
        <f>+'[79]Forecast MAC Total'!H26</f>
        <v>0</v>
      </c>
      <c r="I26" s="411">
        <f>+'[79]Forecast MAC Total'!I26</f>
        <v>0</v>
      </c>
      <c r="J26" s="411">
        <f>+'[79]Forecast MAC Total'!J26</f>
        <v>0</v>
      </c>
      <c r="K26" s="687">
        <f>'[90]Electric Schedule'!$CE$21</f>
        <v>2600575.69</v>
      </c>
      <c r="L26" s="411"/>
      <c r="M26" s="411"/>
      <c r="N26" s="396">
        <f t="shared" si="7"/>
        <v>29374661.797839671</v>
      </c>
      <c r="O26" s="411">
        <f>[89]Summary!$T$60</f>
        <v>19931248.551120743</v>
      </c>
      <c r="P26" s="412">
        <f t="shared" si="8"/>
        <v>9443413.2467189282</v>
      </c>
      <c r="Q26" s="411">
        <f>+'Adj Sales Forecast'!R48</f>
        <v>3424929809</v>
      </c>
      <c r="R26" s="413">
        <f t="shared" si="9"/>
        <v>2.7599999999999999E-3</v>
      </c>
      <c r="S26" s="765" t="s">
        <v>620</v>
      </c>
    </row>
    <row r="27" spans="1:19" x14ac:dyDescent="0.25">
      <c r="A27" s="733">
        <v>44593</v>
      </c>
      <c r="B27" s="411">
        <f>'[86]2022'!$C$10</f>
        <v>16264070</v>
      </c>
      <c r="C27" s="411">
        <f>'[86]2022'!$C$9</f>
        <v>416666.66666666669</v>
      </c>
      <c r="D27" s="411">
        <f>[87]Current!$GN$64*1000</f>
        <v>4336303</v>
      </c>
      <c r="E27" s="411">
        <f>'[86]2022'!$C$8</f>
        <v>5230279.8454316612</v>
      </c>
      <c r="F27" s="411">
        <f>+'[79]Forecast MAC Total'!F27</f>
        <v>0</v>
      </c>
      <c r="G27" s="411">
        <f>+'[79]Forecast MAC Total'!G27</f>
        <v>0</v>
      </c>
      <c r="H27" s="411">
        <f>+'[79]Forecast MAC Total'!H27</f>
        <v>0</v>
      </c>
      <c r="I27" s="411">
        <f>+'[79]Forecast MAC Total'!I27</f>
        <v>0</v>
      </c>
      <c r="J27" s="411">
        <f>+'[79]Forecast MAC Total'!J27</f>
        <v>0</v>
      </c>
      <c r="K27" s="687">
        <f>'[90]Electric Schedule'!$CE$22</f>
        <v>2600575.69</v>
      </c>
      <c r="L27" s="411"/>
      <c r="M27" s="411"/>
      <c r="N27" s="396">
        <f t="shared" si="7"/>
        <v>28847895.202098329</v>
      </c>
      <c r="O27" s="411">
        <f>[89]Summary!$T$61</f>
        <v>16230172.452957571</v>
      </c>
      <c r="P27" s="412">
        <f t="shared" si="8"/>
        <v>12617722.749140758</v>
      </c>
      <c r="Q27" s="411">
        <f>+'Adj Sales Forecast'!S48</f>
        <v>3340914864</v>
      </c>
      <c r="R27" s="413">
        <f t="shared" si="9"/>
        <v>3.7799999999999999E-3</v>
      </c>
      <c r="S27" s="765" t="s">
        <v>620</v>
      </c>
    </row>
    <row r="28" spans="1:19" x14ac:dyDescent="0.25">
      <c r="A28" s="733">
        <v>44621</v>
      </c>
      <c r="B28" s="411">
        <f>'[86]2022'!$D$10</f>
        <v>16522605</v>
      </c>
      <c r="C28" s="411">
        <f>'[86]2022'!$D$9</f>
        <v>416666.66666666669</v>
      </c>
      <c r="D28" s="411">
        <f>[87]Current!$GO$64*1000</f>
        <v>4340068</v>
      </c>
      <c r="E28" s="411">
        <f>'[86]2022'!$D$8</f>
        <v>5216826.3120732345</v>
      </c>
      <c r="F28" s="411">
        <f>+'[79]Forecast MAC Total'!F28</f>
        <v>0</v>
      </c>
      <c r="G28" s="411">
        <f>+'[79]Forecast MAC Total'!G28</f>
        <v>0</v>
      </c>
      <c r="H28" s="411">
        <f>+'[79]Forecast MAC Total'!H28</f>
        <v>0</v>
      </c>
      <c r="I28" s="411">
        <f>+'[79]Forecast MAC Total'!I28</f>
        <v>0</v>
      </c>
      <c r="J28" s="411">
        <f>+'[79]Forecast MAC Total'!J28</f>
        <v>0</v>
      </c>
      <c r="K28" s="687">
        <f>'[90]Electric Schedule'!$CE$23</f>
        <v>2600575.69</v>
      </c>
      <c r="L28" s="411"/>
      <c r="M28" s="411"/>
      <c r="N28" s="396">
        <f t="shared" ref="N28:N29" si="10">+B28+C28+D28+E28+K28</f>
        <v>29096741.668739904</v>
      </c>
      <c r="O28" s="411">
        <f>[89]Summary!$T$62</f>
        <v>3253026.4129627161</v>
      </c>
      <c r="P28" s="412">
        <f t="shared" ref="P28:P29" si="11">N28-O28</f>
        <v>25843715.255777188</v>
      </c>
      <c r="Q28" s="411">
        <f>+'Adj Sales Forecast'!T48</f>
        <v>3177797009</v>
      </c>
      <c r="R28" s="413">
        <f t="shared" ref="R28:R29" si="12">ROUND(P28/Q28,5)</f>
        <v>8.1300000000000001E-3</v>
      </c>
      <c r="S28" s="765" t="s">
        <v>620</v>
      </c>
    </row>
    <row r="29" spans="1:19" x14ac:dyDescent="0.25">
      <c r="A29" s="733">
        <v>44652</v>
      </c>
      <c r="B29" s="411">
        <f>'[86]2022'!$E$10</f>
        <v>16522605</v>
      </c>
      <c r="C29" s="411">
        <f>'[86]2022'!$E$9</f>
        <v>416666.66666666669</v>
      </c>
      <c r="D29" s="411">
        <f>[87]Current!$GP$64*1000</f>
        <v>4343840</v>
      </c>
      <c r="E29" s="411">
        <f>'[86]2022'!$E$8</f>
        <v>5203373.8410976464</v>
      </c>
      <c r="F29" s="411">
        <f>+'[79]Forecast MAC Total'!F29</f>
        <v>0</v>
      </c>
      <c r="G29" s="411">
        <f>+'[79]Forecast MAC Total'!G29</f>
        <v>0</v>
      </c>
      <c r="H29" s="411">
        <f>+'[79]Forecast MAC Total'!H29</f>
        <v>0</v>
      </c>
      <c r="I29" s="411">
        <f>+'[79]Forecast MAC Total'!I29</f>
        <v>0</v>
      </c>
      <c r="J29" s="411">
        <f>+'[79]Forecast MAC Total'!J29</f>
        <v>0</v>
      </c>
      <c r="K29" s="687">
        <f>'[90]Electric Schedule'!$CE$24</f>
        <v>2600575.6399999997</v>
      </c>
      <c r="L29" s="411"/>
      <c r="M29" s="411"/>
      <c r="N29" s="396">
        <f t="shared" si="10"/>
        <v>29087061.147764314</v>
      </c>
      <c r="O29" s="411">
        <f>[89]Summary!$T$63</f>
        <v>-2735649.8204298262</v>
      </c>
      <c r="P29" s="412">
        <f t="shared" si="11"/>
        <v>31822710.968194142</v>
      </c>
      <c r="Q29" s="411">
        <f>+'Adj Sales Forecast'!U48</f>
        <v>2973789078</v>
      </c>
      <c r="R29" s="413">
        <f t="shared" si="12"/>
        <v>1.0699999999999999E-2</v>
      </c>
      <c r="S29" s="765" t="s">
        <v>620</v>
      </c>
    </row>
    <row r="30" spans="1:19" x14ac:dyDescent="0.25">
      <c r="A30" s="410"/>
      <c r="B30" s="396"/>
      <c r="C30" s="396"/>
      <c r="D30" s="396"/>
      <c r="E30" s="396"/>
      <c r="F30" s="389"/>
      <c r="G30" s="389"/>
      <c r="H30" s="389"/>
      <c r="I30" s="389"/>
      <c r="J30" s="389"/>
      <c r="K30" s="389"/>
      <c r="L30" s="389"/>
      <c r="M30" s="389"/>
      <c r="N30" s="396"/>
      <c r="O30" s="412"/>
      <c r="P30" s="412"/>
    </row>
    <row r="31" spans="1:19" x14ac:dyDescent="0.25">
      <c r="A31" s="410"/>
      <c r="B31" s="396"/>
      <c r="C31" s="396"/>
      <c r="D31" s="411"/>
      <c r="E31" s="396"/>
      <c r="F31" s="389"/>
      <c r="G31" s="389"/>
      <c r="H31" s="389"/>
      <c r="I31" s="389"/>
      <c r="J31" s="389"/>
      <c r="K31" s="389"/>
      <c r="L31" s="389"/>
      <c r="M31" s="389"/>
      <c r="N31" s="396"/>
      <c r="O31" s="412"/>
      <c r="P31" s="412"/>
    </row>
    <row r="32" spans="1:19" x14ac:dyDescent="0.25">
      <c r="A32" s="410"/>
      <c r="B32" s="396"/>
      <c r="C32" s="396"/>
      <c r="D32" s="396"/>
      <c r="E32" s="396"/>
      <c r="F32" s="389"/>
      <c r="G32" s="389"/>
      <c r="H32" s="389"/>
      <c r="I32" s="389"/>
      <c r="J32" s="389"/>
      <c r="K32" s="389"/>
      <c r="L32" s="389"/>
      <c r="M32" s="389"/>
      <c r="N32" s="396"/>
      <c r="O32" s="412"/>
      <c r="P32" s="412"/>
    </row>
    <row r="33" spans="1:16" x14ac:dyDescent="0.25">
      <c r="A33" s="410"/>
      <c r="B33" s="396"/>
      <c r="C33" s="396"/>
      <c r="D33" s="396"/>
      <c r="E33" s="396"/>
      <c r="F33" s="389"/>
      <c r="G33" s="389"/>
      <c r="H33" s="389"/>
      <c r="I33" s="389"/>
      <c r="J33" s="389"/>
      <c r="K33" s="389"/>
      <c r="L33" s="389"/>
      <c r="M33" s="389"/>
      <c r="N33" s="396"/>
      <c r="O33" s="412"/>
      <c r="P33" s="412"/>
    </row>
    <row r="34" spans="1:16" x14ac:dyDescent="0.25">
      <c r="A34" s="410"/>
      <c r="B34" s="396"/>
      <c r="C34" s="396"/>
      <c r="D34" s="396"/>
      <c r="E34" s="396"/>
      <c r="F34" s="389"/>
      <c r="G34" s="389"/>
      <c r="H34" s="389"/>
      <c r="I34" s="389"/>
      <c r="J34" s="389"/>
      <c r="K34" s="389"/>
      <c r="L34" s="389"/>
      <c r="M34" s="389"/>
      <c r="N34" s="396"/>
      <c r="O34" s="412"/>
      <c r="P34" s="412"/>
    </row>
    <row r="35" spans="1:16" x14ac:dyDescent="0.25">
      <c r="A35" s="410"/>
      <c r="B35" s="396"/>
      <c r="C35" s="396"/>
      <c r="D35" s="396"/>
      <c r="E35" s="396"/>
      <c r="F35" s="389"/>
      <c r="G35" s="389"/>
      <c r="H35" s="389"/>
      <c r="I35" s="389"/>
      <c r="J35" s="389"/>
      <c r="K35" s="389"/>
      <c r="L35" s="389"/>
      <c r="M35" s="389"/>
      <c r="N35" s="396"/>
      <c r="O35" s="412"/>
      <c r="P35" s="412"/>
    </row>
    <row r="36" spans="1:16" x14ac:dyDescent="0.25">
      <c r="A36" s="410"/>
      <c r="B36" s="396"/>
      <c r="C36" s="396"/>
      <c r="D36" s="396"/>
      <c r="E36" s="396"/>
      <c r="F36" s="389"/>
      <c r="G36" s="389"/>
      <c r="H36" s="389"/>
      <c r="I36" s="389"/>
      <c r="J36" s="389"/>
      <c r="K36" s="389"/>
      <c r="L36" s="389"/>
      <c r="M36" s="389"/>
      <c r="N36" s="396"/>
      <c r="O36" s="412"/>
      <c r="P36" s="412"/>
    </row>
    <row r="37" spans="1:16" x14ac:dyDescent="0.25">
      <c r="A37" s="410"/>
      <c r="B37" s="396"/>
      <c r="C37" s="396"/>
      <c r="D37" s="396"/>
      <c r="E37" s="396"/>
      <c r="F37" s="389"/>
      <c r="G37" s="389"/>
      <c r="H37" s="389"/>
      <c r="I37" s="389"/>
      <c r="J37" s="389"/>
      <c r="K37" s="389"/>
      <c r="L37" s="389"/>
      <c r="M37" s="389"/>
      <c r="N37" s="396"/>
      <c r="O37" s="412"/>
      <c r="P37" s="412"/>
    </row>
    <row r="38" spans="1:16" x14ac:dyDescent="0.25">
      <c r="A38" s="410"/>
      <c r="B38" s="396"/>
      <c r="C38" s="396"/>
      <c r="D38" s="396"/>
      <c r="E38" s="396"/>
      <c r="F38" s="389"/>
      <c r="G38" s="389"/>
      <c r="H38" s="389"/>
      <c r="I38" s="389"/>
      <c r="J38" s="389"/>
      <c r="K38" s="389"/>
      <c r="L38" s="389"/>
      <c r="M38" s="389"/>
      <c r="N38" s="396"/>
      <c r="O38" s="412"/>
      <c r="P38" s="412"/>
    </row>
    <row r="39" spans="1:16" x14ac:dyDescent="0.25">
      <c r="A39" s="410"/>
      <c r="B39" s="396"/>
      <c r="C39" s="396"/>
      <c r="D39" s="396"/>
      <c r="E39" s="396"/>
      <c r="F39" s="389"/>
      <c r="G39" s="389"/>
      <c r="H39" s="389"/>
      <c r="I39" s="389"/>
      <c r="J39" s="389"/>
      <c r="K39" s="389"/>
      <c r="L39" s="389"/>
      <c r="M39" s="389"/>
      <c r="N39" s="396"/>
      <c r="O39" s="412"/>
      <c r="P39" s="412"/>
    </row>
    <row r="40" spans="1:16" x14ac:dyDescent="0.25">
      <c r="A40" s="410"/>
      <c r="B40" s="396"/>
      <c r="C40" s="396"/>
      <c r="D40" s="396"/>
      <c r="E40" s="396"/>
      <c r="F40" s="389"/>
      <c r="G40" s="389"/>
      <c r="H40" s="389"/>
      <c r="I40" s="389"/>
      <c r="J40" s="389"/>
      <c r="K40" s="389"/>
      <c r="L40" s="389"/>
      <c r="M40" s="389"/>
      <c r="N40" s="396"/>
      <c r="O40" s="412"/>
      <c r="P40" s="412"/>
    </row>
    <row r="41" spans="1:16" x14ac:dyDescent="0.25">
      <c r="A41" s="410"/>
      <c r="B41" s="396"/>
      <c r="C41" s="396"/>
      <c r="D41" s="396"/>
      <c r="E41" s="396"/>
      <c r="F41" s="389"/>
      <c r="G41" s="389"/>
      <c r="H41" s="389"/>
      <c r="I41" s="389"/>
      <c r="J41" s="389"/>
      <c r="K41" s="389"/>
      <c r="L41" s="389"/>
      <c r="M41" s="389"/>
      <c r="N41" s="396"/>
      <c r="O41" s="412"/>
      <c r="P41" s="412"/>
    </row>
    <row r="42" spans="1:16" x14ac:dyDescent="0.25">
      <c r="A42" s="410"/>
      <c r="B42" s="396"/>
      <c r="C42" s="396"/>
      <c r="D42" s="396"/>
      <c r="E42" s="396"/>
      <c r="F42" s="389"/>
      <c r="G42" s="389"/>
      <c r="H42" s="389"/>
      <c r="I42" s="389"/>
      <c r="J42" s="389"/>
      <c r="K42" s="389"/>
      <c r="L42" s="389"/>
      <c r="M42" s="389"/>
      <c r="N42" s="396"/>
      <c r="O42" s="412"/>
      <c r="P42" s="412"/>
    </row>
    <row r="43" spans="1:16" x14ac:dyDescent="0.25">
      <c r="A43" s="410"/>
      <c r="B43" s="396"/>
      <c r="C43" s="396"/>
      <c r="D43" s="396"/>
      <c r="E43" s="396"/>
      <c r="F43" s="389"/>
      <c r="G43" s="389"/>
      <c r="H43" s="389"/>
      <c r="I43" s="389"/>
      <c r="J43" s="389"/>
      <c r="K43" s="389"/>
      <c r="L43" s="389"/>
      <c r="M43" s="389"/>
      <c r="N43" s="396"/>
      <c r="O43" s="412"/>
      <c r="P43" s="412"/>
    </row>
    <row r="44" spans="1:16" x14ac:dyDescent="0.25">
      <c r="A44" s="410"/>
      <c r="B44" s="396"/>
      <c r="C44" s="396"/>
      <c r="D44" s="396"/>
      <c r="E44" s="396"/>
      <c r="F44" s="389"/>
      <c r="G44" s="389"/>
      <c r="H44" s="389"/>
      <c r="I44" s="389"/>
      <c r="J44" s="389"/>
      <c r="K44" s="389"/>
      <c r="L44" s="389"/>
      <c r="M44" s="389"/>
      <c r="N44" s="396"/>
      <c r="O44" s="412"/>
      <c r="P44" s="412"/>
    </row>
    <row r="45" spans="1:16" x14ac:dyDescent="0.25">
      <c r="A45" s="410"/>
      <c r="B45" s="396"/>
      <c r="C45" s="396"/>
      <c r="D45" s="396"/>
      <c r="E45" s="396"/>
      <c r="F45" s="389"/>
      <c r="G45" s="389"/>
      <c r="H45" s="389"/>
      <c r="I45" s="389"/>
      <c r="J45" s="389"/>
      <c r="K45" s="389"/>
      <c r="L45" s="389"/>
      <c r="M45" s="389"/>
      <c r="N45" s="396"/>
      <c r="O45" s="412"/>
      <c r="P45" s="412"/>
    </row>
    <row r="46" spans="1:16" x14ac:dyDescent="0.25">
      <c r="A46" s="410"/>
      <c r="B46" s="396"/>
      <c r="C46" s="396"/>
      <c r="D46" s="396"/>
      <c r="E46" s="396"/>
      <c r="F46" s="389"/>
      <c r="G46" s="389"/>
      <c r="H46" s="389"/>
      <c r="I46" s="389"/>
      <c r="J46" s="389"/>
      <c r="K46" s="389"/>
      <c r="L46" s="389"/>
      <c r="M46" s="389"/>
      <c r="N46" s="396"/>
      <c r="O46" s="412"/>
      <c r="P46" s="412"/>
    </row>
    <row r="47" spans="1:16" x14ac:dyDescent="0.25">
      <c r="A47" s="410"/>
      <c r="B47" s="396"/>
      <c r="C47" s="396"/>
      <c r="D47" s="396"/>
    </row>
    <row r="48" spans="1:16" x14ac:dyDescent="0.25">
      <c r="A48" s="410"/>
      <c r="B48" s="396"/>
      <c r="C48" s="396"/>
      <c r="D48" s="396"/>
      <c r="P48" s="412"/>
    </row>
    <row r="49" spans="1:1" x14ac:dyDescent="0.25">
      <c r="A49" s="410"/>
    </row>
    <row r="50" spans="1:1" x14ac:dyDescent="0.25">
      <c r="A50" s="410"/>
    </row>
    <row r="51" spans="1:1" x14ac:dyDescent="0.25">
      <c r="A51" s="410"/>
    </row>
    <row r="52" spans="1:1" x14ac:dyDescent="0.25">
      <c r="A52" s="410"/>
    </row>
    <row r="187" spans="2:3" x14ac:dyDescent="0.25">
      <c r="B187" s="570"/>
      <c r="C187" s="642"/>
    </row>
    <row r="188" spans="2:3" x14ac:dyDescent="0.25">
      <c r="B188" s="570"/>
      <c r="C188" s="642"/>
    </row>
  </sheetData>
  <mergeCells count="4">
    <mergeCell ref="A1:R1"/>
    <mergeCell ref="A3:R3"/>
    <mergeCell ref="A4:R4"/>
    <mergeCell ref="B16:Q16"/>
  </mergeCells>
  <pageMargins left="0.75" right="0.75" top="1" bottom="1" header="0.5" footer="0.5"/>
  <pageSetup scale="69" orientation="landscape" r:id="rId1"/>
  <headerFooter alignWithMargins="0"/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25">
    <tabColor indexed="24"/>
  </sheetPr>
  <dimension ref="A1:I17"/>
  <sheetViews>
    <sheetView zoomScaleNormal="100" zoomScaleSheetLayoutView="120" workbookViewId="0">
      <selection activeCell="A5" sqref="A5"/>
    </sheetView>
  </sheetViews>
  <sheetFormatPr defaultColWidth="9.1796875" defaultRowHeight="12.5" x14ac:dyDescent="0.25"/>
  <cols>
    <col min="1" max="1" width="10.453125" style="234" customWidth="1"/>
    <col min="2" max="2" width="10.1796875" style="234" bestFit="1" customWidth="1"/>
    <col min="3" max="3" width="11" style="234" bestFit="1" customWidth="1"/>
    <col min="4" max="4" width="10.81640625" style="234" bestFit="1" customWidth="1"/>
    <col min="5" max="5" width="11.453125" style="234" bestFit="1" customWidth="1"/>
    <col min="6" max="6" width="10.54296875" style="234" bestFit="1" customWidth="1"/>
    <col min="7" max="7" width="9.1796875" style="234"/>
    <col min="8" max="8" width="8.453125" style="234" bestFit="1" customWidth="1"/>
    <col min="9" max="9" width="24" style="234" customWidth="1"/>
    <col min="10" max="16384" width="9.1796875" style="234"/>
  </cols>
  <sheetData>
    <row r="1" spans="1:9" ht="13" x14ac:dyDescent="0.3">
      <c r="A1" s="234" t="s">
        <v>403</v>
      </c>
      <c r="I1" s="356" t="s">
        <v>636</v>
      </c>
    </row>
    <row r="2" spans="1:9" ht="13" thickBot="1" x14ac:dyDescent="0.3"/>
    <row r="3" spans="1:9" ht="13.5" thickBot="1" x14ac:dyDescent="0.35">
      <c r="A3" s="241" t="s">
        <v>404</v>
      </c>
      <c r="B3" s="357"/>
      <c r="C3" s="358">
        <f>'[91]NYC Forecast ENERGY 09 07 21'!$A$9</f>
        <v>44470</v>
      </c>
      <c r="D3" s="359"/>
      <c r="E3" s="241"/>
      <c r="F3" s="241"/>
    </row>
    <row r="4" spans="1:9" x14ac:dyDescent="0.25">
      <c r="A4" s="360" t="s">
        <v>405</v>
      </c>
      <c r="B4" s="361" t="s">
        <v>406</v>
      </c>
      <c r="C4" s="362" t="s">
        <v>407</v>
      </c>
      <c r="D4" s="362" t="s">
        <v>408</v>
      </c>
      <c r="E4" s="362" t="s">
        <v>409</v>
      </c>
      <c r="F4" s="362" t="s">
        <v>377</v>
      </c>
      <c r="G4" s="363" t="s">
        <v>375</v>
      </c>
    </row>
    <row r="5" spans="1:9" ht="13" thickBot="1" x14ac:dyDescent="0.3">
      <c r="A5" s="364">
        <f>ROUND(VLOOKUP($C$3,'[91]NYC Forecast ENERGY 09 07 21'!$A$8:$H$71,2,FALSE)/1000,5)</f>
        <v>4.6249999999999999E-2</v>
      </c>
      <c r="B5" s="365">
        <f>ROUND(VLOOKUP($C$3,'[91]NYC Forecast ENERGY 09 07 21'!$A$8:$H$71,3,FALSE)/1000,5)</f>
        <v>3.5299999999999998E-2</v>
      </c>
      <c r="C5" s="365">
        <f>ROUND(VLOOKUP($C$3,'[91]NYC Forecast ENERGY 09 07 21'!$A$8:$H$71,6,FALSE)/1000,5)</f>
        <v>4.2999999999999997E-2</v>
      </c>
      <c r="D5" s="365">
        <f>ROUND(VLOOKUP($C$3,'[91]NYC Forecast ENERGY 09 07 21'!$A$8:$H$71,7,FALSE)/1000,5)</f>
        <v>3.3750000000000002E-2</v>
      </c>
      <c r="E5" s="365">
        <f>ROUND(VLOOKUP($C$3,[92]Data!$A$64:$E$159,3,FALSE)/1000,5)</f>
        <v>2.9099999999999998E-3</v>
      </c>
      <c r="F5" s="365">
        <f>ROUND(VLOOKUP($C$3,[92]Data!$A$64:$E$159,4,FALSE)/1000,5)</f>
        <v>1.2800000000000001E-3</v>
      </c>
      <c r="G5" s="366">
        <f>ROUND(VLOOKUP($C$3,[92]Data!$A$64:$E$159,2,FALSE)/1000,5)</f>
        <v>5.1999999999999995E-4</v>
      </c>
    </row>
    <row r="7" spans="1:9" ht="13" x14ac:dyDescent="0.3">
      <c r="C7" s="367" t="s">
        <v>410</v>
      </c>
      <c r="D7" s="367" t="s">
        <v>411</v>
      </c>
      <c r="E7" s="367" t="s">
        <v>382</v>
      </c>
      <c r="F7" s="368" t="s">
        <v>383</v>
      </c>
      <c r="H7" s="367" t="s">
        <v>412</v>
      </c>
      <c r="I7" s="367" t="s">
        <v>413</v>
      </c>
    </row>
    <row r="8" spans="1:9" x14ac:dyDescent="0.25">
      <c r="A8" s="369"/>
      <c r="B8" s="369"/>
      <c r="C8" s="795" t="s">
        <v>385</v>
      </c>
      <c r="D8" s="796"/>
      <c r="E8" s="370"/>
      <c r="F8" s="371"/>
      <c r="H8" s="372"/>
      <c r="I8" s="372"/>
    </row>
    <row r="9" spans="1:9" x14ac:dyDescent="0.25">
      <c r="A9" s="373" t="s">
        <v>355</v>
      </c>
      <c r="B9" s="373"/>
      <c r="C9" s="374">
        <f>IF(AND(MONTH($C$3)&gt;=6, MONTH($C$3)&lt;=9),'[93]2017 DATA'!$B$7,'[93]2017 DATA'!$F$7)</f>
        <v>0.43091420638451883</v>
      </c>
      <c r="D9" s="374">
        <f>IF(AND(MONTH($C$3)&gt;=6, MONTH($C$3)&lt;=9),'[93]2017 DATA'!$C$7,'[93]2017 DATA'!$G$7)</f>
        <v>0.56908579361548117</v>
      </c>
      <c r="E9" s="375">
        <f>ROUND(((($A$5+$E$5+$F$5+$G$5)*1.063)*$C$9)+((($B$5+$E$5+$F$5+$G$5)*1.063)*$D$9),5)</f>
        <v>4.7550000000000002E-2</v>
      </c>
      <c r="F9" s="376">
        <f>$E$9+'[94]MSC-Capacity'!$E$18</f>
        <v>5.6050000000000003E-2</v>
      </c>
      <c r="H9" s="377">
        <f>F9-E9</f>
        <v>8.5000000000000006E-3</v>
      </c>
      <c r="I9" s="378">
        <f>ROUND(((($A$5)*1.063)*$C$9)+((($B$5)*1.063)*$D$9),5)</f>
        <v>4.2540000000000001E-2</v>
      </c>
    </row>
    <row r="10" spans="1:9" x14ac:dyDescent="0.25">
      <c r="A10" s="369"/>
      <c r="B10" s="369"/>
      <c r="C10" s="370"/>
      <c r="D10" s="379"/>
      <c r="E10" s="370"/>
      <c r="F10" s="380"/>
      <c r="H10" s="370"/>
      <c r="I10" s="381"/>
    </row>
    <row r="11" spans="1:9" x14ac:dyDescent="0.25">
      <c r="A11" s="373" t="s">
        <v>356</v>
      </c>
      <c r="B11" s="373"/>
      <c r="C11" s="374">
        <f>C9</f>
        <v>0.43091420638451883</v>
      </c>
      <c r="D11" s="374">
        <f>D9</f>
        <v>0.56908579361548117</v>
      </c>
      <c r="E11" s="375">
        <f>ROUND(((($C$5+$E$5+$F$5+$G$5)*1.063)*$C$11)+((($D$5+$E$5+$F$5+$G$5)*1.063)*$D$11),5)</f>
        <v>4.512E-2</v>
      </c>
      <c r="F11" s="376">
        <f>$E$11+'[94]MSC-Capacity'!$G$18</f>
        <v>5.1700000000000003E-2</v>
      </c>
      <c r="H11" s="377">
        <f>F11-E11</f>
        <v>6.5800000000000025E-3</v>
      </c>
      <c r="I11" s="378">
        <f>ROUND(((($C$5)*1.063)*$C$11)+((($D$5)*1.063)*$D$11),5)</f>
        <v>4.011E-2</v>
      </c>
    </row>
    <row r="12" spans="1:9" x14ac:dyDescent="0.25">
      <c r="A12" s="369"/>
      <c r="B12" s="369"/>
      <c r="C12" s="370"/>
      <c r="D12" s="370"/>
      <c r="E12" s="370"/>
      <c r="F12" s="380"/>
      <c r="H12" s="370"/>
      <c r="I12" s="381"/>
    </row>
    <row r="13" spans="1:9" x14ac:dyDescent="0.25">
      <c r="A13" s="373" t="s">
        <v>357</v>
      </c>
      <c r="B13" s="373"/>
      <c r="C13" s="374">
        <f>IF(AND(MONTH($C$3)&gt;=6, MONTH($C$3)&lt;=9),'[93]2017 DATA'!$B$11,'[93]2017 DATA'!$F$11)</f>
        <v>0.47569672724097356</v>
      </c>
      <c r="D13" s="374">
        <f>IF(AND(MONTH($C$3)&gt;=6, MONTH($C$3)&lt;=9),'[93]2017 DATA'!$C$11,'[93]2017 DATA'!$G$11)</f>
        <v>0.52430327275902633</v>
      </c>
      <c r="E13" s="374">
        <f>ROUND(((($A$5+$E$5+$F$5+$G$5)*1.063)*$C$13)+((($B$5+$E$5+$F$5+$G$5)*1.063)*$D$13),4)</f>
        <v>4.8099999999999997E-2</v>
      </c>
      <c r="F13" s="376">
        <f>$E$13+'[94]MSC-Capacity'!$E$23</f>
        <v>5.2999999999999999E-2</v>
      </c>
      <c r="H13" s="374">
        <f>F13-E13</f>
        <v>4.9000000000000016E-3</v>
      </c>
      <c r="I13" s="382">
        <f>ROUND(((($A$5)*1.063)*$C$13)+((($B$5)*1.063)*$D$13),4)</f>
        <v>4.3099999999999999E-2</v>
      </c>
    </row>
    <row r="14" spans="1:9" x14ac:dyDescent="0.25">
      <c r="A14" s="369"/>
      <c r="B14" s="369"/>
      <c r="C14" s="370"/>
      <c r="D14" s="370"/>
      <c r="E14" s="379"/>
      <c r="F14" s="380"/>
      <c r="H14" s="370"/>
      <c r="I14" s="381"/>
    </row>
    <row r="15" spans="1:9" x14ac:dyDescent="0.25">
      <c r="A15" s="373" t="s">
        <v>414</v>
      </c>
      <c r="B15" s="373"/>
      <c r="C15" s="374">
        <f>IF(AND(MONTH($C$3)&gt;=6, MONTH($C$3)&lt;=9),'[93]2017 DATA'!$B$15,'[93]2017 DATA'!$F$15)</f>
        <v>0.46226148114583754</v>
      </c>
      <c r="D15" s="374">
        <f>IF(AND(MONTH($C$3)&gt;=6, MONTH($C$3)&lt;=9),'[93]2017 DATA'!$C$15,'[93]2017 DATA'!$G$15)</f>
        <v>0.53773851885416268</v>
      </c>
      <c r="E15" s="374">
        <f>ROUND(((($A$5+$E$5+$F$5+$G$5)*1.063)*$C$15)+((($B$5+$E$5+$F$5+$G$5)*1.063)*$D$15),4)</f>
        <v>4.7899999999999998E-2</v>
      </c>
      <c r="F15" s="376">
        <f>E15</f>
        <v>4.7899999999999998E-2</v>
      </c>
      <c r="H15" s="374">
        <f>'[95]MSC-Capacity'!$E$43</f>
        <v>13.73</v>
      </c>
      <c r="I15" s="378"/>
    </row>
    <row r="17" spans="1:3" x14ac:dyDescent="0.25">
      <c r="A17" s="383" t="s">
        <v>415</v>
      </c>
      <c r="B17" s="383"/>
      <c r="C17" s="383"/>
    </row>
  </sheetData>
  <mergeCells count="1">
    <mergeCell ref="C8:D8"/>
  </mergeCells>
  <hyperlinks>
    <hyperlink ref="C8:D8" r:id="rId1" display="Source" xr:uid="{00000000-0004-0000-1200-000000000000}"/>
  </hyperlinks>
  <pageMargins left="0.75" right="0.75" top="1" bottom="1" header="0.5" footer="0.5"/>
  <pageSetup scale="70" orientation="portrait" r:id="rId2"/>
  <headerFooter alignWithMargins="0">
    <oddFooter>&amp;Z&amp;F</oddFooter>
  </headerFooter>
  <legacy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2B392-132A-418F-B10C-CA28EE67DBF2}">
  <sheetPr codeName="Sheet26">
    <tabColor indexed="24"/>
  </sheetPr>
  <dimension ref="A1:N41"/>
  <sheetViews>
    <sheetView zoomScale="115" zoomScaleNormal="115" zoomScaleSheetLayoutView="120" workbookViewId="0">
      <selection activeCell="F9" sqref="F9"/>
    </sheetView>
  </sheetViews>
  <sheetFormatPr defaultColWidth="9.1796875" defaultRowHeight="12.5" x14ac:dyDescent="0.25"/>
  <cols>
    <col min="1" max="1" width="10.453125" style="234" customWidth="1"/>
    <col min="2" max="2" width="10.1796875" style="234" bestFit="1" customWidth="1"/>
    <col min="3" max="3" width="11" style="234" bestFit="1" customWidth="1"/>
    <col min="4" max="4" width="10.81640625" style="234" bestFit="1" customWidth="1"/>
    <col min="5" max="5" width="11.453125" style="234" bestFit="1" customWidth="1"/>
    <col min="6" max="6" width="11.26953125" style="234" bestFit="1" customWidth="1"/>
    <col min="7" max="7" width="9.1796875" style="234"/>
    <col min="8" max="8" width="8.453125" style="234" bestFit="1" customWidth="1"/>
    <col min="9" max="9" width="24" style="234" customWidth="1"/>
    <col min="10" max="16384" width="9.1796875" style="234"/>
  </cols>
  <sheetData>
    <row r="1" spans="1:14" ht="13" x14ac:dyDescent="0.3">
      <c r="A1" s="234" t="s">
        <v>403</v>
      </c>
      <c r="F1" s="356" t="s">
        <v>560</v>
      </c>
      <c r="I1" s="356" t="str">
        <f>'MTM MSC Estimates 1,9 Oct'!I1</f>
        <v>Forecast as of 9/7/21</v>
      </c>
    </row>
    <row r="2" spans="1:14" ht="13" thickBot="1" x14ac:dyDescent="0.3">
      <c r="H2" s="352"/>
    </row>
    <row r="3" spans="1:14" ht="13.5" thickBot="1" x14ac:dyDescent="0.35">
      <c r="A3" s="241" t="s">
        <v>404</v>
      </c>
      <c r="B3" s="357"/>
      <c r="C3" s="358">
        <f>'[91]NYC Forecast ENERGY 09 07 21'!$A$10</f>
        <v>44501</v>
      </c>
      <c r="D3" s="359"/>
      <c r="E3" s="241"/>
      <c r="F3" s="241"/>
    </row>
    <row r="4" spans="1:14" x14ac:dyDescent="0.25">
      <c r="A4" s="360" t="s">
        <v>405</v>
      </c>
      <c r="B4" s="361" t="s">
        <v>406</v>
      </c>
      <c r="C4" s="362" t="s">
        <v>407</v>
      </c>
      <c r="D4" s="362" t="s">
        <v>408</v>
      </c>
      <c r="E4" s="362" t="s">
        <v>409</v>
      </c>
      <c r="F4" s="362" t="s">
        <v>377</v>
      </c>
      <c r="G4" s="363" t="s">
        <v>375</v>
      </c>
    </row>
    <row r="5" spans="1:14" ht="13" thickBot="1" x14ac:dyDescent="0.3">
      <c r="A5" s="663">
        <f>ROUND(VLOOKUP($C$3,'[91]NYC Forecast ENERGY 09 07 21'!$A$8:$H$71,2,FALSE)/1000,5)</f>
        <v>5.5050000000000002E-2</v>
      </c>
      <c r="B5" s="664">
        <f>ROUND(VLOOKUP($C$3,'[91]NYC Forecast ENERGY 09 07 21'!$A$8:$H$71,3,FALSE)/1000,5)</f>
        <v>4.1399999999999999E-2</v>
      </c>
      <c r="C5" s="664">
        <f>ROUND(VLOOKUP($C$3,'[91]NYC Forecast ENERGY 09 07 21'!$A$8:$H$71,6,FALSE)/1000,5)</f>
        <v>5.2249999999999998E-2</v>
      </c>
      <c r="D5" s="664">
        <f>ROUND(VLOOKUP($C$3,'[91]NYC Forecast ENERGY 09 07 21'!$A$8:$H$71,7,FALSE)/1000,5)</f>
        <v>3.95E-2</v>
      </c>
      <c r="E5" s="664">
        <f>ROUND(VLOOKUP($C$3,[92]Data!$A$64:$E$159,3,FALSE)/1000,5)</f>
        <v>3.0999999999999999E-3</v>
      </c>
      <c r="F5" s="664">
        <f>ROUND(VLOOKUP($C$3,[92]Data!$A$64:$E$159,4,FALSE)/1000,5)</f>
        <v>1.2800000000000001E-3</v>
      </c>
      <c r="G5" s="665">
        <f>ROUND(VLOOKUP($C$3,[92]Data!$A$64:$E$159,2,FALSE)/1000,5)</f>
        <v>5.0000000000000001E-4</v>
      </c>
      <c r="K5" s="666" t="s">
        <v>569</v>
      </c>
      <c r="L5" s="662"/>
      <c r="M5" s="662"/>
      <c r="N5" s="662"/>
    </row>
    <row r="7" spans="1:14" ht="13" x14ac:dyDescent="0.3">
      <c r="C7" s="367" t="s">
        <v>410</v>
      </c>
      <c r="D7" s="367" t="s">
        <v>411</v>
      </c>
      <c r="E7" s="367" t="s">
        <v>382</v>
      </c>
      <c r="F7" s="368" t="s">
        <v>383</v>
      </c>
      <c r="H7" s="367" t="s">
        <v>412</v>
      </c>
      <c r="I7" s="367" t="s">
        <v>413</v>
      </c>
    </row>
    <row r="8" spans="1:14" x14ac:dyDescent="0.25">
      <c r="A8" s="369"/>
      <c r="B8" s="369"/>
      <c r="C8" s="795" t="s">
        <v>385</v>
      </c>
      <c r="D8" s="796"/>
      <c r="E8" s="370"/>
      <c r="F8" s="371"/>
      <c r="H8" s="372"/>
      <c r="I8" s="372"/>
    </row>
    <row r="9" spans="1:14" x14ac:dyDescent="0.25">
      <c r="A9" s="373" t="s">
        <v>355</v>
      </c>
      <c r="B9" s="373"/>
      <c r="C9" s="374">
        <f>IF(AND(MONTH($C$3)&gt;=6, MONTH($C$3)&lt;=9),'[93]2017 DATA'!$B$7,'[93]2017 DATA'!$F$7)</f>
        <v>0.43091420638451883</v>
      </c>
      <c r="D9" s="374">
        <f>IF(AND(MONTH($C$3)&gt;=6, MONTH($C$3)&lt;=9),'[93]2017 DATA'!$C$7,'[93]2017 DATA'!$G$7)</f>
        <v>0.56908579361548117</v>
      </c>
      <c r="E9" s="375">
        <f>ROUND(((($A$5+$E$5+$F$5+$G$5)*1.063)*$C$9)+((($B$5+$E$5+$F$5+$G$5)*1.063)*$D$9),5)</f>
        <v>5.5449999999999999E-2</v>
      </c>
      <c r="F9" s="376">
        <f>$E$9+'Nov - Apr Capacity MSC by Class'!G20</f>
        <v>6.3950000000000007E-2</v>
      </c>
      <c r="H9" s="377">
        <f>F9-E9</f>
        <v>8.5000000000000075E-3</v>
      </c>
      <c r="I9" s="378">
        <f>ROUND(((($A$5)*1.063)*$C$9)+((($B$5)*1.063)*$D$9),5)</f>
        <v>5.0259999999999999E-2</v>
      </c>
    </row>
    <row r="10" spans="1:14" x14ac:dyDescent="0.25">
      <c r="A10" s="369"/>
      <c r="B10" s="369"/>
      <c r="C10" s="370"/>
      <c r="D10" s="379"/>
      <c r="E10" s="370"/>
      <c r="F10" s="380"/>
      <c r="H10" s="370"/>
      <c r="I10" s="381"/>
    </row>
    <row r="11" spans="1:14" x14ac:dyDescent="0.25">
      <c r="A11" s="373" t="s">
        <v>356</v>
      </c>
      <c r="B11" s="373"/>
      <c r="C11" s="374">
        <f>C9</f>
        <v>0.43091420638451883</v>
      </c>
      <c r="D11" s="374">
        <f>D9</f>
        <v>0.56908579361548117</v>
      </c>
      <c r="E11" s="375">
        <f>ROUND(((($C$5+$E$5+$F$5+$G$5)*1.063)*$C$11)+((($D$5+$E$5+$F$5+$G$5)*1.063)*$D$11),5)</f>
        <v>5.3019999999999998E-2</v>
      </c>
      <c r="F11" s="376">
        <f>$E$11+'Nov - Apr Capacity MSC by Class'!H20</f>
        <v>5.96E-2</v>
      </c>
      <c r="H11" s="377">
        <f>F11-E11</f>
        <v>6.5800000000000025E-3</v>
      </c>
      <c r="I11" s="378">
        <f>ROUND(((($C$5)*1.063)*$C$11)+((($D$5)*1.063)*$D$11),5)</f>
        <v>4.7829999999999998E-2</v>
      </c>
    </row>
    <row r="12" spans="1:14" x14ac:dyDescent="0.25">
      <c r="A12" s="369"/>
      <c r="B12" s="369"/>
      <c r="C12" s="370"/>
      <c r="D12" s="370"/>
      <c r="E12" s="370"/>
      <c r="F12" s="380"/>
      <c r="H12" s="370"/>
      <c r="I12" s="381"/>
    </row>
    <row r="13" spans="1:14" x14ac:dyDescent="0.25">
      <c r="A13" s="373" t="s">
        <v>357</v>
      </c>
      <c r="B13" s="373"/>
      <c r="C13" s="374">
        <f>IF(AND(MONTH($C$3)&gt;=6, MONTH($C$3)&lt;=9),'[93]2017 DATA'!$B$11,'[93]2017 DATA'!$F$11)</f>
        <v>0.47569672724097356</v>
      </c>
      <c r="D13" s="374">
        <f>IF(AND(MONTH($C$3)&gt;=6, MONTH($C$3)&lt;=9),'[93]2017 DATA'!$C$11,'[93]2017 DATA'!$G$11)</f>
        <v>0.52430327275902633</v>
      </c>
      <c r="E13" s="374">
        <f>ROUND(((($A$5+$E$5+$F$5+$G$5)*1.063)*$C$13)+((($B$5+$E$5+$F$5+$G$5)*1.063)*$D$13),4)</f>
        <v>5.6099999999999997E-2</v>
      </c>
      <c r="F13" s="376">
        <f>$E$13+'Nov - Apr Capacity MSC by Class'!G21</f>
        <v>6.0999999999999999E-2</v>
      </c>
      <c r="H13" s="374">
        <f>F13-E13</f>
        <v>4.9000000000000016E-3</v>
      </c>
      <c r="I13" s="382">
        <f>ROUND(((($A$5)*1.063)*$C$13)+((($B$5)*1.063)*$D$13),4)</f>
        <v>5.0900000000000001E-2</v>
      </c>
    </row>
    <row r="14" spans="1:14" x14ac:dyDescent="0.25">
      <c r="A14" s="369"/>
      <c r="B14" s="369"/>
      <c r="C14" s="370"/>
      <c r="D14" s="370"/>
      <c r="E14" s="379"/>
      <c r="F14" s="380"/>
      <c r="H14" s="370"/>
      <c r="I14" s="381"/>
    </row>
    <row r="15" spans="1:14" x14ac:dyDescent="0.25">
      <c r="A15" s="373" t="s">
        <v>414</v>
      </c>
      <c r="B15" s="373"/>
      <c r="C15" s="374">
        <f>IF(AND(MONTH($C$3)&gt;=6, MONTH($C$3)&lt;=9),'[93]2017 DATA'!$B$15,'[93]2017 DATA'!$F$15)</f>
        <v>0.46226148114583754</v>
      </c>
      <c r="D15" s="374">
        <f>IF(AND(MONTH($C$3)&gt;=6, MONTH($C$3)&lt;=9),'[93]2017 DATA'!$C$15,'[93]2017 DATA'!$G$15)</f>
        <v>0.53773851885416268</v>
      </c>
      <c r="E15" s="374">
        <f>ROUND(((($A$5+$E$5+$F$5+$G$5)*1.063)*$C$15)+((($B$5+$E$5+$F$5+$G$5)*1.063)*$D$15),4)</f>
        <v>5.5899999999999998E-2</v>
      </c>
      <c r="F15" s="376">
        <f>E15</f>
        <v>5.5899999999999998E-2</v>
      </c>
      <c r="H15" s="374">
        <f>'Nov - Apr Capacity MSC by Class'!G29</f>
        <v>1.49</v>
      </c>
      <c r="I15" s="378"/>
    </row>
    <row r="17" spans="1:9" x14ac:dyDescent="0.25">
      <c r="A17" s="383" t="s">
        <v>415</v>
      </c>
      <c r="B17" s="383"/>
      <c r="C17" s="383"/>
    </row>
    <row r="25" spans="1:9" ht="13" x14ac:dyDescent="0.3">
      <c r="A25" s="234" t="s">
        <v>403</v>
      </c>
      <c r="F25" s="356" t="s">
        <v>561</v>
      </c>
      <c r="I25" s="356" t="s">
        <v>554</v>
      </c>
    </row>
    <row r="26" spans="1:9" ht="13" thickBot="1" x14ac:dyDescent="0.3"/>
    <row r="27" spans="1:9" ht="13.5" thickBot="1" x14ac:dyDescent="0.35">
      <c r="A27" s="241" t="s">
        <v>404</v>
      </c>
      <c r="B27" s="357"/>
      <c r="C27" s="358">
        <f>'[96]NYC Forecast ENERGY 09 08 20'!$A$10</f>
        <v>44136</v>
      </c>
      <c r="D27" s="359"/>
      <c r="E27" s="241"/>
      <c r="F27" s="241"/>
    </row>
    <row r="28" spans="1:9" x14ac:dyDescent="0.25">
      <c r="A28" s="360" t="s">
        <v>405</v>
      </c>
      <c r="B28" s="361" t="s">
        <v>406</v>
      </c>
      <c r="C28" s="362" t="s">
        <v>407</v>
      </c>
      <c r="D28" s="362" t="s">
        <v>408</v>
      </c>
      <c r="E28" s="362" t="s">
        <v>409</v>
      </c>
      <c r="F28" s="362" t="s">
        <v>377</v>
      </c>
      <c r="G28" s="363" t="s">
        <v>375</v>
      </c>
    </row>
    <row r="29" spans="1:9" ht="13" thickBot="1" x14ac:dyDescent="0.3">
      <c r="A29" s="364">
        <f>ROUND(VLOOKUP($C$3,'[96]NYC Forecast ENERGY 09 08 20'!$A$8:$H$32,2,FALSE)/1000,5)</f>
        <v>3.3520000000000001E-2</v>
      </c>
      <c r="B29" s="365">
        <f>ROUND(VLOOKUP($C$3,'[96]NYC Forecast ENERGY 09 08 20'!$A$8:$H$32,3,FALSE)/1000,5)</f>
        <v>2.35E-2</v>
      </c>
      <c r="C29" s="365">
        <f>ROUND(VLOOKUP($C$3,'[96]NYC Forecast ENERGY 09 08 20'!$A$8:$H$32,6,FALSE)/1000,5)</f>
        <v>3.0499999999999999E-2</v>
      </c>
      <c r="D29" s="365">
        <f>ROUND(VLOOKUP($C$3,'[96]NYC Forecast ENERGY 09 08 20'!$A$8:$H$32,7,FALSE)/1000,5)</f>
        <v>2.2249999999999999E-2</v>
      </c>
      <c r="E29" s="365" t="e">
        <f>ROUND(VLOOKUP($C$3,[97]Data!$A$61:$E$67,3,FALSE)/1000,5)</f>
        <v>#N/A</v>
      </c>
      <c r="F29" s="365" t="e">
        <f>ROUND(VLOOKUP($C$3,[97]Data!$A$61:$E$67,4,FALSE)/1000,5)</f>
        <v>#N/A</v>
      </c>
      <c r="G29" s="366" t="e">
        <f>ROUND(VLOOKUP($C$3,[97]Data!$A$61:$E$67,2,FALSE)/1000,5)</f>
        <v>#N/A</v>
      </c>
    </row>
    <row r="31" spans="1:9" ht="13" x14ac:dyDescent="0.3">
      <c r="C31" s="367" t="s">
        <v>410</v>
      </c>
      <c r="D31" s="367" t="s">
        <v>411</v>
      </c>
      <c r="E31" s="367" t="s">
        <v>382</v>
      </c>
      <c r="F31" s="368" t="s">
        <v>383</v>
      </c>
      <c r="H31" s="367" t="s">
        <v>412</v>
      </c>
      <c r="I31" s="367" t="s">
        <v>413</v>
      </c>
    </row>
    <row r="32" spans="1:9" x14ac:dyDescent="0.25">
      <c r="A32" s="369"/>
      <c r="B32" s="369"/>
      <c r="C32" s="795" t="s">
        <v>385</v>
      </c>
      <c r="D32" s="796"/>
      <c r="E32" s="370"/>
      <c r="F32" s="371"/>
      <c r="H32" s="372"/>
      <c r="I32" s="372"/>
    </row>
    <row r="33" spans="1:9" x14ac:dyDescent="0.25">
      <c r="A33" s="373" t="s">
        <v>355</v>
      </c>
      <c r="B33" s="373"/>
      <c r="C33" s="374">
        <f>IF(AND(MONTH($C$3)&gt;=6, MONTH($C$3)&lt;=9),'[93]2017 DATA'!$B$7,'[93]2017 DATA'!$F$7)</f>
        <v>0.43091420638451883</v>
      </c>
      <c r="D33" s="374">
        <f>IF(AND(MONTH($C$3)&gt;=6, MONTH($C$3)&lt;=9),'[93]2017 DATA'!$C$7,'[93]2017 DATA'!$G$7)</f>
        <v>0.56908579361548117</v>
      </c>
      <c r="E33" s="375">
        <f>ROUND(((($A$5+$E$5+$F$5+$G$5)*1.063)*$C$9)+((($B$5+$E$5+$F$5+$G$5)*1.063)*$D$9),5)</f>
        <v>5.5449999999999999E-2</v>
      </c>
      <c r="F33" s="376" t="e">
        <f>$E$9+#REF!</f>
        <v>#REF!</v>
      </c>
      <c r="H33" s="377" t="e">
        <f>F33-E33</f>
        <v>#REF!</v>
      </c>
      <c r="I33" s="378">
        <f>ROUND(((($A$5)*1.063)*$C$9)+((($B$5)*1.063)*$D$9),5)</f>
        <v>5.0259999999999999E-2</v>
      </c>
    </row>
    <row r="34" spans="1:9" x14ac:dyDescent="0.25">
      <c r="A34" s="369"/>
      <c r="B34" s="369"/>
      <c r="C34" s="370"/>
      <c r="D34" s="379"/>
      <c r="E34" s="370"/>
      <c r="F34" s="380"/>
      <c r="H34" s="370"/>
      <c r="I34" s="381"/>
    </row>
    <row r="35" spans="1:9" x14ac:dyDescent="0.25">
      <c r="A35" s="373" t="s">
        <v>356</v>
      </c>
      <c r="B35" s="373"/>
      <c r="C35" s="374">
        <f>C33</f>
        <v>0.43091420638451883</v>
      </c>
      <c r="D35" s="374">
        <f>D33</f>
        <v>0.56908579361548117</v>
      </c>
      <c r="E35" s="375">
        <f>ROUND(((($C$5+$E$5+$F$5+$G$5)*1.063)*$C$11)+((($D$5+$E$5+$F$5+$G$5)*1.063)*$D$11),5)</f>
        <v>5.3019999999999998E-2</v>
      </c>
      <c r="F35" s="376" t="e">
        <f>$E$11+#REF!</f>
        <v>#REF!</v>
      </c>
      <c r="H35" s="377" t="e">
        <f>F35-E35</f>
        <v>#REF!</v>
      </c>
      <c r="I35" s="378">
        <f>ROUND(((($C$5)*1.063)*$C$11)+((($D$5)*1.063)*$D$11),5)</f>
        <v>4.7829999999999998E-2</v>
      </c>
    </row>
    <row r="36" spans="1:9" x14ac:dyDescent="0.25">
      <c r="A36" s="369"/>
      <c r="B36" s="369"/>
      <c r="C36" s="370"/>
      <c r="D36" s="370"/>
      <c r="E36" s="370"/>
      <c r="F36" s="380"/>
      <c r="H36" s="370"/>
      <c r="I36" s="381"/>
    </row>
    <row r="37" spans="1:9" x14ac:dyDescent="0.25">
      <c r="A37" s="373" t="s">
        <v>357</v>
      </c>
      <c r="B37" s="373"/>
      <c r="C37" s="374">
        <f>IF(AND(MONTH($C$3)&gt;=6, MONTH($C$3)&lt;=9),'[93]2017 DATA'!$B$11,'[93]2017 DATA'!$F$11)</f>
        <v>0.47569672724097356</v>
      </c>
      <c r="D37" s="374">
        <f>IF(AND(MONTH($C$3)&gt;=6, MONTH($C$3)&lt;=9),'[93]2017 DATA'!$C$11,'[93]2017 DATA'!$G$11)</f>
        <v>0.52430327275902633</v>
      </c>
      <c r="E37" s="374">
        <f>ROUND(((($A$5+$E$5+$F$5+$G$5)*1.063)*$C$13)+((($B$5+$E$5+$F$5+$G$5)*1.063)*$D$13),4)</f>
        <v>5.6099999999999997E-2</v>
      </c>
      <c r="F37" s="376" t="e">
        <f>$E$13+#REF!</f>
        <v>#REF!</v>
      </c>
      <c r="H37" s="374" t="e">
        <f>F37-E37</f>
        <v>#REF!</v>
      </c>
      <c r="I37" s="382">
        <f>ROUND(((($A$5)*1.063)*$C$13)+((($B$5)*1.063)*$D$13),4)</f>
        <v>5.0900000000000001E-2</v>
      </c>
    </row>
    <row r="38" spans="1:9" x14ac:dyDescent="0.25">
      <c r="A38" s="369"/>
      <c r="B38" s="369"/>
      <c r="C38" s="370"/>
      <c r="D38" s="370"/>
      <c r="E38" s="379"/>
      <c r="F38" s="380"/>
      <c r="H38" s="370"/>
      <c r="I38" s="381"/>
    </row>
    <row r="39" spans="1:9" x14ac:dyDescent="0.25">
      <c r="A39" s="373" t="s">
        <v>414</v>
      </c>
      <c r="B39" s="373"/>
      <c r="C39" s="374">
        <f>IF(AND(MONTH($C$3)&gt;=6, MONTH($C$3)&lt;=9),'[93]2017 DATA'!$B$15,'[93]2017 DATA'!$F$15)</f>
        <v>0.46226148114583754</v>
      </c>
      <c r="D39" s="374">
        <f>IF(AND(MONTH($C$3)&gt;=6, MONTH($C$3)&lt;=9),'[93]2017 DATA'!$C$15,'[93]2017 DATA'!$G$15)</f>
        <v>0.53773851885416268</v>
      </c>
      <c r="E39" s="374">
        <f>ROUND(((($A$5+$E$5+$F$5+$G$5)*1.063)*$C$15)+((($B$5+$E$5+$F$5+$G$5)*1.063)*$D$15),4)</f>
        <v>5.5899999999999998E-2</v>
      </c>
      <c r="F39" s="376">
        <f>E39</f>
        <v>5.5899999999999998E-2</v>
      </c>
      <c r="H39" s="374" t="e">
        <f>+#REF!</f>
        <v>#REF!</v>
      </c>
      <c r="I39" s="378"/>
    </row>
    <row r="41" spans="1:9" x14ac:dyDescent="0.25">
      <c r="A41" s="383" t="s">
        <v>415</v>
      </c>
      <c r="B41" s="383"/>
      <c r="C41" s="383"/>
    </row>
  </sheetData>
  <mergeCells count="2">
    <mergeCell ref="C8:D8"/>
    <mergeCell ref="C32:D32"/>
  </mergeCells>
  <hyperlinks>
    <hyperlink ref="C8:D8" r:id="rId1" display="Source" xr:uid="{78A80A7F-A08D-4E0B-879F-0EF30F06EE9F}"/>
    <hyperlink ref="C32:D32" r:id="rId2" display="Source" xr:uid="{89705698-9516-4A3E-B22F-788224F55D2C}"/>
  </hyperlinks>
  <pageMargins left="0.75" right="0.75" top="1" bottom="1" header="0.5" footer="0.5"/>
  <pageSetup scale="70" orientation="portrait" r:id="rId3"/>
  <headerFooter alignWithMargins="0">
    <oddFooter>&amp;Z&amp;F</oddFooter>
  </headerFooter>
  <legacyDrawing r:id="rId4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12097-A8F3-4AB9-9CF3-933C5E519B32}">
  <sheetPr codeName="Sheet27">
    <tabColor indexed="24"/>
  </sheetPr>
  <dimension ref="A1:N41"/>
  <sheetViews>
    <sheetView zoomScale="115" zoomScaleNormal="115" zoomScaleSheetLayoutView="100" workbookViewId="0">
      <selection activeCell="I2" sqref="I2"/>
    </sheetView>
  </sheetViews>
  <sheetFormatPr defaultColWidth="9.1796875" defaultRowHeight="12.5" x14ac:dyDescent="0.25"/>
  <cols>
    <col min="1" max="1" width="10.453125" style="234" customWidth="1"/>
    <col min="2" max="2" width="10.1796875" style="234" bestFit="1" customWidth="1"/>
    <col min="3" max="3" width="11" style="234" bestFit="1" customWidth="1"/>
    <col min="4" max="4" width="10.81640625" style="234" bestFit="1" customWidth="1"/>
    <col min="5" max="5" width="11.453125" style="234" bestFit="1" customWidth="1"/>
    <col min="6" max="6" width="10.54296875" style="234" bestFit="1" customWidth="1"/>
    <col min="7" max="7" width="9.1796875" style="234"/>
    <col min="8" max="8" width="8.453125" style="234" bestFit="1" customWidth="1"/>
    <col min="9" max="9" width="24" style="234" customWidth="1"/>
    <col min="10" max="16384" width="9.1796875" style="234"/>
  </cols>
  <sheetData>
    <row r="1" spans="1:14" ht="13" x14ac:dyDescent="0.3">
      <c r="A1" s="234" t="s">
        <v>403</v>
      </c>
      <c r="F1" s="356" t="s">
        <v>560</v>
      </c>
      <c r="I1" s="356" t="str">
        <f>'MTM MSC Estimates 1,9 Oct'!I1</f>
        <v>Forecast as of 9/7/21</v>
      </c>
    </row>
    <row r="2" spans="1:14" ht="13" thickBot="1" x14ac:dyDescent="0.3"/>
    <row r="3" spans="1:14" ht="13.5" thickBot="1" x14ac:dyDescent="0.35">
      <c r="A3" s="241" t="s">
        <v>404</v>
      </c>
      <c r="B3" s="357"/>
      <c r="C3" s="358">
        <f>'[91]NYC Forecast ENERGY 09 07 21'!$A$11</f>
        <v>44531</v>
      </c>
      <c r="D3" s="359"/>
      <c r="E3" s="241"/>
      <c r="F3" s="241"/>
    </row>
    <row r="4" spans="1:14" x14ac:dyDescent="0.25">
      <c r="A4" s="360" t="s">
        <v>405</v>
      </c>
      <c r="B4" s="361" t="s">
        <v>406</v>
      </c>
      <c r="C4" s="362" t="s">
        <v>407</v>
      </c>
      <c r="D4" s="362" t="s">
        <v>408</v>
      </c>
      <c r="E4" s="362" t="s">
        <v>409</v>
      </c>
      <c r="F4" s="362" t="s">
        <v>377</v>
      </c>
      <c r="G4" s="363" t="s">
        <v>375</v>
      </c>
    </row>
    <row r="5" spans="1:14" ht="13" thickBot="1" x14ac:dyDescent="0.3">
      <c r="A5" s="663">
        <f>ROUND(VLOOKUP($C$3,'[91]NYC Forecast ENERGY 09 07 21'!$A$8:$H$71,2,FALSE)/1000,5)</f>
        <v>7.4380000000000002E-2</v>
      </c>
      <c r="B5" s="664">
        <f>ROUND(VLOOKUP($C$3,'[91]NYC Forecast ENERGY 09 07 21'!$A$8:$H$71,3,FALSE)/1000,5)</f>
        <v>5.8250000000000003E-2</v>
      </c>
      <c r="C5" s="664">
        <f>ROUND(VLOOKUP($C$3,'[91]NYC Forecast ENERGY 09 07 21'!$A$8:$H$71,6,FALSE)/1000,5)</f>
        <v>7.0250000000000007E-2</v>
      </c>
      <c r="D5" s="664">
        <f>ROUND(VLOOKUP($C$3,'[91]NYC Forecast ENERGY 09 07 21'!$A$8:$H$71,7,FALSE)/1000,5)</f>
        <v>5.5500000000000001E-2</v>
      </c>
      <c r="E5" s="664">
        <f>ROUND(VLOOKUP($C$3,[92]Data!$A$64:$E$159,3,FALSE)/1000,5)</f>
        <v>2.6800000000000001E-3</v>
      </c>
      <c r="F5" s="664">
        <f>ROUND(VLOOKUP($C$3,[92]Data!$A$64:$E$159,4,FALSE)/1000,5)</f>
        <v>1.3600000000000001E-3</v>
      </c>
      <c r="G5" s="665">
        <f>ROUND(VLOOKUP($C$3,[92]Data!$A$64:$E$159,2,FALSE)/1000,5)</f>
        <v>5.2999999999999998E-4</v>
      </c>
      <c r="K5" s="666" t="s">
        <v>569</v>
      </c>
      <c r="L5" s="662"/>
      <c r="M5" s="662"/>
      <c r="N5" s="662"/>
    </row>
    <row r="7" spans="1:14" ht="13" x14ac:dyDescent="0.3">
      <c r="C7" s="367" t="s">
        <v>410</v>
      </c>
      <c r="D7" s="367" t="s">
        <v>411</v>
      </c>
      <c r="E7" s="367" t="s">
        <v>382</v>
      </c>
      <c r="F7" s="368" t="s">
        <v>383</v>
      </c>
      <c r="H7" s="367" t="s">
        <v>412</v>
      </c>
      <c r="I7" s="367" t="s">
        <v>413</v>
      </c>
    </row>
    <row r="8" spans="1:14" x14ac:dyDescent="0.25">
      <c r="A8" s="369"/>
      <c r="B8" s="369"/>
      <c r="C8" s="795" t="s">
        <v>385</v>
      </c>
      <c r="D8" s="796"/>
      <c r="E8" s="370"/>
      <c r="F8" s="371"/>
      <c r="H8" s="372"/>
      <c r="I8" s="372"/>
    </row>
    <row r="9" spans="1:14" x14ac:dyDescent="0.25">
      <c r="A9" s="373" t="s">
        <v>355</v>
      </c>
      <c r="B9" s="373"/>
      <c r="C9" s="374">
        <f>IF(AND(MONTH($C$3)&gt;=6, MONTH($C$3)&lt;=9),'[93]2017 DATA'!$B$7,'[93]2017 DATA'!$F$7)</f>
        <v>0.43091420638451883</v>
      </c>
      <c r="D9" s="374">
        <f>IF(AND(MONTH($C$3)&gt;=6, MONTH($C$3)&lt;=9),'[93]2017 DATA'!$C$7,'[93]2017 DATA'!$G$7)</f>
        <v>0.56908579361548117</v>
      </c>
      <c r="E9" s="375">
        <f>ROUND(((($A$5+$E$5+$F$5+$G$5)*1.063)*$C$9)+((($B$5+$E$5+$F$5+$G$5)*1.063)*$D$9),5)</f>
        <v>7.417E-2</v>
      </c>
      <c r="F9" s="376">
        <f>$E$9+'Nov - Apr Capacity MSC by Class'!G20</f>
        <v>8.2669999999999993E-2</v>
      </c>
      <c r="H9" s="377">
        <f>F9-E9</f>
        <v>8.4999999999999937E-3</v>
      </c>
      <c r="I9" s="378">
        <f>ROUND(((($A$5)*1.063)*$C$9)+((($B$5)*1.063)*$D$9),5)</f>
        <v>6.9309999999999997E-2</v>
      </c>
    </row>
    <row r="10" spans="1:14" x14ac:dyDescent="0.25">
      <c r="A10" s="369"/>
      <c r="B10" s="369"/>
      <c r="C10" s="370"/>
      <c r="D10" s="379"/>
      <c r="E10" s="370"/>
      <c r="F10" s="380"/>
      <c r="H10" s="370"/>
      <c r="I10" s="381"/>
    </row>
    <row r="11" spans="1:14" x14ac:dyDescent="0.25">
      <c r="A11" s="373" t="s">
        <v>356</v>
      </c>
      <c r="B11" s="373"/>
      <c r="C11" s="374">
        <f>C9</f>
        <v>0.43091420638451883</v>
      </c>
      <c r="D11" s="374">
        <f>D9</f>
        <v>0.56908579361548117</v>
      </c>
      <c r="E11" s="375">
        <f>ROUND(((($C$5+$E$5+$F$5+$G$5)*1.063)*$C$11)+((($D$5+$E$5+$F$5+$G$5)*1.063)*$D$11),5)</f>
        <v>7.0610000000000006E-2</v>
      </c>
      <c r="F11" s="376">
        <f>$E$11+'Nov - Apr Capacity MSC by Class'!H20</f>
        <v>7.7190000000000009E-2</v>
      </c>
      <c r="H11" s="377">
        <f>F11-E11</f>
        <v>6.5800000000000025E-3</v>
      </c>
      <c r="I11" s="378">
        <f>ROUND(((($C$5)*1.063)*$C$11)+((($D$5)*1.063)*$D$11),5)</f>
        <v>6.5750000000000003E-2</v>
      </c>
    </row>
    <row r="12" spans="1:14" x14ac:dyDescent="0.25">
      <c r="A12" s="369"/>
      <c r="B12" s="369"/>
      <c r="C12" s="370"/>
      <c r="D12" s="370"/>
      <c r="E12" s="370"/>
      <c r="F12" s="380"/>
      <c r="H12" s="370"/>
      <c r="I12" s="381"/>
    </row>
    <row r="13" spans="1:14" x14ac:dyDescent="0.25">
      <c r="A13" s="373" t="s">
        <v>357</v>
      </c>
      <c r="B13" s="373"/>
      <c r="C13" s="374">
        <f>IF(AND(MONTH($C$3)&gt;=6, MONTH($C$3)&lt;=9),'[93]2017 DATA'!$B$11,'[93]2017 DATA'!$F$11)</f>
        <v>0.47569672724097356</v>
      </c>
      <c r="D13" s="374">
        <f>IF(AND(MONTH($C$3)&gt;=6, MONTH($C$3)&lt;=9),'[93]2017 DATA'!$C$11,'[93]2017 DATA'!$G$11)</f>
        <v>0.52430327275902633</v>
      </c>
      <c r="E13" s="374">
        <f>ROUND(((($A$5+$E$5+$F$5+$G$5)*1.063)*$C$13)+((($B$5+$E$5+$F$5+$G$5)*1.063)*$D$13),4)</f>
        <v>7.4899999999999994E-2</v>
      </c>
      <c r="F13" s="376">
        <f>$E$13+'Nov - Apr Capacity MSC by Class'!G21</f>
        <v>7.9799999999999996E-2</v>
      </c>
      <c r="H13" s="374">
        <f>F13-E13</f>
        <v>4.9000000000000016E-3</v>
      </c>
      <c r="I13" s="382">
        <f>ROUND(((($A$5)*1.063)*$C$13)+((($B$5)*1.063)*$D$13),4)</f>
        <v>7.0099999999999996E-2</v>
      </c>
    </row>
    <row r="14" spans="1:14" x14ac:dyDescent="0.25">
      <c r="A14" s="369"/>
      <c r="B14" s="369"/>
      <c r="C14" s="370"/>
      <c r="D14" s="370"/>
      <c r="E14" s="379"/>
      <c r="F14" s="380"/>
      <c r="H14" s="370"/>
      <c r="I14" s="381"/>
    </row>
    <row r="15" spans="1:14" x14ac:dyDescent="0.25">
      <c r="A15" s="373" t="s">
        <v>414</v>
      </c>
      <c r="B15" s="373"/>
      <c r="C15" s="374">
        <f>IF(AND(MONTH($C$3)&gt;=6, MONTH($C$3)&lt;=9),'[93]2017 DATA'!$B$15,'[93]2017 DATA'!$F$15)</f>
        <v>0.46226148114583754</v>
      </c>
      <c r="D15" s="374">
        <f>IF(AND(MONTH($C$3)&gt;=6, MONTH($C$3)&lt;=9),'[93]2017 DATA'!$C$15,'[93]2017 DATA'!$G$15)</f>
        <v>0.53773851885416268</v>
      </c>
      <c r="E15" s="374">
        <f>ROUND(((($A$5+$E$5+$F$5+$G$5)*1.063)*$C$15)+((($B$5+$E$5+$F$5+$G$5)*1.063)*$D$15),4)</f>
        <v>7.4700000000000003E-2</v>
      </c>
      <c r="F15" s="376">
        <f>E15</f>
        <v>7.4700000000000003E-2</v>
      </c>
      <c r="H15" s="374"/>
      <c r="I15" s="378"/>
    </row>
    <row r="17" spans="1:9" x14ac:dyDescent="0.25">
      <c r="A17" s="383" t="s">
        <v>415</v>
      </c>
      <c r="B17" s="383"/>
      <c r="C17" s="383"/>
    </row>
    <row r="25" spans="1:9" ht="13" x14ac:dyDescent="0.3">
      <c r="A25" s="234" t="s">
        <v>403</v>
      </c>
      <c r="F25" s="356" t="s">
        <v>561</v>
      </c>
      <c r="I25" s="356" t="s">
        <v>554</v>
      </c>
    </row>
    <row r="26" spans="1:9" ht="13" thickBot="1" x14ac:dyDescent="0.3"/>
    <row r="27" spans="1:9" ht="13.5" thickBot="1" x14ac:dyDescent="0.35">
      <c r="A27" s="241" t="s">
        <v>404</v>
      </c>
      <c r="B27" s="357"/>
      <c r="C27" s="358">
        <f>'[96]NYC Forecast ENERGY 09 08 20'!$A$11</f>
        <v>44166</v>
      </c>
      <c r="D27" s="359"/>
      <c r="E27" s="241"/>
      <c r="F27" s="241"/>
    </row>
    <row r="28" spans="1:9" x14ac:dyDescent="0.25">
      <c r="A28" s="360" t="s">
        <v>405</v>
      </c>
      <c r="B28" s="361" t="s">
        <v>406</v>
      </c>
      <c r="C28" s="362" t="s">
        <v>407</v>
      </c>
      <c r="D28" s="362" t="s">
        <v>408</v>
      </c>
      <c r="E28" s="362" t="s">
        <v>409</v>
      </c>
      <c r="F28" s="362" t="s">
        <v>377</v>
      </c>
      <c r="G28" s="363" t="s">
        <v>375</v>
      </c>
    </row>
    <row r="29" spans="1:9" ht="13" thickBot="1" x14ac:dyDescent="0.3">
      <c r="A29" s="364">
        <f>ROUND(VLOOKUP($C$3,'[96]NYC Forecast ENERGY 09 08 20'!$A$8:$H$32,2,FALSE)/1000,5)</f>
        <v>4.4269999999999997E-2</v>
      </c>
      <c r="B29" s="365">
        <f>ROUND(VLOOKUP($C$3,'[96]NYC Forecast ENERGY 09 08 20'!$A$8:$H$32,3,FALSE)/1000,5)</f>
        <v>3.2509999999999997E-2</v>
      </c>
      <c r="C29" s="365">
        <f>ROUND(VLOOKUP($C$3,'[96]NYC Forecast ENERGY 09 08 20'!$A$8:$H$32,6,FALSE)/1000,5)</f>
        <v>4.1250000000000002E-2</v>
      </c>
      <c r="D29" s="365">
        <f>ROUND(VLOOKUP($C$3,'[96]NYC Forecast ENERGY 09 08 20'!$A$8:$H$32,7,FALSE)/1000,5)</f>
        <v>3.125E-2</v>
      </c>
      <c r="E29" s="365" t="e">
        <f>ROUND(VLOOKUP($C$3,[97]Data!$A$61:$E$67,3,FALSE)/1000,5)</f>
        <v>#N/A</v>
      </c>
      <c r="F29" s="365" t="e">
        <f>ROUND(VLOOKUP($C$3,[97]Data!$A$61:$E$67,4,FALSE)/1000,5)</f>
        <v>#N/A</v>
      </c>
      <c r="G29" s="366" t="e">
        <f>ROUND(VLOOKUP($C$3,[97]Data!$A$61:$E$67,2,FALSE)/1000,5)</f>
        <v>#N/A</v>
      </c>
    </row>
    <row r="31" spans="1:9" ht="13" x14ac:dyDescent="0.3">
      <c r="C31" s="367" t="s">
        <v>410</v>
      </c>
      <c r="D31" s="367" t="s">
        <v>411</v>
      </c>
      <c r="E31" s="367" t="s">
        <v>382</v>
      </c>
      <c r="F31" s="368" t="s">
        <v>383</v>
      </c>
      <c r="H31" s="367" t="s">
        <v>412</v>
      </c>
      <c r="I31" s="367" t="s">
        <v>413</v>
      </c>
    </row>
    <row r="32" spans="1:9" x14ac:dyDescent="0.25">
      <c r="A32" s="369"/>
      <c r="B32" s="369"/>
      <c r="C32" s="795" t="s">
        <v>385</v>
      </c>
      <c r="D32" s="796"/>
      <c r="E32" s="370"/>
      <c r="F32" s="371"/>
      <c r="H32" s="372"/>
      <c r="I32" s="372"/>
    </row>
    <row r="33" spans="1:9" x14ac:dyDescent="0.25">
      <c r="A33" s="373" t="s">
        <v>355</v>
      </c>
      <c r="B33" s="373"/>
      <c r="C33" s="374">
        <f>IF(AND(MONTH($C$3)&gt;=6, MONTH($C$3)&lt;=9),'[93]2017 DATA'!$B$7,'[93]2017 DATA'!$F$7)</f>
        <v>0.43091420638451883</v>
      </c>
      <c r="D33" s="374">
        <f>IF(AND(MONTH($C$3)&gt;=6, MONTH($C$3)&lt;=9),'[93]2017 DATA'!$C$7,'[93]2017 DATA'!$G$7)</f>
        <v>0.56908579361548117</v>
      </c>
      <c r="E33" s="375">
        <f>ROUND(((($A$5+$E$5+$F$5+$G$5)*1.063)*$C$9)+((($B$5+$E$5+$F$5+$G$5)*1.063)*$D$9),5)</f>
        <v>7.417E-2</v>
      </c>
      <c r="F33" s="376" t="e">
        <f>$E$9+#REF!</f>
        <v>#REF!</v>
      </c>
      <c r="H33" s="377" t="e">
        <f>F33-E33</f>
        <v>#REF!</v>
      </c>
      <c r="I33" s="378">
        <f>ROUND(((($A$5)*1.063)*$C$9)+((($B$5)*1.063)*$D$9),5)</f>
        <v>6.9309999999999997E-2</v>
      </c>
    </row>
    <row r="34" spans="1:9" x14ac:dyDescent="0.25">
      <c r="A34" s="369"/>
      <c r="B34" s="369"/>
      <c r="C34" s="370"/>
      <c r="D34" s="379"/>
      <c r="E34" s="370"/>
      <c r="F34" s="380"/>
      <c r="H34" s="370"/>
      <c r="I34" s="381"/>
    </row>
    <row r="35" spans="1:9" x14ac:dyDescent="0.25">
      <c r="A35" s="373" t="s">
        <v>356</v>
      </c>
      <c r="B35" s="373"/>
      <c r="C35" s="374">
        <f>C33</f>
        <v>0.43091420638451883</v>
      </c>
      <c r="D35" s="374">
        <f>D33</f>
        <v>0.56908579361548117</v>
      </c>
      <c r="E35" s="375">
        <f>ROUND(((($C$5+$E$5+$F$5+$G$5)*1.063)*$C$11)+((($D$5+$E$5+$F$5+$G$5)*1.063)*$D$11),5)</f>
        <v>7.0610000000000006E-2</v>
      </c>
      <c r="F35" s="376" t="e">
        <f>$E$11+#REF!</f>
        <v>#REF!</v>
      </c>
      <c r="H35" s="377" t="e">
        <f>F35-E35</f>
        <v>#REF!</v>
      </c>
      <c r="I35" s="378">
        <f>ROUND(((($C$5)*1.063)*$C$11)+((($D$5)*1.063)*$D$11),5)</f>
        <v>6.5750000000000003E-2</v>
      </c>
    </row>
    <row r="36" spans="1:9" x14ac:dyDescent="0.25">
      <c r="A36" s="369"/>
      <c r="B36" s="369"/>
      <c r="C36" s="370"/>
      <c r="D36" s="370"/>
      <c r="E36" s="370"/>
      <c r="F36" s="380"/>
      <c r="H36" s="370"/>
      <c r="I36" s="381"/>
    </row>
    <row r="37" spans="1:9" x14ac:dyDescent="0.25">
      <c r="A37" s="373" t="s">
        <v>357</v>
      </c>
      <c r="B37" s="373"/>
      <c r="C37" s="374">
        <f>IF(AND(MONTH($C$3)&gt;=6, MONTH($C$3)&lt;=9),'[93]2017 DATA'!$B$11,'[93]2017 DATA'!$F$11)</f>
        <v>0.47569672724097356</v>
      </c>
      <c r="D37" s="374">
        <f>IF(AND(MONTH($C$3)&gt;=6, MONTH($C$3)&lt;=9),'[93]2017 DATA'!$C$11,'[93]2017 DATA'!$G$11)</f>
        <v>0.52430327275902633</v>
      </c>
      <c r="E37" s="374">
        <f>ROUND(((($A$5+$E$5+$F$5+$G$5)*1.063)*$C$13)+((($B$5+$E$5+$F$5+$G$5)*1.063)*$D$13),4)</f>
        <v>7.4899999999999994E-2</v>
      </c>
      <c r="F37" s="376" t="e">
        <f>$E$13+#REF!</f>
        <v>#REF!</v>
      </c>
      <c r="H37" s="374" t="e">
        <f>F37-E37</f>
        <v>#REF!</v>
      </c>
      <c r="I37" s="382">
        <f>ROUND(((($A$5)*1.063)*$C$13)+((($B$5)*1.063)*$D$13),4)</f>
        <v>7.0099999999999996E-2</v>
      </c>
    </row>
    <row r="38" spans="1:9" x14ac:dyDescent="0.25">
      <c r="A38" s="369"/>
      <c r="B38" s="369"/>
      <c r="C38" s="370"/>
      <c r="D38" s="370"/>
      <c r="E38" s="379"/>
      <c r="F38" s="380"/>
      <c r="H38" s="370"/>
      <c r="I38" s="381"/>
    </row>
    <row r="39" spans="1:9" x14ac:dyDescent="0.25">
      <c r="A39" s="373" t="s">
        <v>414</v>
      </c>
      <c r="B39" s="373"/>
      <c r="C39" s="374">
        <f>IF(AND(MONTH($C$3)&gt;=6, MONTH($C$3)&lt;=9),'[93]2017 DATA'!$B$15,'[93]2017 DATA'!$F$15)</f>
        <v>0.46226148114583754</v>
      </c>
      <c r="D39" s="374">
        <f>IF(AND(MONTH($C$3)&gt;=6, MONTH($C$3)&lt;=9),'[93]2017 DATA'!$C$15,'[93]2017 DATA'!$G$15)</f>
        <v>0.53773851885416268</v>
      </c>
      <c r="E39" s="374">
        <f>ROUND(((($A$5+$E$5+$F$5+$G$5)*1.063)*$C$15)+((($B$5+$E$5+$F$5+$G$5)*1.063)*$D$15),4)</f>
        <v>7.4700000000000003E-2</v>
      </c>
      <c r="F39" s="376">
        <f>E39</f>
        <v>7.4700000000000003E-2</v>
      </c>
      <c r="H39" s="374"/>
      <c r="I39" s="378"/>
    </row>
    <row r="41" spans="1:9" x14ac:dyDescent="0.25">
      <c r="A41" s="383" t="s">
        <v>415</v>
      </c>
      <c r="B41" s="383"/>
      <c r="C41" s="383"/>
    </row>
  </sheetData>
  <mergeCells count="2">
    <mergeCell ref="C8:D8"/>
    <mergeCell ref="C32:D32"/>
  </mergeCells>
  <hyperlinks>
    <hyperlink ref="C8:D8" r:id="rId1" display="Source" xr:uid="{7E72A411-A7CA-433F-839A-45272767F670}"/>
    <hyperlink ref="C32:D32" r:id="rId2" display="Source" xr:uid="{B3AAC406-528E-4DDA-86A5-D4E7BCB90746}"/>
  </hyperlinks>
  <pageMargins left="0.75" right="0.75" top="1" bottom="1" header="0.5" footer="0.5"/>
  <pageSetup scale="70" orientation="portrait" r:id="rId3"/>
  <headerFooter alignWithMargins="0">
    <oddFooter>&amp;Z&amp;F</oddFooter>
  </headerFooter>
  <legacyDrawing r:id="rId4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1AB6D1-AB04-436D-AE52-C029985B9467}">
  <sheetPr codeName="Sheet28">
    <tabColor indexed="24"/>
  </sheetPr>
  <dimension ref="A1:L41"/>
  <sheetViews>
    <sheetView view="pageBreakPreview" topLeftCell="B1" zoomScale="130" zoomScaleNormal="100" zoomScaleSheetLayoutView="130" workbookViewId="0">
      <selection activeCell="I2" sqref="I2"/>
    </sheetView>
  </sheetViews>
  <sheetFormatPr defaultColWidth="9.1796875" defaultRowHeight="12.5" x14ac:dyDescent="0.25"/>
  <cols>
    <col min="1" max="1" width="10.453125" style="234" customWidth="1"/>
    <col min="2" max="2" width="10.1796875" style="234" bestFit="1" customWidth="1"/>
    <col min="3" max="3" width="11" style="234" bestFit="1" customWidth="1"/>
    <col min="4" max="4" width="10.81640625" style="234" bestFit="1" customWidth="1"/>
    <col min="5" max="5" width="11.453125" style="234" bestFit="1" customWidth="1"/>
    <col min="6" max="6" width="10.54296875" style="234" bestFit="1" customWidth="1"/>
    <col min="7" max="7" width="9.1796875" style="234"/>
    <col min="8" max="8" width="8.453125" style="234" bestFit="1" customWidth="1"/>
    <col min="9" max="9" width="24" style="234" customWidth="1"/>
    <col min="10" max="16384" width="9.1796875" style="234"/>
  </cols>
  <sheetData>
    <row r="1" spans="1:12" ht="13" x14ac:dyDescent="0.3">
      <c r="A1" s="234" t="s">
        <v>403</v>
      </c>
      <c r="F1" s="356" t="s">
        <v>560</v>
      </c>
      <c r="I1" s="356" t="str">
        <f>'MTM MSC Estimates 1,9 Oct'!I1</f>
        <v>Forecast as of 9/7/21</v>
      </c>
    </row>
    <row r="2" spans="1:12" ht="13" thickBot="1" x14ac:dyDescent="0.3"/>
    <row r="3" spans="1:12" ht="13.5" thickBot="1" x14ac:dyDescent="0.35">
      <c r="A3" s="241" t="s">
        <v>404</v>
      </c>
      <c r="B3" s="357"/>
      <c r="C3" s="358">
        <f>'[91]NYC Forecast ENERGY 09 07 21'!$A$12</f>
        <v>44562</v>
      </c>
      <c r="D3" s="359"/>
      <c r="E3" s="241"/>
      <c r="F3" s="241"/>
    </row>
    <row r="4" spans="1:12" x14ac:dyDescent="0.25">
      <c r="A4" s="360" t="s">
        <v>405</v>
      </c>
      <c r="B4" s="361" t="s">
        <v>406</v>
      </c>
      <c r="C4" s="362" t="s">
        <v>407</v>
      </c>
      <c r="D4" s="362" t="s">
        <v>408</v>
      </c>
      <c r="E4" s="362" t="s">
        <v>409</v>
      </c>
      <c r="F4" s="362" t="s">
        <v>377</v>
      </c>
      <c r="G4" s="363" t="s">
        <v>375</v>
      </c>
    </row>
    <row r="5" spans="1:12" ht="13" thickBot="1" x14ac:dyDescent="0.3">
      <c r="A5" s="663">
        <f>ROUND(VLOOKUP($C$3,'[91]NYC Forecast ENERGY 09 07 21'!$A$8:$H$71,2,FALSE)/1000,5)</f>
        <v>0.10675999999999999</v>
      </c>
      <c r="B5" s="664">
        <f>ROUND(VLOOKUP($C$3,'[91]NYC Forecast ENERGY 09 07 21'!$A$8:$H$71,3,FALSE)/1000,5)</f>
        <v>8.4019999999999997E-2</v>
      </c>
      <c r="C5" s="664">
        <f>ROUND(VLOOKUP($C$3,'[91]NYC Forecast ENERGY 09 07 21'!$A$8:$H$71,6,FALSE)/1000,5)</f>
        <v>9.8500000000000004E-2</v>
      </c>
      <c r="D5" s="664">
        <f>ROUND(VLOOKUP($C$3,'[91]NYC Forecast ENERGY 09 07 21'!$A$8:$H$71,7,FALSE)/1000,5)</f>
        <v>0.08</v>
      </c>
      <c r="E5" s="664">
        <f>ROUND(VLOOKUP($C$3,[92]Data!$A$64:$E$159,3,FALSE)/1000,5)</f>
        <v>2.5400000000000002E-3</v>
      </c>
      <c r="F5" s="664">
        <f>ROUND(VLOOKUP($C$3,[92]Data!$A$64:$E$159,4,FALSE)/1000,5)</f>
        <v>1.4400000000000001E-3</v>
      </c>
      <c r="G5" s="665">
        <f>ROUND(VLOOKUP($C$3,[92]Data!$A$64:$E$159,2,FALSE)/1000,5)</f>
        <v>5.4000000000000001E-4</v>
      </c>
      <c r="I5" s="666" t="s">
        <v>569</v>
      </c>
      <c r="J5" s="662"/>
      <c r="K5" s="662"/>
      <c r="L5" s="662"/>
    </row>
    <row r="7" spans="1:12" ht="13" x14ac:dyDescent="0.3">
      <c r="C7" s="367" t="s">
        <v>410</v>
      </c>
      <c r="D7" s="367" t="s">
        <v>411</v>
      </c>
      <c r="E7" s="367" t="s">
        <v>382</v>
      </c>
      <c r="F7" s="368" t="s">
        <v>383</v>
      </c>
      <c r="H7" s="367" t="s">
        <v>412</v>
      </c>
      <c r="I7" s="367" t="s">
        <v>413</v>
      </c>
    </row>
    <row r="8" spans="1:12" x14ac:dyDescent="0.25">
      <c r="A8" s="369"/>
      <c r="B8" s="369"/>
      <c r="C8" s="795" t="s">
        <v>385</v>
      </c>
      <c r="D8" s="796"/>
      <c r="E8" s="370"/>
      <c r="F8" s="371"/>
      <c r="H8" s="372"/>
      <c r="I8" s="372"/>
    </row>
    <row r="9" spans="1:12" x14ac:dyDescent="0.25">
      <c r="A9" s="373" t="s">
        <v>355</v>
      </c>
      <c r="B9" s="373"/>
      <c r="C9" s="374">
        <f>IF(AND(MONTH($C$3)&gt;=6, MONTH($C$3)&lt;=9),'[93]2017 DATA'!$B$7,'[93]2017 DATA'!$F$7)</f>
        <v>0.43091420638451883</v>
      </c>
      <c r="D9" s="374">
        <f>IF(AND(MONTH($C$3)&gt;=6, MONTH($C$3)&lt;=9),'[93]2017 DATA'!$C$7,'[93]2017 DATA'!$G$7)</f>
        <v>0.56908579361548117</v>
      </c>
      <c r="E9" s="375">
        <f>ROUND(((($A$5+$E$5+$F$5+$G$5)*1.063)*$C$9)+((($B$5+$E$5+$F$5+$G$5)*1.063)*$D$9),5)</f>
        <v>0.10453</v>
      </c>
      <c r="F9" s="376">
        <f>$E$9+'Nov - Apr Capacity MSC by Class'!G20</f>
        <v>0.11302999999999999</v>
      </c>
      <c r="H9" s="377">
        <f>F9-E9</f>
        <v>8.4999999999999937E-3</v>
      </c>
      <c r="I9" s="378">
        <f>ROUND(((($A$5)*1.063)*$C$9)+((($B$5)*1.063)*$D$9),5)</f>
        <v>9.9729999999999999E-2</v>
      </c>
    </row>
    <row r="10" spans="1:12" x14ac:dyDescent="0.25">
      <c r="A10" s="369"/>
      <c r="B10" s="369"/>
      <c r="C10" s="370"/>
      <c r="D10" s="379"/>
      <c r="E10" s="370"/>
      <c r="F10" s="380"/>
      <c r="H10" s="370"/>
      <c r="I10" s="381"/>
    </row>
    <row r="11" spans="1:12" x14ac:dyDescent="0.25">
      <c r="A11" s="373" t="s">
        <v>356</v>
      </c>
      <c r="B11" s="373"/>
      <c r="C11" s="374">
        <f>C9</f>
        <v>0.43091420638451883</v>
      </c>
      <c r="D11" s="374">
        <f>D9</f>
        <v>0.56908579361548117</v>
      </c>
      <c r="E11" s="375">
        <f>ROUND(((($C$5+$E$5+$F$5+$G$5)*1.063)*$C$11)+((($D$5+$E$5+$F$5+$G$5)*1.063)*$D$11),5)</f>
        <v>9.8320000000000005E-2</v>
      </c>
      <c r="F11" s="376">
        <f>$E$11+'Nov - Apr Capacity MSC by Class'!H20</f>
        <v>0.10490000000000001</v>
      </c>
      <c r="H11" s="377">
        <f>F11-E11</f>
        <v>6.5800000000000025E-3</v>
      </c>
      <c r="I11" s="378">
        <f>ROUND(((($C$5)*1.063)*$C$11)+((($D$5)*1.063)*$D$11),5)</f>
        <v>9.3509999999999996E-2</v>
      </c>
    </row>
    <row r="12" spans="1:12" x14ac:dyDescent="0.25">
      <c r="A12" s="369"/>
      <c r="B12" s="369"/>
      <c r="C12" s="370"/>
      <c r="D12" s="370"/>
      <c r="E12" s="370"/>
      <c r="F12" s="380"/>
      <c r="H12" s="370"/>
      <c r="I12" s="381"/>
    </row>
    <row r="13" spans="1:12" x14ac:dyDescent="0.25">
      <c r="A13" s="373" t="s">
        <v>357</v>
      </c>
      <c r="B13" s="373"/>
      <c r="C13" s="374">
        <f>IF(AND(MONTH($C$3)&gt;=6, MONTH($C$3)&lt;=9),'[93]2017 DATA'!$B$11,'[93]2017 DATA'!$F$11)</f>
        <v>0.47569672724097356</v>
      </c>
      <c r="D13" s="374">
        <f>IF(AND(MONTH($C$3)&gt;=6, MONTH($C$3)&lt;=9),'[93]2017 DATA'!$C$11,'[93]2017 DATA'!$G$11)</f>
        <v>0.52430327275902633</v>
      </c>
      <c r="E13" s="374">
        <f>ROUND(((($A$5+$E$5+$F$5+$G$5)*1.063)*$C$13)+((($B$5+$E$5+$F$5+$G$5)*1.063)*$D$13),4)</f>
        <v>0.1056</v>
      </c>
      <c r="F13" s="376">
        <f>$E$13+'Nov - Apr Capacity MSC by Class'!G21</f>
        <v>0.1105</v>
      </c>
      <c r="H13" s="374">
        <f>F13-E13</f>
        <v>4.9000000000000016E-3</v>
      </c>
      <c r="I13" s="382">
        <f>ROUND(((($A$5)*1.063)*$C$13)+((($B$5)*1.063)*$D$13),4)</f>
        <v>0.1008</v>
      </c>
    </row>
    <row r="14" spans="1:12" x14ac:dyDescent="0.25">
      <c r="A14" s="369"/>
      <c r="B14" s="369"/>
      <c r="C14" s="370"/>
      <c r="D14" s="370"/>
      <c r="E14" s="379"/>
      <c r="F14" s="380"/>
      <c r="H14" s="370"/>
      <c r="I14" s="381"/>
    </row>
    <row r="15" spans="1:12" x14ac:dyDescent="0.25">
      <c r="A15" s="373" t="s">
        <v>414</v>
      </c>
      <c r="B15" s="373"/>
      <c r="C15" s="374">
        <f>IF(AND(MONTH($C$3)&gt;=6, MONTH($C$3)&lt;=9),'[93]2017 DATA'!$B$15,'[93]2017 DATA'!$F$15)</f>
        <v>0.46226148114583754</v>
      </c>
      <c r="D15" s="374">
        <f>IF(AND(MONTH($C$3)&gt;=6, MONTH($C$3)&lt;=9),'[93]2017 DATA'!$C$15,'[93]2017 DATA'!$G$15)</f>
        <v>0.53773851885416268</v>
      </c>
      <c r="E15" s="374">
        <f>ROUND(((($A$5+$E$5+$F$5+$G$5)*1.063)*$C$15)+((($B$5+$E$5+$F$5+$G$5)*1.063)*$D$15),4)</f>
        <v>0.1053</v>
      </c>
      <c r="F15" s="376">
        <f>E15</f>
        <v>0.1053</v>
      </c>
      <c r="H15" s="374"/>
      <c r="I15" s="378"/>
    </row>
    <row r="17" spans="1:9" x14ac:dyDescent="0.25">
      <c r="A17" s="383" t="s">
        <v>415</v>
      </c>
      <c r="B17" s="383"/>
      <c r="C17" s="383"/>
    </row>
    <row r="25" spans="1:9" ht="13" x14ac:dyDescent="0.3">
      <c r="A25" s="234" t="s">
        <v>403</v>
      </c>
      <c r="F25" s="356" t="s">
        <v>561</v>
      </c>
      <c r="I25" s="356" t="s">
        <v>554</v>
      </c>
    </row>
    <row r="26" spans="1:9" ht="13" thickBot="1" x14ac:dyDescent="0.3"/>
    <row r="27" spans="1:9" ht="13.5" thickBot="1" x14ac:dyDescent="0.35">
      <c r="A27" s="241" t="s">
        <v>404</v>
      </c>
      <c r="B27" s="357"/>
      <c r="C27" s="358">
        <f>'[96]NYC Forecast ENERGY 09 08 20'!$A$12</f>
        <v>44197</v>
      </c>
      <c r="D27" s="359"/>
      <c r="E27" s="241"/>
      <c r="F27" s="241"/>
    </row>
    <row r="28" spans="1:9" x14ac:dyDescent="0.25">
      <c r="A28" s="360" t="s">
        <v>405</v>
      </c>
      <c r="B28" s="361" t="s">
        <v>406</v>
      </c>
      <c r="C28" s="362" t="s">
        <v>407</v>
      </c>
      <c r="D28" s="362" t="s">
        <v>408</v>
      </c>
      <c r="E28" s="362" t="s">
        <v>409</v>
      </c>
      <c r="F28" s="362" t="s">
        <v>377</v>
      </c>
      <c r="G28" s="363" t="s">
        <v>375</v>
      </c>
    </row>
    <row r="29" spans="1:9" ht="13" thickBot="1" x14ac:dyDescent="0.3">
      <c r="A29" s="364">
        <f>ROUND(VLOOKUP($C$3,'[96]NYC Forecast ENERGY 09 08 20'!$A$8:$H$32,2,FALSE)/1000,5)</f>
        <v>6.25E-2</v>
      </c>
      <c r="B29" s="365">
        <f>ROUND(VLOOKUP($C$3,'[96]NYC Forecast ENERGY 09 08 20'!$A$8:$H$32,3,FALSE)/1000,5)</f>
        <v>4.725E-2</v>
      </c>
      <c r="C29" s="365">
        <f>ROUND(VLOOKUP($C$3,'[96]NYC Forecast ENERGY 09 08 20'!$A$8:$H$32,6,FALSE)/1000,5)</f>
        <v>5.425E-2</v>
      </c>
      <c r="D29" s="365">
        <f>ROUND(VLOOKUP($C$3,'[96]NYC Forecast ENERGY 09 08 20'!$A$8:$H$32,7,FALSE)/1000,5)</f>
        <v>4.3999999999999997E-2</v>
      </c>
      <c r="E29" s="365" t="e">
        <f>ROUND(VLOOKUP($C$3,[97]Data!$A$61:$E$67,3,FALSE)/1000,5)</f>
        <v>#N/A</v>
      </c>
      <c r="F29" s="365" t="e">
        <f>ROUND(VLOOKUP($C$3,[97]Data!$A$61:$E$67,4,FALSE)/1000,5)</f>
        <v>#N/A</v>
      </c>
      <c r="G29" s="366" t="e">
        <f>ROUND(VLOOKUP($C$3,[97]Data!$A$61:$E$67,2,FALSE)/1000,5)</f>
        <v>#N/A</v>
      </c>
    </row>
    <row r="31" spans="1:9" ht="13" x14ac:dyDescent="0.3">
      <c r="C31" s="367" t="s">
        <v>410</v>
      </c>
      <c r="D31" s="367" t="s">
        <v>411</v>
      </c>
      <c r="E31" s="367" t="s">
        <v>382</v>
      </c>
      <c r="F31" s="368" t="s">
        <v>383</v>
      </c>
      <c r="H31" s="367" t="s">
        <v>412</v>
      </c>
      <c r="I31" s="367" t="s">
        <v>413</v>
      </c>
    </row>
    <row r="32" spans="1:9" x14ac:dyDescent="0.25">
      <c r="A32" s="369"/>
      <c r="B32" s="369"/>
      <c r="C32" s="795" t="s">
        <v>385</v>
      </c>
      <c r="D32" s="796"/>
      <c r="E32" s="370"/>
      <c r="F32" s="371"/>
      <c r="H32" s="372"/>
      <c r="I32" s="372"/>
    </row>
    <row r="33" spans="1:9" x14ac:dyDescent="0.25">
      <c r="A33" s="373" t="s">
        <v>355</v>
      </c>
      <c r="B33" s="373"/>
      <c r="C33" s="374">
        <f>IF(AND(MONTH($C$3)&gt;=6, MONTH($C$3)&lt;=9),'[93]2017 DATA'!$B$7,'[93]2017 DATA'!$F$7)</f>
        <v>0.43091420638451883</v>
      </c>
      <c r="D33" s="374">
        <f>IF(AND(MONTH($C$3)&gt;=6, MONTH($C$3)&lt;=9),'[93]2017 DATA'!$C$7,'[93]2017 DATA'!$G$7)</f>
        <v>0.56908579361548117</v>
      </c>
      <c r="E33" s="375">
        <f>ROUND(((($A$5+$E$5+$F$5+$G$5)*1.063)*$C$9)+((($B$5+$E$5+$F$5+$G$5)*1.063)*$D$9),5)</f>
        <v>0.10453</v>
      </c>
      <c r="F33" s="376" t="e">
        <f>$E$9+#REF!</f>
        <v>#REF!</v>
      </c>
      <c r="H33" s="377" t="e">
        <f>F33-E33</f>
        <v>#REF!</v>
      </c>
      <c r="I33" s="378">
        <f>ROUND(((($A$5)*1.063)*$C$9)+((($B$5)*1.063)*$D$9),5)</f>
        <v>9.9729999999999999E-2</v>
      </c>
    </row>
    <row r="34" spans="1:9" x14ac:dyDescent="0.25">
      <c r="A34" s="369"/>
      <c r="B34" s="369"/>
      <c r="C34" s="370"/>
      <c r="D34" s="379"/>
      <c r="E34" s="370"/>
      <c r="F34" s="380"/>
      <c r="H34" s="370"/>
      <c r="I34" s="381"/>
    </row>
    <row r="35" spans="1:9" x14ac:dyDescent="0.25">
      <c r="A35" s="373" t="s">
        <v>356</v>
      </c>
      <c r="B35" s="373"/>
      <c r="C35" s="374">
        <f>C33</f>
        <v>0.43091420638451883</v>
      </c>
      <c r="D35" s="374">
        <f>D33</f>
        <v>0.56908579361548117</v>
      </c>
      <c r="E35" s="375">
        <f>ROUND(((($C$5+$E$5+$F$5+$G$5)*1.063)*$C$11)+((($D$5+$E$5+$F$5+$G$5)*1.063)*$D$11),5)</f>
        <v>9.8320000000000005E-2</v>
      </c>
      <c r="F35" s="376" t="e">
        <f>$E$11+#REF!</f>
        <v>#REF!</v>
      </c>
      <c r="H35" s="377" t="e">
        <f>F35-E35</f>
        <v>#REF!</v>
      </c>
      <c r="I35" s="378">
        <f>ROUND(((($C$5)*1.063)*$C$11)+((($D$5)*1.063)*$D$11),5)</f>
        <v>9.3509999999999996E-2</v>
      </c>
    </row>
    <row r="36" spans="1:9" x14ac:dyDescent="0.25">
      <c r="A36" s="369"/>
      <c r="B36" s="369"/>
      <c r="C36" s="370"/>
      <c r="D36" s="370"/>
      <c r="E36" s="370"/>
      <c r="F36" s="380"/>
      <c r="H36" s="370"/>
      <c r="I36" s="381"/>
    </row>
    <row r="37" spans="1:9" x14ac:dyDescent="0.25">
      <c r="A37" s="373" t="s">
        <v>357</v>
      </c>
      <c r="B37" s="373"/>
      <c r="C37" s="374">
        <f>IF(AND(MONTH($C$3)&gt;=6, MONTH($C$3)&lt;=9),'[93]2017 DATA'!$B$11,'[93]2017 DATA'!$F$11)</f>
        <v>0.47569672724097356</v>
      </c>
      <c r="D37" s="374">
        <f>IF(AND(MONTH($C$3)&gt;=6, MONTH($C$3)&lt;=9),'[93]2017 DATA'!$C$11,'[93]2017 DATA'!$G$11)</f>
        <v>0.52430327275902633</v>
      </c>
      <c r="E37" s="374">
        <f>ROUND(((($A$5+$E$5+$F$5+$G$5)*1.063)*$C$13)+((($B$5+$E$5+$F$5+$G$5)*1.063)*$D$13),4)</f>
        <v>0.1056</v>
      </c>
      <c r="F37" s="376" t="e">
        <f>$E$13+#REF!</f>
        <v>#REF!</v>
      </c>
      <c r="H37" s="374" t="e">
        <f>F37-E37</f>
        <v>#REF!</v>
      </c>
      <c r="I37" s="382">
        <f>ROUND(((($A$5)*1.063)*$C$13)+((($B$5)*1.063)*$D$13),4)</f>
        <v>0.1008</v>
      </c>
    </row>
    <row r="38" spans="1:9" x14ac:dyDescent="0.25">
      <c r="A38" s="369"/>
      <c r="B38" s="369"/>
      <c r="C38" s="370"/>
      <c r="D38" s="370"/>
      <c r="E38" s="379"/>
      <c r="F38" s="380"/>
      <c r="H38" s="370"/>
      <c r="I38" s="381"/>
    </row>
    <row r="39" spans="1:9" x14ac:dyDescent="0.25">
      <c r="A39" s="373" t="s">
        <v>414</v>
      </c>
      <c r="B39" s="373"/>
      <c r="C39" s="374">
        <f>IF(AND(MONTH($C$3)&gt;=6, MONTH($C$3)&lt;=9),'[93]2017 DATA'!$B$15,'[93]2017 DATA'!$F$15)</f>
        <v>0.46226148114583754</v>
      </c>
      <c r="D39" s="374">
        <f>IF(AND(MONTH($C$3)&gt;=6, MONTH($C$3)&lt;=9),'[93]2017 DATA'!$C$15,'[93]2017 DATA'!$G$15)</f>
        <v>0.53773851885416268</v>
      </c>
      <c r="E39" s="374">
        <f>ROUND(((($A$5+$E$5+$F$5+$G$5)*1.063)*$C$15)+((($B$5+$E$5+$F$5+$G$5)*1.063)*$D$15),4)</f>
        <v>0.1053</v>
      </c>
      <c r="F39" s="376">
        <f>E39</f>
        <v>0.1053</v>
      </c>
      <c r="H39" s="374"/>
      <c r="I39" s="378"/>
    </row>
    <row r="41" spans="1:9" x14ac:dyDescent="0.25">
      <c r="A41" s="383" t="s">
        <v>415</v>
      </c>
      <c r="B41" s="383"/>
      <c r="C41" s="383"/>
    </row>
  </sheetData>
  <mergeCells count="2">
    <mergeCell ref="C8:D8"/>
    <mergeCell ref="C32:D32"/>
  </mergeCells>
  <hyperlinks>
    <hyperlink ref="C8:D8" r:id="rId1" display="Source" xr:uid="{D344981F-8145-435D-89C2-55027083E68F}"/>
    <hyperlink ref="C32:D32" r:id="rId2" display="Source" xr:uid="{F90E1705-99CA-4BED-A959-75E269CD6601}"/>
  </hyperlinks>
  <pageMargins left="0.75" right="0.75" top="1" bottom="1" header="0.5" footer="0.5"/>
  <pageSetup scale="70" orientation="portrait" r:id="rId3"/>
  <headerFooter alignWithMargins="0">
    <oddFooter>&amp;Z&amp;F</oddFooter>
  </headerFooter>
  <legacyDrawing r:id="rId4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EC733-2ACE-4A2B-B1F1-6100AC395876}">
  <sheetPr codeName="Sheet29">
    <tabColor indexed="24"/>
  </sheetPr>
  <dimension ref="A1:L41"/>
  <sheetViews>
    <sheetView view="pageBreakPreview" topLeftCell="B1" zoomScale="130" zoomScaleNormal="100" zoomScaleSheetLayoutView="130" workbookViewId="0">
      <selection activeCell="J2" sqref="J2"/>
    </sheetView>
  </sheetViews>
  <sheetFormatPr defaultColWidth="9.1796875" defaultRowHeight="12.5" x14ac:dyDescent="0.25"/>
  <cols>
    <col min="1" max="1" width="10.453125" style="234" customWidth="1"/>
    <col min="2" max="2" width="10.1796875" style="234" bestFit="1" customWidth="1"/>
    <col min="3" max="3" width="11" style="234" bestFit="1" customWidth="1"/>
    <col min="4" max="4" width="10.81640625" style="234" bestFit="1" customWidth="1"/>
    <col min="5" max="5" width="11.453125" style="234" bestFit="1" customWidth="1"/>
    <col min="6" max="6" width="10.54296875" style="234" bestFit="1" customWidth="1"/>
    <col min="7" max="7" width="9.1796875" style="234"/>
    <col min="8" max="8" width="8.453125" style="234" bestFit="1" customWidth="1"/>
    <col min="9" max="9" width="24" style="234" customWidth="1"/>
    <col min="10" max="16384" width="9.1796875" style="234"/>
  </cols>
  <sheetData>
    <row r="1" spans="1:12" ht="13" x14ac:dyDescent="0.3">
      <c r="A1" s="234" t="s">
        <v>403</v>
      </c>
      <c r="F1" s="356" t="s">
        <v>560</v>
      </c>
      <c r="I1" s="356" t="str">
        <f>'MTM MSC Estimates 1,9 Oct'!I1</f>
        <v>Forecast as of 9/7/21</v>
      </c>
    </row>
    <row r="2" spans="1:12" ht="13" thickBot="1" x14ac:dyDescent="0.3"/>
    <row r="3" spans="1:12" ht="13.5" thickBot="1" x14ac:dyDescent="0.35">
      <c r="A3" s="241" t="s">
        <v>404</v>
      </c>
      <c r="B3" s="357"/>
      <c r="C3" s="358">
        <f>'[91]NYC Forecast ENERGY 09 07 21'!$A$13</f>
        <v>44593</v>
      </c>
      <c r="D3" s="359"/>
      <c r="E3" s="241"/>
      <c r="F3" s="241"/>
    </row>
    <row r="4" spans="1:12" x14ac:dyDescent="0.25">
      <c r="A4" s="360" t="s">
        <v>405</v>
      </c>
      <c r="B4" s="361" t="s">
        <v>406</v>
      </c>
      <c r="C4" s="362" t="s">
        <v>407</v>
      </c>
      <c r="D4" s="362" t="s">
        <v>408</v>
      </c>
      <c r="E4" s="362" t="s">
        <v>409</v>
      </c>
      <c r="F4" s="362" t="s">
        <v>377</v>
      </c>
      <c r="G4" s="363" t="s">
        <v>375</v>
      </c>
    </row>
    <row r="5" spans="1:12" ht="13" thickBot="1" x14ac:dyDescent="0.3">
      <c r="A5" s="663">
        <f>ROUND(VLOOKUP($C$3,'[91]NYC Forecast ENERGY 09 07 21'!$A$8:$H$71,2,FALSE)/1000,5)</f>
        <v>0.10255</v>
      </c>
      <c r="B5" s="664">
        <f>ROUND(VLOOKUP($C$3,'[91]NYC Forecast ENERGY 09 07 21'!$A$8:$H$71,3,FALSE)/1000,5)</f>
        <v>8.0500000000000002E-2</v>
      </c>
      <c r="C5" s="664">
        <f>ROUND(VLOOKUP($C$3,'[91]NYC Forecast ENERGY 09 07 21'!$A$8:$H$71,6,FALSE)/1000,5)</f>
        <v>9.5000000000000001E-2</v>
      </c>
      <c r="D5" s="664">
        <f>ROUND(VLOOKUP($C$3,'[91]NYC Forecast ENERGY 09 07 21'!$A$8:$H$71,7,FALSE)/1000,5)</f>
        <v>7.6999999999999999E-2</v>
      </c>
      <c r="E5" s="664">
        <f>ROUND(VLOOKUP($C$3,[92]Data!$A$64:$E$159,3,FALSE)/1000,5)</f>
        <v>2.5600000000000002E-3</v>
      </c>
      <c r="F5" s="664">
        <f>ROUND(VLOOKUP($C$3,[92]Data!$A$64:$E$159,4,FALSE)/1000,5)</f>
        <v>1.4400000000000001E-3</v>
      </c>
      <c r="G5" s="665">
        <f>ROUND(VLOOKUP($C$3,[92]Data!$A$64:$E$159,2,FALSE)/1000,5)</f>
        <v>5.9999999999999995E-4</v>
      </c>
      <c r="I5" s="666" t="s">
        <v>569</v>
      </c>
      <c r="J5" s="662"/>
      <c r="K5" s="662"/>
      <c r="L5" s="662"/>
    </row>
    <row r="7" spans="1:12" ht="13" x14ac:dyDescent="0.3">
      <c r="C7" s="367" t="s">
        <v>410</v>
      </c>
      <c r="D7" s="367" t="s">
        <v>411</v>
      </c>
      <c r="E7" s="367" t="s">
        <v>382</v>
      </c>
      <c r="F7" s="368" t="s">
        <v>383</v>
      </c>
      <c r="H7" s="367" t="s">
        <v>412</v>
      </c>
      <c r="I7" s="367" t="s">
        <v>413</v>
      </c>
    </row>
    <row r="8" spans="1:12" x14ac:dyDescent="0.25">
      <c r="A8" s="369"/>
      <c r="B8" s="369"/>
      <c r="C8" s="795" t="s">
        <v>385</v>
      </c>
      <c r="D8" s="796"/>
      <c r="E8" s="370"/>
      <c r="F8" s="371"/>
      <c r="H8" s="372"/>
      <c r="I8" s="372"/>
    </row>
    <row r="9" spans="1:12" x14ac:dyDescent="0.25">
      <c r="A9" s="373" t="s">
        <v>355</v>
      </c>
      <c r="B9" s="373"/>
      <c r="C9" s="374">
        <f>IF(AND(MONTH($C$3)&gt;=6, MONTH($C$3)&lt;=9),'[93]2017 DATA'!$B$7,'[93]2017 DATA'!$F$7)</f>
        <v>0.43091420638451883</v>
      </c>
      <c r="D9" s="374">
        <f>IF(AND(MONTH($C$3)&gt;=6, MONTH($C$3)&lt;=9),'[93]2017 DATA'!$C$7,'[93]2017 DATA'!$G$7)</f>
        <v>0.56908579361548117</v>
      </c>
      <c r="E9" s="375">
        <f>ROUND(((($A$5+$E$5+$F$5+$G$5)*1.063)*$C$9)+((($B$5+$E$5+$F$5+$G$5)*1.063)*$D$9),5)</f>
        <v>0.10056</v>
      </c>
      <c r="F9" s="376">
        <f>$E$9+'Nov - Apr Capacity MSC by Class'!G20</f>
        <v>0.10905999999999999</v>
      </c>
      <c r="H9" s="377">
        <f>F9-E9</f>
        <v>8.4999999999999937E-3</v>
      </c>
      <c r="I9" s="378">
        <f>ROUND(((($A$5)*1.063)*$C$9)+((($B$5)*1.063)*$D$9),5)</f>
        <v>9.5670000000000005E-2</v>
      </c>
    </row>
    <row r="10" spans="1:12" x14ac:dyDescent="0.25">
      <c r="A10" s="369"/>
      <c r="B10" s="369"/>
      <c r="C10" s="370"/>
      <c r="D10" s="379"/>
      <c r="E10" s="370"/>
      <c r="F10" s="380"/>
      <c r="H10" s="370"/>
      <c r="I10" s="381"/>
    </row>
    <row r="11" spans="1:12" x14ac:dyDescent="0.25">
      <c r="A11" s="373" t="s">
        <v>356</v>
      </c>
      <c r="B11" s="373"/>
      <c r="C11" s="374">
        <f>C9</f>
        <v>0.43091420638451883</v>
      </c>
      <c r="D11" s="374">
        <f>D9</f>
        <v>0.56908579361548117</v>
      </c>
      <c r="E11" s="375">
        <f>ROUND(((($C$5+$E$5+$F$5+$G$5)*1.063)*$C$11)+((($D$5+$E$5+$F$5+$G$5)*1.063)*$D$11),5)</f>
        <v>9.4990000000000005E-2</v>
      </c>
      <c r="F11" s="376">
        <f>$E$11+'Nov - Apr Capacity MSC by Class'!H20</f>
        <v>0.10157000000000001</v>
      </c>
      <c r="H11" s="377">
        <f>F11-E11</f>
        <v>6.5800000000000025E-3</v>
      </c>
      <c r="I11" s="378">
        <f>ROUND(((($C$5)*1.063)*$C$11)+((($D$5)*1.063)*$D$11),5)</f>
        <v>9.01E-2</v>
      </c>
    </row>
    <row r="12" spans="1:12" x14ac:dyDescent="0.25">
      <c r="A12" s="369"/>
      <c r="B12" s="369"/>
      <c r="C12" s="370"/>
      <c r="D12" s="370"/>
      <c r="E12" s="370"/>
      <c r="F12" s="380"/>
      <c r="H12" s="370"/>
      <c r="I12" s="381"/>
    </row>
    <row r="13" spans="1:12" x14ac:dyDescent="0.25">
      <c r="A13" s="373" t="s">
        <v>357</v>
      </c>
      <c r="B13" s="373"/>
      <c r="C13" s="374">
        <f>IF(AND(MONTH($C$3)&gt;=6, MONTH($C$3)&lt;=9),'[93]2017 DATA'!$B$11,'[93]2017 DATA'!$F$11)</f>
        <v>0.47569672724097356</v>
      </c>
      <c r="D13" s="374">
        <f>IF(AND(MONTH($C$3)&gt;=6, MONTH($C$3)&lt;=9),'[93]2017 DATA'!$C$11,'[93]2017 DATA'!$G$11)</f>
        <v>0.52430327275902633</v>
      </c>
      <c r="E13" s="374">
        <f>ROUND(((($A$5+$E$5+$F$5+$G$5)*1.063)*$C$13)+((($B$5+$E$5+$F$5+$G$5)*1.063)*$D$13),4)</f>
        <v>0.1016</v>
      </c>
      <c r="F13" s="376">
        <f>$E$13+'Nov - Apr Capacity MSC by Class'!G21</f>
        <v>0.1065</v>
      </c>
      <c r="H13" s="374">
        <f>F13-E13</f>
        <v>4.9000000000000016E-3</v>
      </c>
      <c r="I13" s="382">
        <f>ROUND(((($A$5)*1.063)*$C$13)+((($B$5)*1.063)*$D$13),4)</f>
        <v>9.6699999999999994E-2</v>
      </c>
    </row>
    <row r="14" spans="1:12" x14ac:dyDescent="0.25">
      <c r="A14" s="369"/>
      <c r="B14" s="369"/>
      <c r="C14" s="370"/>
      <c r="D14" s="370"/>
      <c r="E14" s="379"/>
      <c r="F14" s="380"/>
      <c r="H14" s="370"/>
      <c r="I14" s="381"/>
    </row>
    <row r="15" spans="1:12" x14ac:dyDescent="0.25">
      <c r="A15" s="373" t="s">
        <v>414</v>
      </c>
      <c r="B15" s="373"/>
      <c r="C15" s="374">
        <f>IF(AND(MONTH($C$3)&gt;=6, MONTH($C$3)&lt;=9),'[93]2017 DATA'!$B$15,'[93]2017 DATA'!$F$15)</f>
        <v>0.46226148114583754</v>
      </c>
      <c r="D15" s="374">
        <f>IF(AND(MONTH($C$3)&gt;=6, MONTH($C$3)&lt;=9),'[93]2017 DATA'!$C$15,'[93]2017 DATA'!$G$15)</f>
        <v>0.53773851885416268</v>
      </c>
      <c r="E15" s="374">
        <f>ROUND(((($A$5+$E$5+$F$5+$G$5)*1.063)*$C$15)+((($B$5+$E$5+$F$5+$G$5)*1.063)*$D$15),4)</f>
        <v>0.1013</v>
      </c>
      <c r="F15" s="376">
        <f>E15</f>
        <v>0.1013</v>
      </c>
      <c r="H15" s="374"/>
      <c r="I15" s="378"/>
    </row>
    <row r="17" spans="1:9" x14ac:dyDescent="0.25">
      <c r="A17" s="383" t="s">
        <v>415</v>
      </c>
      <c r="B17" s="383"/>
      <c r="C17" s="383"/>
    </row>
    <row r="25" spans="1:9" ht="13" x14ac:dyDescent="0.3">
      <c r="A25" s="234" t="s">
        <v>403</v>
      </c>
      <c r="F25" s="356" t="s">
        <v>561</v>
      </c>
      <c r="I25" s="356" t="s">
        <v>554</v>
      </c>
    </row>
    <row r="26" spans="1:9" ht="13" thickBot="1" x14ac:dyDescent="0.3"/>
    <row r="27" spans="1:9" ht="13.5" thickBot="1" x14ac:dyDescent="0.35">
      <c r="A27" s="241" t="s">
        <v>404</v>
      </c>
      <c r="B27" s="357"/>
      <c r="C27" s="358">
        <f>'[96]NYC Forecast ENERGY 09 08 20'!$A$13</f>
        <v>44228</v>
      </c>
      <c r="D27" s="359"/>
      <c r="E27" s="241"/>
      <c r="F27" s="241"/>
    </row>
    <row r="28" spans="1:9" x14ac:dyDescent="0.25">
      <c r="A28" s="360" t="s">
        <v>405</v>
      </c>
      <c r="B28" s="361" t="s">
        <v>406</v>
      </c>
      <c r="C28" s="362" t="s">
        <v>407</v>
      </c>
      <c r="D28" s="362" t="s">
        <v>408</v>
      </c>
      <c r="E28" s="362" t="s">
        <v>409</v>
      </c>
      <c r="F28" s="362" t="s">
        <v>377</v>
      </c>
      <c r="G28" s="363" t="s">
        <v>375</v>
      </c>
    </row>
    <row r="29" spans="1:9" ht="13" thickBot="1" x14ac:dyDescent="0.3">
      <c r="A29" s="364">
        <f>ROUND(VLOOKUP($C$3,'[96]NYC Forecast ENERGY 09 08 20'!$A$8:$H$32,2,FALSE)/1000,5)</f>
        <v>5.951E-2</v>
      </c>
      <c r="B29" s="365">
        <f>ROUND(VLOOKUP($C$3,'[96]NYC Forecast ENERGY 09 08 20'!$A$8:$H$32,3,FALSE)/1000,5)</f>
        <v>4.53E-2</v>
      </c>
      <c r="C29" s="365">
        <f>ROUND(VLOOKUP($C$3,'[96]NYC Forecast ENERGY 09 08 20'!$A$8:$H$32,6,FALSE)/1000,5)</f>
        <v>5.2249999999999998E-2</v>
      </c>
      <c r="D29" s="365">
        <f>ROUND(VLOOKUP($C$3,'[96]NYC Forecast ENERGY 09 08 20'!$A$8:$H$32,7,FALSE)/1000,5)</f>
        <v>4.2500000000000003E-2</v>
      </c>
      <c r="E29" s="365" t="e">
        <f>ROUND(VLOOKUP($C$3,[97]Data!$A$61:$E$67,3,FALSE)/1000,5)</f>
        <v>#N/A</v>
      </c>
      <c r="F29" s="365" t="e">
        <f>ROUND(VLOOKUP($C$3,[97]Data!$A$61:$E$67,4,FALSE)/1000,5)</f>
        <v>#N/A</v>
      </c>
      <c r="G29" s="366" t="e">
        <f>ROUND(VLOOKUP($C$3,[97]Data!$A$61:$E$67,2,FALSE)/1000,5)</f>
        <v>#N/A</v>
      </c>
    </row>
    <row r="31" spans="1:9" ht="13" x14ac:dyDescent="0.3">
      <c r="C31" s="367" t="s">
        <v>410</v>
      </c>
      <c r="D31" s="367" t="s">
        <v>411</v>
      </c>
      <c r="E31" s="367" t="s">
        <v>382</v>
      </c>
      <c r="F31" s="368" t="s">
        <v>383</v>
      </c>
      <c r="H31" s="367" t="s">
        <v>412</v>
      </c>
      <c r="I31" s="367" t="s">
        <v>413</v>
      </c>
    </row>
    <row r="32" spans="1:9" x14ac:dyDescent="0.25">
      <c r="A32" s="369"/>
      <c r="B32" s="369"/>
      <c r="C32" s="795" t="s">
        <v>385</v>
      </c>
      <c r="D32" s="796"/>
      <c r="E32" s="370"/>
      <c r="F32" s="371"/>
      <c r="H32" s="372"/>
      <c r="I32" s="372"/>
    </row>
    <row r="33" spans="1:9" x14ac:dyDescent="0.25">
      <c r="A33" s="373" t="s">
        <v>355</v>
      </c>
      <c r="B33" s="373"/>
      <c r="C33" s="374">
        <f>IF(AND(MONTH($C$3)&gt;=6, MONTH($C$3)&lt;=9),'[93]2017 DATA'!$B$7,'[93]2017 DATA'!$F$7)</f>
        <v>0.43091420638451883</v>
      </c>
      <c r="D33" s="374">
        <f>IF(AND(MONTH($C$3)&gt;=6, MONTH($C$3)&lt;=9),'[93]2017 DATA'!$C$7,'[93]2017 DATA'!$G$7)</f>
        <v>0.56908579361548117</v>
      </c>
      <c r="E33" s="375">
        <f>ROUND(((($A$5+$E$5+$F$5+$G$5)*1.063)*$C$9)+((($B$5+$E$5+$F$5+$G$5)*1.063)*$D$9),5)</f>
        <v>0.10056</v>
      </c>
      <c r="F33" s="376" t="e">
        <f>$E$9+#REF!</f>
        <v>#REF!</v>
      </c>
      <c r="H33" s="377" t="e">
        <f>F33-E33</f>
        <v>#REF!</v>
      </c>
      <c r="I33" s="378">
        <f>ROUND(((($A$5)*1.063)*$C$9)+((($B$5)*1.063)*$D$9),5)</f>
        <v>9.5670000000000005E-2</v>
      </c>
    </row>
    <row r="34" spans="1:9" x14ac:dyDescent="0.25">
      <c r="A34" s="369"/>
      <c r="B34" s="369"/>
      <c r="C34" s="370"/>
      <c r="D34" s="379"/>
      <c r="E34" s="370"/>
      <c r="F34" s="380"/>
      <c r="H34" s="370"/>
      <c r="I34" s="381"/>
    </row>
    <row r="35" spans="1:9" x14ac:dyDescent="0.25">
      <c r="A35" s="373" t="s">
        <v>356</v>
      </c>
      <c r="B35" s="373"/>
      <c r="C35" s="374">
        <f>C33</f>
        <v>0.43091420638451883</v>
      </c>
      <c r="D35" s="374">
        <f>D33</f>
        <v>0.56908579361548117</v>
      </c>
      <c r="E35" s="375">
        <f>ROUND(((($C$5+$E$5+$F$5+$G$5)*1.063)*$C$11)+((($D$5+$E$5+$F$5+$G$5)*1.063)*$D$11),5)</f>
        <v>9.4990000000000005E-2</v>
      </c>
      <c r="F35" s="376" t="e">
        <f>$E$11+#REF!</f>
        <v>#REF!</v>
      </c>
      <c r="H35" s="377" t="e">
        <f>F35-E35</f>
        <v>#REF!</v>
      </c>
      <c r="I35" s="378">
        <f>ROUND(((($C$5)*1.063)*$C$11)+((($D$5)*1.063)*$D$11),5)</f>
        <v>9.01E-2</v>
      </c>
    </row>
    <row r="36" spans="1:9" x14ac:dyDescent="0.25">
      <c r="A36" s="369"/>
      <c r="B36" s="369"/>
      <c r="C36" s="370"/>
      <c r="D36" s="370"/>
      <c r="E36" s="370"/>
      <c r="F36" s="380"/>
      <c r="H36" s="370"/>
      <c r="I36" s="381"/>
    </row>
    <row r="37" spans="1:9" x14ac:dyDescent="0.25">
      <c r="A37" s="373" t="s">
        <v>357</v>
      </c>
      <c r="B37" s="373"/>
      <c r="C37" s="374">
        <f>IF(AND(MONTH($C$3)&gt;=6, MONTH($C$3)&lt;=9),'[93]2017 DATA'!$B$11,'[93]2017 DATA'!$F$11)</f>
        <v>0.47569672724097356</v>
      </c>
      <c r="D37" s="374">
        <f>IF(AND(MONTH($C$3)&gt;=6, MONTH($C$3)&lt;=9),'[93]2017 DATA'!$C$11,'[93]2017 DATA'!$G$11)</f>
        <v>0.52430327275902633</v>
      </c>
      <c r="E37" s="374">
        <f>ROUND(((($A$5+$E$5+$F$5+$G$5)*1.063)*$C$13)+((($B$5+$E$5+$F$5+$G$5)*1.063)*$D$13),4)</f>
        <v>0.1016</v>
      </c>
      <c r="F37" s="376" t="e">
        <f>$E$13+#REF!</f>
        <v>#REF!</v>
      </c>
      <c r="H37" s="374" t="e">
        <f>F37-E37</f>
        <v>#REF!</v>
      </c>
      <c r="I37" s="382">
        <f>ROUND(((($A$5)*1.063)*$C$13)+((($B$5)*1.063)*$D$13),4)</f>
        <v>9.6699999999999994E-2</v>
      </c>
    </row>
    <row r="38" spans="1:9" x14ac:dyDescent="0.25">
      <c r="A38" s="369"/>
      <c r="B38" s="369"/>
      <c r="C38" s="370"/>
      <c r="D38" s="370"/>
      <c r="E38" s="379"/>
      <c r="F38" s="380"/>
      <c r="H38" s="370"/>
      <c r="I38" s="381"/>
    </row>
    <row r="39" spans="1:9" x14ac:dyDescent="0.25">
      <c r="A39" s="373" t="s">
        <v>414</v>
      </c>
      <c r="B39" s="373"/>
      <c r="C39" s="374">
        <f>IF(AND(MONTH($C$3)&gt;=6, MONTH($C$3)&lt;=9),'[93]2017 DATA'!$B$15,'[93]2017 DATA'!$F$15)</f>
        <v>0.46226148114583754</v>
      </c>
      <c r="D39" s="374">
        <f>IF(AND(MONTH($C$3)&gt;=6, MONTH($C$3)&lt;=9),'[93]2017 DATA'!$C$15,'[93]2017 DATA'!$G$15)</f>
        <v>0.53773851885416268</v>
      </c>
      <c r="E39" s="374">
        <f>ROUND(((($A$5+$E$5+$F$5+$G$5)*1.063)*$C$15)+((($B$5+$E$5+$F$5+$G$5)*1.063)*$D$15),4)</f>
        <v>0.1013</v>
      </c>
      <c r="F39" s="376">
        <f>E39</f>
        <v>0.1013</v>
      </c>
      <c r="H39" s="374"/>
      <c r="I39" s="378"/>
    </row>
    <row r="41" spans="1:9" x14ac:dyDescent="0.25">
      <c r="A41" s="383" t="s">
        <v>415</v>
      </c>
      <c r="B41" s="383"/>
      <c r="C41" s="383"/>
    </row>
  </sheetData>
  <mergeCells count="2">
    <mergeCell ref="C8:D8"/>
    <mergeCell ref="C32:D32"/>
  </mergeCells>
  <hyperlinks>
    <hyperlink ref="C8:D8" r:id="rId1" display="Source" xr:uid="{6A80530F-0E3F-4AB1-8235-5B70C8C7DAD5}"/>
    <hyperlink ref="C32:D32" r:id="rId2" display="Source" xr:uid="{FCB8DA7B-01D3-404C-9997-7B17AF6C09E6}"/>
  </hyperlinks>
  <pageMargins left="0.75" right="0.75" top="1" bottom="1" header="0.5" footer="0.5"/>
  <pageSetup scale="70" orientation="portrait" r:id="rId3"/>
  <headerFooter alignWithMargins="0">
    <oddFooter>&amp;Z&amp;F</oddFooter>
  </headerFooter>
  <legacyDrawing r:id="rId4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1EE597-4C64-439C-B22A-0CE56175970E}">
  <sheetPr codeName="Sheet30">
    <tabColor indexed="24"/>
  </sheetPr>
  <dimension ref="A1:L41"/>
  <sheetViews>
    <sheetView view="pageBreakPreview" topLeftCell="C1" zoomScale="130" zoomScaleNormal="100" zoomScaleSheetLayoutView="130" workbookViewId="0">
      <selection activeCell="I2" sqref="I2"/>
    </sheetView>
  </sheetViews>
  <sheetFormatPr defaultColWidth="9.1796875" defaultRowHeight="12.5" x14ac:dyDescent="0.25"/>
  <cols>
    <col min="1" max="1" width="10.453125" style="234" customWidth="1"/>
    <col min="2" max="2" width="10.1796875" style="234" bestFit="1" customWidth="1"/>
    <col min="3" max="3" width="11" style="234" bestFit="1" customWidth="1"/>
    <col min="4" max="4" width="10.81640625" style="234" bestFit="1" customWidth="1"/>
    <col min="5" max="5" width="11.453125" style="234" bestFit="1" customWidth="1"/>
    <col min="6" max="6" width="10.54296875" style="234" bestFit="1" customWidth="1"/>
    <col min="7" max="7" width="9.1796875" style="234"/>
    <col min="8" max="8" width="8.453125" style="234" bestFit="1" customWidth="1"/>
    <col min="9" max="9" width="24" style="234" customWidth="1"/>
    <col min="10" max="16384" width="9.1796875" style="234"/>
  </cols>
  <sheetData>
    <row r="1" spans="1:12" ht="13" x14ac:dyDescent="0.3">
      <c r="A1" s="234" t="s">
        <v>403</v>
      </c>
      <c r="F1" s="356" t="s">
        <v>560</v>
      </c>
      <c r="I1" s="356" t="str">
        <f>'MTM MSC Estimates 1,9 Oct'!I1</f>
        <v>Forecast as of 9/7/21</v>
      </c>
    </row>
    <row r="2" spans="1:12" ht="13" thickBot="1" x14ac:dyDescent="0.3"/>
    <row r="3" spans="1:12" ht="13.5" thickBot="1" x14ac:dyDescent="0.35">
      <c r="A3" s="241" t="s">
        <v>404</v>
      </c>
      <c r="B3" s="357"/>
      <c r="C3" s="358">
        <f>'[91]NYC Forecast ENERGY 09 07 21'!$A$14</f>
        <v>44621</v>
      </c>
      <c r="D3" s="359"/>
      <c r="E3" s="241"/>
      <c r="F3" s="241"/>
    </row>
    <row r="4" spans="1:12" x14ac:dyDescent="0.25">
      <c r="A4" s="360" t="s">
        <v>405</v>
      </c>
      <c r="B4" s="361" t="s">
        <v>406</v>
      </c>
      <c r="C4" s="362" t="s">
        <v>407</v>
      </c>
      <c r="D4" s="362" t="s">
        <v>408</v>
      </c>
      <c r="E4" s="362" t="s">
        <v>409</v>
      </c>
      <c r="F4" s="362" t="s">
        <v>377</v>
      </c>
      <c r="G4" s="363" t="s">
        <v>375</v>
      </c>
    </row>
    <row r="5" spans="1:12" ht="13" thickBot="1" x14ac:dyDescent="0.3">
      <c r="A5" s="663">
        <f>ROUND(VLOOKUP($C$3,'[91]NYC Forecast ENERGY 09 07 21'!$A$8:$H$71,2,FALSE)/1000,5)</f>
        <v>6.2E-2</v>
      </c>
      <c r="B5" s="664">
        <f>ROUND(VLOOKUP($C$3,'[91]NYC Forecast ENERGY 09 07 21'!$A$8:$H$71,3,FALSE)/1000,5)</f>
        <v>4.5510000000000002E-2</v>
      </c>
      <c r="C5" s="664">
        <f>ROUND(VLOOKUP($C$3,'[91]NYC Forecast ENERGY 09 07 21'!$A$8:$H$71,6,FALSE)/1000,5)</f>
        <v>5.7500000000000002E-2</v>
      </c>
      <c r="D5" s="664">
        <f>ROUND(VLOOKUP($C$3,'[91]NYC Forecast ENERGY 09 07 21'!$A$8:$H$71,7,FALSE)/1000,5)</f>
        <v>4.3249999999999997E-2</v>
      </c>
      <c r="E5" s="664">
        <f>ROUND(VLOOKUP($C$3,[92]Data!$A$64:$E$159,3,FALSE)/1000,5)</f>
        <v>2.4299999999999999E-3</v>
      </c>
      <c r="F5" s="664">
        <f>ROUND(VLOOKUP($C$3,[92]Data!$A$64:$E$159,4,FALSE)/1000,5)</f>
        <v>1.41E-3</v>
      </c>
      <c r="G5" s="665">
        <f>ROUND(VLOOKUP($C$3,[92]Data!$A$64:$E$159,2,FALSE)/1000,5)</f>
        <v>6.6E-4</v>
      </c>
      <c r="I5" s="666" t="s">
        <v>569</v>
      </c>
      <c r="J5" s="662"/>
      <c r="K5" s="662"/>
      <c r="L5" s="662"/>
    </row>
    <row r="7" spans="1:12" ht="13" x14ac:dyDescent="0.3">
      <c r="C7" s="367" t="s">
        <v>410</v>
      </c>
      <c r="D7" s="367" t="s">
        <v>411</v>
      </c>
      <c r="E7" s="367" t="s">
        <v>382</v>
      </c>
      <c r="F7" s="368" t="s">
        <v>383</v>
      </c>
      <c r="H7" s="367" t="s">
        <v>412</v>
      </c>
      <c r="I7" s="367" t="s">
        <v>413</v>
      </c>
    </row>
    <row r="8" spans="1:12" x14ac:dyDescent="0.25">
      <c r="A8" s="369"/>
      <c r="B8" s="369"/>
      <c r="C8" s="795" t="s">
        <v>385</v>
      </c>
      <c r="D8" s="796"/>
      <c r="E8" s="370"/>
      <c r="F8" s="371"/>
      <c r="H8" s="372"/>
      <c r="I8" s="372"/>
    </row>
    <row r="9" spans="1:12" x14ac:dyDescent="0.25">
      <c r="A9" s="373" t="s">
        <v>355</v>
      </c>
      <c r="B9" s="373"/>
      <c r="C9" s="374">
        <f>IF(AND(MONTH($C$3)&gt;=6, MONTH($C$3)&lt;=9),'[93]2017 DATA'!$B$7,'[93]2017 DATA'!$F$7)</f>
        <v>0.43091420638451883</v>
      </c>
      <c r="D9" s="374">
        <f>IF(AND(MONTH($C$3)&gt;=6, MONTH($C$3)&lt;=9),'[93]2017 DATA'!$C$7,'[93]2017 DATA'!$G$7)</f>
        <v>0.56908579361548117</v>
      </c>
      <c r="E9" s="375">
        <f>ROUND(((($A$5+$E$5+$F$5+$G$5)*1.063)*$C$9)+((($B$5+$E$5+$F$5+$G$5)*1.063)*$D$9),5)</f>
        <v>6.071E-2</v>
      </c>
      <c r="F9" s="376">
        <f>$E$9+'Nov - Apr Capacity MSC by Class'!G20</f>
        <v>6.9209999999999994E-2</v>
      </c>
      <c r="H9" s="377">
        <f>F9-E9</f>
        <v>8.4999999999999937E-3</v>
      </c>
      <c r="I9" s="378">
        <f>ROUND(((($A$5)*1.063)*$C$9)+((($B$5)*1.063)*$D$9),5)</f>
        <v>5.5930000000000001E-2</v>
      </c>
    </row>
    <row r="10" spans="1:12" x14ac:dyDescent="0.25">
      <c r="A10" s="369"/>
      <c r="B10" s="369"/>
      <c r="C10" s="370"/>
      <c r="D10" s="379"/>
      <c r="E10" s="370"/>
      <c r="F10" s="380"/>
      <c r="H10" s="370"/>
      <c r="I10" s="381"/>
    </row>
    <row r="11" spans="1:12" x14ac:dyDescent="0.25">
      <c r="A11" s="373" t="s">
        <v>356</v>
      </c>
      <c r="B11" s="373"/>
      <c r="C11" s="374">
        <f>C9</f>
        <v>0.43091420638451883</v>
      </c>
      <c r="D11" s="374">
        <f>D9</f>
        <v>0.56908579361548117</v>
      </c>
      <c r="E11" s="375">
        <f>ROUND(((($C$5+$E$5+$F$5+$G$5)*1.063)*$C$11)+((($D$5+$E$5+$F$5+$G$5)*1.063)*$D$11),5)</f>
        <v>5.7290000000000001E-2</v>
      </c>
      <c r="F11" s="376">
        <f>$E$11+'Nov - Apr Capacity MSC by Class'!H20</f>
        <v>6.3869999999999996E-2</v>
      </c>
      <c r="H11" s="377">
        <f>F11-E11</f>
        <v>6.5799999999999956E-3</v>
      </c>
      <c r="I11" s="378">
        <f>ROUND(((($C$5)*1.063)*$C$11)+((($D$5)*1.063)*$D$11),5)</f>
        <v>5.2499999999999998E-2</v>
      </c>
    </row>
    <row r="12" spans="1:12" x14ac:dyDescent="0.25">
      <c r="A12" s="369"/>
      <c r="B12" s="369"/>
      <c r="C12" s="370"/>
      <c r="D12" s="370"/>
      <c r="E12" s="370"/>
      <c r="F12" s="380"/>
      <c r="H12" s="370"/>
      <c r="I12" s="381"/>
    </row>
    <row r="13" spans="1:12" x14ac:dyDescent="0.25">
      <c r="A13" s="373" t="s">
        <v>357</v>
      </c>
      <c r="B13" s="373"/>
      <c r="C13" s="374">
        <f>IF(AND(MONTH($C$3)&gt;=6, MONTH($C$3)&lt;=9),'[93]2017 DATA'!$B$11,'[93]2017 DATA'!$F$11)</f>
        <v>0.47569672724097356</v>
      </c>
      <c r="D13" s="374">
        <f>IF(AND(MONTH($C$3)&gt;=6, MONTH($C$3)&lt;=9),'[93]2017 DATA'!$C$11,'[93]2017 DATA'!$G$11)</f>
        <v>0.52430327275902633</v>
      </c>
      <c r="E13" s="374">
        <f>ROUND(((($A$5+$E$5+$F$5+$G$5)*1.063)*$C$13)+((($B$5+$E$5+$F$5+$G$5)*1.063)*$D$13),4)</f>
        <v>6.1499999999999999E-2</v>
      </c>
      <c r="F13" s="376">
        <f>$E$13+'Nov - Apr Capacity MSC by Class'!G21</f>
        <v>6.6400000000000001E-2</v>
      </c>
      <c r="H13" s="374">
        <f>F13-E13</f>
        <v>4.9000000000000016E-3</v>
      </c>
      <c r="I13" s="382">
        <f>ROUND(((($A$5)*1.063)*$C$13)+((($B$5)*1.063)*$D$13),4)</f>
        <v>5.67E-2</v>
      </c>
    </row>
    <row r="14" spans="1:12" x14ac:dyDescent="0.25">
      <c r="A14" s="369"/>
      <c r="B14" s="369"/>
      <c r="C14" s="370"/>
      <c r="D14" s="370"/>
      <c r="E14" s="379"/>
      <c r="F14" s="380"/>
      <c r="H14" s="370"/>
      <c r="I14" s="381"/>
    </row>
    <row r="15" spans="1:12" x14ac:dyDescent="0.25">
      <c r="A15" s="373" t="s">
        <v>414</v>
      </c>
      <c r="B15" s="373"/>
      <c r="C15" s="374">
        <f>IF(AND(MONTH($C$3)&gt;=6, MONTH($C$3)&lt;=9),'[93]2017 DATA'!$B$15,'[93]2017 DATA'!$F$15)</f>
        <v>0.46226148114583754</v>
      </c>
      <c r="D15" s="374">
        <f>IF(AND(MONTH($C$3)&gt;=6, MONTH($C$3)&lt;=9),'[93]2017 DATA'!$C$15,'[93]2017 DATA'!$G$15)</f>
        <v>0.53773851885416268</v>
      </c>
      <c r="E15" s="374">
        <f>ROUND(((($A$5+$E$5+$F$5+$G$5)*1.063)*$C$15)+((($B$5+$E$5+$F$5+$G$5)*1.063)*$D$15),4)</f>
        <v>6.13E-2</v>
      </c>
      <c r="F15" s="376">
        <f>E15</f>
        <v>6.13E-2</v>
      </c>
      <c r="H15" s="374"/>
      <c r="I15" s="378"/>
    </row>
    <row r="17" spans="1:9" x14ac:dyDescent="0.25">
      <c r="A17" s="383" t="s">
        <v>415</v>
      </c>
      <c r="B17" s="383"/>
      <c r="C17" s="383"/>
    </row>
    <row r="25" spans="1:9" ht="13" x14ac:dyDescent="0.3">
      <c r="A25" s="234" t="s">
        <v>403</v>
      </c>
      <c r="F25" s="356" t="s">
        <v>561</v>
      </c>
      <c r="I25" s="356" t="s">
        <v>554</v>
      </c>
    </row>
    <row r="26" spans="1:9" ht="13" thickBot="1" x14ac:dyDescent="0.3"/>
    <row r="27" spans="1:9" ht="13.5" thickBot="1" x14ac:dyDescent="0.35">
      <c r="A27" s="241" t="s">
        <v>404</v>
      </c>
      <c r="B27" s="357"/>
      <c r="C27" s="358">
        <f>'[96]NYC Forecast ENERGY 09 08 20'!$A$14</f>
        <v>44256</v>
      </c>
      <c r="D27" s="359"/>
      <c r="E27" s="241"/>
      <c r="F27" s="241"/>
    </row>
    <row r="28" spans="1:9" x14ac:dyDescent="0.25">
      <c r="A28" s="360" t="s">
        <v>405</v>
      </c>
      <c r="B28" s="361" t="s">
        <v>406</v>
      </c>
      <c r="C28" s="362" t="s">
        <v>407</v>
      </c>
      <c r="D28" s="362" t="s">
        <v>408</v>
      </c>
      <c r="E28" s="362" t="s">
        <v>409</v>
      </c>
      <c r="F28" s="362" t="s">
        <v>377</v>
      </c>
      <c r="G28" s="363" t="s">
        <v>375</v>
      </c>
    </row>
    <row r="29" spans="1:9" ht="13" thickBot="1" x14ac:dyDescent="0.3">
      <c r="A29" s="364">
        <f>ROUND(VLOOKUP($C$3,'[96]NYC Forecast ENERGY 09 08 20'!$A$8:$H$32,2,FALSE)/1000,5)</f>
        <v>4.2500000000000003E-2</v>
      </c>
      <c r="B29" s="365">
        <f>ROUND(VLOOKUP($C$3,'[96]NYC Forecast ENERGY 09 08 20'!$A$8:$H$32,3,FALSE)/1000,5)</f>
        <v>3.0499999999999999E-2</v>
      </c>
      <c r="C29" s="365">
        <f>ROUND(VLOOKUP($C$3,'[96]NYC Forecast ENERGY 09 08 20'!$A$8:$H$32,6,FALSE)/1000,5)</f>
        <v>3.7249999999999998E-2</v>
      </c>
      <c r="D29" s="365">
        <f>ROUND(VLOOKUP($C$3,'[96]NYC Forecast ENERGY 09 08 20'!$A$8:$H$32,7,FALSE)/1000,5)</f>
        <v>2.8750000000000001E-2</v>
      </c>
      <c r="E29" s="365" t="e">
        <f>ROUND(VLOOKUP($C$3,[97]Data!$A$61:$E$67,3,FALSE)/1000,5)</f>
        <v>#N/A</v>
      </c>
      <c r="F29" s="365" t="e">
        <f>ROUND(VLOOKUP($C$3,[97]Data!$A$61:$E$67,4,FALSE)/1000,5)</f>
        <v>#N/A</v>
      </c>
      <c r="G29" s="366" t="e">
        <f>ROUND(VLOOKUP($C$3,[97]Data!$A$61:$E$67,2,FALSE)/1000,5)</f>
        <v>#N/A</v>
      </c>
    </row>
    <row r="31" spans="1:9" ht="13" x14ac:dyDescent="0.3">
      <c r="C31" s="367" t="s">
        <v>410</v>
      </c>
      <c r="D31" s="367" t="s">
        <v>411</v>
      </c>
      <c r="E31" s="367" t="s">
        <v>382</v>
      </c>
      <c r="F31" s="368" t="s">
        <v>383</v>
      </c>
      <c r="H31" s="367" t="s">
        <v>412</v>
      </c>
      <c r="I31" s="367" t="s">
        <v>413</v>
      </c>
    </row>
    <row r="32" spans="1:9" x14ac:dyDescent="0.25">
      <c r="A32" s="369"/>
      <c r="B32" s="369"/>
      <c r="C32" s="795" t="s">
        <v>385</v>
      </c>
      <c r="D32" s="796"/>
      <c r="E32" s="370"/>
      <c r="F32" s="371"/>
      <c r="H32" s="372"/>
      <c r="I32" s="372"/>
    </row>
    <row r="33" spans="1:9" x14ac:dyDescent="0.25">
      <c r="A33" s="373" t="s">
        <v>355</v>
      </c>
      <c r="B33" s="373"/>
      <c r="C33" s="374">
        <f>IF(AND(MONTH($C$3)&gt;=6, MONTH($C$3)&lt;=9),'[93]2017 DATA'!$B$7,'[93]2017 DATA'!$F$7)</f>
        <v>0.43091420638451883</v>
      </c>
      <c r="D33" s="374">
        <f>IF(AND(MONTH($C$3)&gt;=6, MONTH($C$3)&lt;=9),'[93]2017 DATA'!$C$7,'[93]2017 DATA'!$G$7)</f>
        <v>0.56908579361548117</v>
      </c>
      <c r="E33" s="375">
        <f>ROUND(((($A$5+$E$5+$F$5+$G$5)*1.063)*$C$9)+((($B$5+$E$5+$F$5+$G$5)*1.063)*$D$9),5)</f>
        <v>6.071E-2</v>
      </c>
      <c r="F33" s="376" t="e">
        <f>$E$9+#REF!</f>
        <v>#REF!</v>
      </c>
      <c r="H33" s="377" t="e">
        <f>F33-E33</f>
        <v>#REF!</v>
      </c>
      <c r="I33" s="378">
        <f>ROUND(((($A$5)*1.063)*$C$9)+((($B$5)*1.063)*$D$9),5)</f>
        <v>5.5930000000000001E-2</v>
      </c>
    </row>
    <row r="34" spans="1:9" x14ac:dyDescent="0.25">
      <c r="A34" s="369"/>
      <c r="B34" s="369"/>
      <c r="C34" s="370"/>
      <c r="D34" s="379"/>
      <c r="E34" s="370"/>
      <c r="F34" s="380"/>
      <c r="H34" s="370"/>
      <c r="I34" s="381"/>
    </row>
    <row r="35" spans="1:9" x14ac:dyDescent="0.25">
      <c r="A35" s="373" t="s">
        <v>356</v>
      </c>
      <c r="B35" s="373"/>
      <c r="C35" s="374">
        <f>C33</f>
        <v>0.43091420638451883</v>
      </c>
      <c r="D35" s="374">
        <f>D33</f>
        <v>0.56908579361548117</v>
      </c>
      <c r="E35" s="375">
        <f>ROUND(((($C$5+$E$5+$F$5+$G$5)*1.063)*$C$11)+((($D$5+$E$5+$F$5+$G$5)*1.063)*$D$11),5)</f>
        <v>5.7290000000000001E-2</v>
      </c>
      <c r="F35" s="376" t="e">
        <f>$E$11+#REF!</f>
        <v>#REF!</v>
      </c>
      <c r="H35" s="377" t="e">
        <f>F35-E35</f>
        <v>#REF!</v>
      </c>
      <c r="I35" s="378">
        <f>ROUND(((($C$5)*1.063)*$C$11)+((($D$5)*1.063)*$D$11),5)</f>
        <v>5.2499999999999998E-2</v>
      </c>
    </row>
    <row r="36" spans="1:9" x14ac:dyDescent="0.25">
      <c r="A36" s="369"/>
      <c r="B36" s="369"/>
      <c r="C36" s="370"/>
      <c r="D36" s="370"/>
      <c r="E36" s="370"/>
      <c r="F36" s="380"/>
      <c r="H36" s="370"/>
      <c r="I36" s="381"/>
    </row>
    <row r="37" spans="1:9" x14ac:dyDescent="0.25">
      <c r="A37" s="373" t="s">
        <v>357</v>
      </c>
      <c r="B37" s="373"/>
      <c r="C37" s="374">
        <f>IF(AND(MONTH($C$3)&gt;=6, MONTH($C$3)&lt;=9),'[93]2017 DATA'!$B$11,'[93]2017 DATA'!$F$11)</f>
        <v>0.47569672724097356</v>
      </c>
      <c r="D37" s="374">
        <f>IF(AND(MONTH($C$3)&gt;=6, MONTH($C$3)&lt;=9),'[93]2017 DATA'!$C$11,'[93]2017 DATA'!$G$11)</f>
        <v>0.52430327275902633</v>
      </c>
      <c r="E37" s="374">
        <f>ROUND(((($A$5+$E$5+$F$5+$G$5)*1.063)*$C$13)+((($B$5+$E$5+$F$5+$G$5)*1.063)*$D$13),4)</f>
        <v>6.1499999999999999E-2</v>
      </c>
      <c r="F37" s="376" t="e">
        <f>$E$13+#REF!</f>
        <v>#REF!</v>
      </c>
      <c r="H37" s="374" t="e">
        <f>F37-E37</f>
        <v>#REF!</v>
      </c>
      <c r="I37" s="382">
        <f>ROUND(((($A$5)*1.063)*$C$13)+((($B$5)*1.063)*$D$13),4)</f>
        <v>5.67E-2</v>
      </c>
    </row>
    <row r="38" spans="1:9" x14ac:dyDescent="0.25">
      <c r="A38" s="369"/>
      <c r="B38" s="369"/>
      <c r="C38" s="370"/>
      <c r="D38" s="370"/>
      <c r="E38" s="379"/>
      <c r="F38" s="380"/>
      <c r="H38" s="370"/>
      <c r="I38" s="381"/>
    </row>
    <row r="39" spans="1:9" x14ac:dyDescent="0.25">
      <c r="A39" s="373" t="s">
        <v>414</v>
      </c>
      <c r="B39" s="373"/>
      <c r="C39" s="374">
        <f>IF(AND(MONTH($C$3)&gt;=6, MONTH($C$3)&lt;=9),'[93]2017 DATA'!$B$15,'[93]2017 DATA'!$F$15)</f>
        <v>0.46226148114583754</v>
      </c>
      <c r="D39" s="374">
        <f>IF(AND(MONTH($C$3)&gt;=6, MONTH($C$3)&lt;=9),'[93]2017 DATA'!$C$15,'[93]2017 DATA'!$G$15)</f>
        <v>0.53773851885416268</v>
      </c>
      <c r="E39" s="374">
        <f>ROUND(((($A$5+$E$5+$F$5+$G$5)*1.063)*$C$15)+((($B$5+$E$5+$F$5+$G$5)*1.063)*$D$15),4)</f>
        <v>6.13E-2</v>
      </c>
      <c r="F39" s="376">
        <f>E39</f>
        <v>6.13E-2</v>
      </c>
      <c r="H39" s="374"/>
      <c r="I39" s="378"/>
    </row>
    <row r="41" spans="1:9" x14ac:dyDescent="0.25">
      <c r="A41" s="383" t="s">
        <v>415</v>
      </c>
      <c r="B41" s="383"/>
      <c r="C41" s="383"/>
    </row>
  </sheetData>
  <mergeCells count="2">
    <mergeCell ref="C8:D8"/>
    <mergeCell ref="C32:D32"/>
  </mergeCells>
  <hyperlinks>
    <hyperlink ref="C8:D8" r:id="rId1" display="Source" xr:uid="{2F01171D-B200-44AF-8828-E1140536442B}"/>
    <hyperlink ref="C32:D32" r:id="rId2" display="Source" xr:uid="{247EC27B-B09C-4A25-A1FA-1732CD630C20}"/>
  </hyperlinks>
  <pageMargins left="0.75" right="0.75" top="1" bottom="1" header="0.5" footer="0.5"/>
  <pageSetup scale="70" orientation="portrait" r:id="rId3"/>
  <headerFooter alignWithMargins="0">
    <oddFooter>&amp;Z&amp;F</oddFooter>
  </headerFooter>
  <legacyDrawing r:id="rId4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93CD9-16ED-4ACF-AC1C-A03D198C5879}">
  <sheetPr codeName="Sheet31">
    <tabColor indexed="24"/>
  </sheetPr>
  <dimension ref="A1:L41"/>
  <sheetViews>
    <sheetView view="pageBreakPreview" topLeftCell="C1" zoomScale="145" zoomScaleNormal="100" zoomScaleSheetLayoutView="145" workbookViewId="0">
      <selection activeCell="I2" sqref="I2"/>
    </sheetView>
  </sheetViews>
  <sheetFormatPr defaultColWidth="9.1796875" defaultRowHeight="12.5" x14ac:dyDescent="0.25"/>
  <cols>
    <col min="1" max="1" width="10.453125" style="234" customWidth="1"/>
    <col min="2" max="2" width="10.1796875" style="234" bestFit="1" customWidth="1"/>
    <col min="3" max="3" width="11" style="234" bestFit="1" customWidth="1"/>
    <col min="4" max="4" width="10.81640625" style="234" bestFit="1" customWidth="1"/>
    <col min="5" max="5" width="11.453125" style="234" bestFit="1" customWidth="1"/>
    <col min="6" max="6" width="10.54296875" style="234" bestFit="1" customWidth="1"/>
    <col min="7" max="7" width="9.1796875" style="234"/>
    <col min="8" max="8" width="8.453125" style="234" bestFit="1" customWidth="1"/>
    <col min="9" max="9" width="24" style="234" customWidth="1"/>
    <col min="10" max="16384" width="9.1796875" style="234"/>
  </cols>
  <sheetData>
    <row r="1" spans="1:12" ht="13" x14ac:dyDescent="0.3">
      <c r="A1" s="234" t="s">
        <v>403</v>
      </c>
      <c r="F1" s="356" t="s">
        <v>560</v>
      </c>
      <c r="I1" s="356" t="str">
        <f>'MTM MSC Estimates 1,9 Oct'!I1</f>
        <v>Forecast as of 9/7/21</v>
      </c>
    </row>
    <row r="2" spans="1:12" ht="13" thickBot="1" x14ac:dyDescent="0.3"/>
    <row r="3" spans="1:12" ht="13.5" thickBot="1" x14ac:dyDescent="0.35">
      <c r="A3" s="241" t="s">
        <v>404</v>
      </c>
      <c r="B3" s="357"/>
      <c r="C3" s="358">
        <f>[92]Data!$A$79</f>
        <v>44652</v>
      </c>
      <c r="D3" s="359"/>
      <c r="E3" s="241"/>
      <c r="F3" s="241"/>
    </row>
    <row r="4" spans="1:12" x14ac:dyDescent="0.25">
      <c r="A4" s="360" t="s">
        <v>405</v>
      </c>
      <c r="B4" s="361" t="s">
        <v>406</v>
      </c>
      <c r="C4" s="362" t="s">
        <v>407</v>
      </c>
      <c r="D4" s="362" t="s">
        <v>408</v>
      </c>
      <c r="E4" s="362" t="s">
        <v>409</v>
      </c>
      <c r="F4" s="362" t="s">
        <v>377</v>
      </c>
      <c r="G4" s="363" t="s">
        <v>375</v>
      </c>
    </row>
    <row r="5" spans="1:12" ht="13" thickBot="1" x14ac:dyDescent="0.3">
      <c r="A5" s="663">
        <f>ROUND(VLOOKUP($C$3,'[91]NYC Forecast ENERGY 09 07 21'!$A$8:$H$712,2,FALSE)/1000,5)</f>
        <v>4.1770000000000002E-2</v>
      </c>
      <c r="B5" s="664">
        <f>ROUND(VLOOKUP($C$3,'[91]NYC Forecast ENERGY 09 07 21'!$A$8:$H$712,3,FALSE)/1000,5)</f>
        <v>3.175E-2</v>
      </c>
      <c r="C5" s="664">
        <f>ROUND(VLOOKUP($C$3,'[91]NYC Forecast ENERGY 09 07 21'!$A$8:$H$712,6,FALSE)/1000,5)</f>
        <v>3.875E-2</v>
      </c>
      <c r="D5" s="664">
        <f>ROUND(VLOOKUP($C$3,'[91]NYC Forecast ENERGY 09 07 21'!$A$8:$H$712,7,FALSE)/1000,5)</f>
        <v>3.0249999999999999E-2</v>
      </c>
      <c r="E5" s="664">
        <f>ROUND(VLOOKUP($C$3,[92]Data!$A$64:$E$159,3,FALSE)/1000,5)</f>
        <v>2.4199999999999998E-3</v>
      </c>
      <c r="F5" s="664">
        <f>ROUND(VLOOKUP($C$3,[92]Data!$A$64:$E$159,4,FALSE)/1000,5)</f>
        <v>1.5E-3</v>
      </c>
      <c r="G5" s="665">
        <f>ROUND(VLOOKUP($C$3,[92]Data!$A$64:$E$159,2,FALSE)/1000,5)</f>
        <v>7.1000000000000002E-4</v>
      </c>
      <c r="I5" s="666" t="s">
        <v>569</v>
      </c>
      <c r="J5" s="662"/>
      <c r="K5" s="662"/>
      <c r="L5" s="662"/>
    </row>
    <row r="7" spans="1:12" ht="13" x14ac:dyDescent="0.3">
      <c r="C7" s="367" t="s">
        <v>410</v>
      </c>
      <c r="D7" s="367" t="s">
        <v>411</v>
      </c>
      <c r="E7" s="367" t="s">
        <v>382</v>
      </c>
      <c r="F7" s="368" t="s">
        <v>383</v>
      </c>
      <c r="H7" s="367" t="s">
        <v>412</v>
      </c>
      <c r="I7" s="367" t="s">
        <v>413</v>
      </c>
    </row>
    <row r="8" spans="1:12" x14ac:dyDescent="0.25">
      <c r="A8" s="369"/>
      <c r="B8" s="369"/>
      <c r="C8" s="795" t="s">
        <v>385</v>
      </c>
      <c r="D8" s="796"/>
      <c r="E8" s="370"/>
      <c r="F8" s="371"/>
      <c r="H8" s="372"/>
      <c r="I8" s="372"/>
    </row>
    <row r="9" spans="1:12" x14ac:dyDescent="0.25">
      <c r="A9" s="373" t="s">
        <v>355</v>
      </c>
      <c r="B9" s="373"/>
      <c r="C9" s="374">
        <f>IF(AND(MONTH($C$3)&gt;=6, MONTH($C$3)&lt;=9),'[93]2017 DATA'!$B$7,'[93]2017 DATA'!$F$7)</f>
        <v>0.43091420638451883</v>
      </c>
      <c r="D9" s="374">
        <f>IF(AND(MONTH($C$3)&gt;=6, MONTH($C$3)&lt;=9),'[93]2017 DATA'!$C$7,'[93]2017 DATA'!$G$7)</f>
        <v>0.56908579361548117</v>
      </c>
      <c r="E9" s="375">
        <f>ROUND(((($A$5+$E$5+$F$5+$G$5)*1.063)*$C$9)+((($B$5+$E$5+$F$5+$G$5)*1.063)*$D$9),5)</f>
        <v>4.326E-2</v>
      </c>
      <c r="F9" s="376">
        <f>$E$9+'Nov - Apr Capacity MSC by Class'!G20</f>
        <v>5.176E-2</v>
      </c>
      <c r="H9" s="377">
        <f>F9-E9</f>
        <v>8.5000000000000006E-3</v>
      </c>
      <c r="I9" s="378">
        <f>ROUND(((($A$5)*1.063)*$C$9)+((($B$5)*1.063)*$D$9),5)</f>
        <v>3.8339999999999999E-2</v>
      </c>
    </row>
    <row r="10" spans="1:12" x14ac:dyDescent="0.25">
      <c r="A10" s="369"/>
      <c r="B10" s="369"/>
      <c r="C10" s="370"/>
      <c r="D10" s="379"/>
      <c r="E10" s="370"/>
      <c r="F10" s="380"/>
      <c r="H10" s="370"/>
      <c r="I10" s="381"/>
    </row>
    <row r="11" spans="1:12" x14ac:dyDescent="0.25">
      <c r="A11" s="373" t="s">
        <v>356</v>
      </c>
      <c r="B11" s="373"/>
      <c r="C11" s="374">
        <f>C9</f>
        <v>0.43091420638451883</v>
      </c>
      <c r="D11" s="374">
        <f>D9</f>
        <v>0.56908579361548117</v>
      </c>
      <c r="E11" s="375">
        <f>ROUND(((($C$5+$E$5+$F$5+$G$5)*1.063)*$C$11)+((($D$5+$E$5+$F$5+$G$5)*1.063)*$D$11),5)</f>
        <v>4.0969999999999999E-2</v>
      </c>
      <c r="F11" s="376">
        <f>$E$11+'Nov - Apr Capacity MSC by Class'!H20</f>
        <v>4.7550000000000002E-2</v>
      </c>
      <c r="H11" s="377">
        <f>F11-E11</f>
        <v>6.5800000000000025E-3</v>
      </c>
      <c r="I11" s="378">
        <f>ROUND(((($C$5)*1.063)*$C$11)+((($D$5)*1.063)*$D$11),5)</f>
        <v>3.6049999999999999E-2</v>
      </c>
    </row>
    <row r="12" spans="1:12" x14ac:dyDescent="0.25">
      <c r="A12" s="369"/>
      <c r="B12" s="369"/>
      <c r="C12" s="370"/>
      <c r="D12" s="370"/>
      <c r="E12" s="370"/>
      <c r="F12" s="380"/>
      <c r="H12" s="370"/>
      <c r="I12" s="381"/>
    </row>
    <row r="13" spans="1:12" x14ac:dyDescent="0.25">
      <c r="A13" s="373" t="s">
        <v>357</v>
      </c>
      <c r="B13" s="373"/>
      <c r="C13" s="374">
        <f>IF(AND(MONTH($C$3)&gt;=6, MONTH($C$3)&lt;=9),'[93]2017 DATA'!$B$11,'[93]2017 DATA'!$F$11)</f>
        <v>0.47569672724097356</v>
      </c>
      <c r="D13" s="374">
        <f>IF(AND(MONTH($C$3)&gt;=6, MONTH($C$3)&lt;=9),'[93]2017 DATA'!$C$11,'[93]2017 DATA'!$G$11)</f>
        <v>0.52430327275902633</v>
      </c>
      <c r="E13" s="374">
        <f>ROUND(((($A$5+$E$5+$F$5+$G$5)*1.063)*$C$13)+((($B$5+$E$5+$F$5+$G$5)*1.063)*$D$13),4)</f>
        <v>4.3700000000000003E-2</v>
      </c>
      <c r="F13" s="376">
        <f>$E$13+'Nov - Apr Capacity MSC by Class'!G21</f>
        <v>4.8600000000000004E-2</v>
      </c>
      <c r="H13" s="374">
        <f>F13-E13</f>
        <v>4.9000000000000016E-3</v>
      </c>
      <c r="I13" s="382">
        <f>ROUND(((($A$5)*1.063)*$C$13)+((($B$5)*1.063)*$D$13),4)</f>
        <v>3.8800000000000001E-2</v>
      </c>
    </row>
    <row r="14" spans="1:12" x14ac:dyDescent="0.25">
      <c r="A14" s="369"/>
      <c r="B14" s="369"/>
      <c r="C14" s="370"/>
      <c r="D14" s="370"/>
      <c r="E14" s="379"/>
      <c r="F14" s="380"/>
      <c r="H14" s="370"/>
      <c r="I14" s="381"/>
    </row>
    <row r="15" spans="1:12" x14ac:dyDescent="0.25">
      <c r="A15" s="373" t="s">
        <v>414</v>
      </c>
      <c r="B15" s="373"/>
      <c r="C15" s="374">
        <f>IF(AND(MONTH($C$3)&gt;=6, MONTH($C$3)&lt;=9),'[93]2017 DATA'!$B$15,'[93]2017 DATA'!$F$15)</f>
        <v>0.46226148114583754</v>
      </c>
      <c r="D15" s="374">
        <f>IF(AND(MONTH($C$3)&gt;=6, MONTH($C$3)&lt;=9),'[93]2017 DATA'!$C$15,'[93]2017 DATA'!$G$15)</f>
        <v>0.53773851885416268</v>
      </c>
      <c r="E15" s="374">
        <f>ROUND(((($A$5+$E$5+$F$5+$G$5)*1.063)*$C$15)+((($B$5+$E$5+$F$5+$G$5)*1.063)*$D$15),4)</f>
        <v>4.36E-2</v>
      </c>
      <c r="F15" s="376">
        <f>E15</f>
        <v>4.36E-2</v>
      </c>
      <c r="H15" s="374"/>
      <c r="I15" s="378"/>
    </row>
    <row r="17" spans="1:9" x14ac:dyDescent="0.25">
      <c r="A17" s="383" t="s">
        <v>415</v>
      </c>
      <c r="B17" s="383"/>
      <c r="C17" s="383"/>
    </row>
    <row r="25" spans="1:9" ht="13" x14ac:dyDescent="0.3">
      <c r="A25" s="234" t="s">
        <v>403</v>
      </c>
      <c r="F25" s="356" t="s">
        <v>561</v>
      </c>
      <c r="I25" s="356" t="s">
        <v>554</v>
      </c>
    </row>
    <row r="26" spans="1:9" ht="13" thickBot="1" x14ac:dyDescent="0.3"/>
    <row r="27" spans="1:9" ht="13.5" thickBot="1" x14ac:dyDescent="0.35">
      <c r="A27" s="241" t="s">
        <v>404</v>
      </c>
      <c r="B27" s="357"/>
      <c r="C27" s="358">
        <f>'[96]NYC Forecast ENERGY 09 08 20'!$A$15</f>
        <v>44287</v>
      </c>
      <c r="D27" s="359"/>
      <c r="E27" s="241"/>
      <c r="F27" s="241"/>
    </row>
    <row r="28" spans="1:9" x14ac:dyDescent="0.25">
      <c r="A28" s="360" t="s">
        <v>405</v>
      </c>
      <c r="B28" s="361" t="s">
        <v>406</v>
      </c>
      <c r="C28" s="362" t="s">
        <v>407</v>
      </c>
      <c r="D28" s="362" t="s">
        <v>408</v>
      </c>
      <c r="E28" s="362" t="s">
        <v>409</v>
      </c>
      <c r="F28" s="362" t="s">
        <v>377</v>
      </c>
      <c r="G28" s="363" t="s">
        <v>375</v>
      </c>
    </row>
    <row r="29" spans="1:9" ht="13" thickBot="1" x14ac:dyDescent="0.3">
      <c r="A29" s="364">
        <f>ROUND(VLOOKUP($C$3,'[96]NYC Forecast ENERGY 09 08 20'!$A$8:$H$32,2,FALSE)/1000,5)</f>
        <v>3.2509999999999997E-2</v>
      </c>
      <c r="B29" s="365">
        <f>ROUND(VLOOKUP($C$3,'[96]NYC Forecast ENERGY 09 08 20'!$A$8:$H$32,3,FALSE)/1000,5)</f>
        <v>2.23E-2</v>
      </c>
      <c r="C29" s="365">
        <f>ROUND(VLOOKUP($C$3,'[96]NYC Forecast ENERGY 09 08 20'!$A$8:$H$32,6,FALSE)/1000,5)</f>
        <v>2.8250000000000001E-2</v>
      </c>
      <c r="D29" s="365">
        <f>ROUND(VLOOKUP($C$3,'[96]NYC Forecast ENERGY 09 08 20'!$A$8:$H$32,7,FALSE)/1000,5)</f>
        <v>2.0750000000000001E-2</v>
      </c>
      <c r="E29" s="365" t="e">
        <f>ROUND(VLOOKUP($C$3,[97]Data!$A$61:$E$67,3,FALSE)/1000,5)</f>
        <v>#N/A</v>
      </c>
      <c r="F29" s="365" t="e">
        <f>ROUND(VLOOKUP($C$3,[97]Data!$A$61:$E$67,4,FALSE)/1000,5)</f>
        <v>#N/A</v>
      </c>
      <c r="G29" s="366" t="e">
        <f>ROUND(VLOOKUP($C$3,[97]Data!$A$61:$E$67,2,FALSE)/1000,5)</f>
        <v>#N/A</v>
      </c>
    </row>
    <row r="31" spans="1:9" ht="13" x14ac:dyDescent="0.3">
      <c r="C31" s="367" t="s">
        <v>410</v>
      </c>
      <c r="D31" s="367" t="s">
        <v>411</v>
      </c>
      <c r="E31" s="367" t="s">
        <v>382</v>
      </c>
      <c r="F31" s="368" t="s">
        <v>383</v>
      </c>
      <c r="H31" s="367" t="s">
        <v>412</v>
      </c>
      <c r="I31" s="367" t="s">
        <v>413</v>
      </c>
    </row>
    <row r="32" spans="1:9" x14ac:dyDescent="0.25">
      <c r="A32" s="369"/>
      <c r="B32" s="369"/>
      <c r="C32" s="795" t="s">
        <v>385</v>
      </c>
      <c r="D32" s="796"/>
      <c r="E32" s="370"/>
      <c r="F32" s="371"/>
      <c r="H32" s="372"/>
      <c r="I32" s="372"/>
    </row>
    <row r="33" spans="1:9" x14ac:dyDescent="0.25">
      <c r="A33" s="373" t="s">
        <v>355</v>
      </c>
      <c r="B33" s="373"/>
      <c r="C33" s="374">
        <f>IF(AND(MONTH($C$3)&gt;=6, MONTH($C$3)&lt;=9),'[93]2017 DATA'!$B$7,'[93]2017 DATA'!$F$7)</f>
        <v>0.43091420638451883</v>
      </c>
      <c r="D33" s="374">
        <f>IF(AND(MONTH($C$3)&gt;=6, MONTH($C$3)&lt;=9),'[93]2017 DATA'!$C$7,'[93]2017 DATA'!$G$7)</f>
        <v>0.56908579361548117</v>
      </c>
      <c r="E33" s="375">
        <f>ROUND(((($A$5+$E$5+$F$5+$G$5)*1.063)*$C$9)+((($B$5+$E$5+$F$5+$G$5)*1.063)*$D$9),5)</f>
        <v>4.326E-2</v>
      </c>
      <c r="F33" s="376" t="e">
        <f>$E$9+#REF!</f>
        <v>#REF!</v>
      </c>
      <c r="H33" s="377" t="e">
        <f>F33-E33</f>
        <v>#REF!</v>
      </c>
      <c r="I33" s="378">
        <f>ROUND(((($A$5)*1.063)*$C$9)+((($B$5)*1.063)*$D$9),5)</f>
        <v>3.8339999999999999E-2</v>
      </c>
    </row>
    <row r="34" spans="1:9" x14ac:dyDescent="0.25">
      <c r="A34" s="369"/>
      <c r="B34" s="369"/>
      <c r="C34" s="370"/>
      <c r="D34" s="379"/>
      <c r="E34" s="370"/>
      <c r="F34" s="380"/>
      <c r="H34" s="370"/>
      <c r="I34" s="381"/>
    </row>
    <row r="35" spans="1:9" x14ac:dyDescent="0.25">
      <c r="A35" s="373" t="s">
        <v>356</v>
      </c>
      <c r="B35" s="373"/>
      <c r="C35" s="374">
        <f>C33</f>
        <v>0.43091420638451883</v>
      </c>
      <c r="D35" s="374">
        <f>D33</f>
        <v>0.56908579361548117</v>
      </c>
      <c r="E35" s="375">
        <f>ROUND(((($C$5+$E$5+$F$5+$G$5)*1.063)*$C$11)+((($D$5+$E$5+$F$5+$G$5)*1.063)*$D$11),5)</f>
        <v>4.0969999999999999E-2</v>
      </c>
      <c r="F35" s="376" t="e">
        <f>$E$11+#REF!</f>
        <v>#REF!</v>
      </c>
      <c r="H35" s="377" t="e">
        <f>F35-E35</f>
        <v>#REF!</v>
      </c>
      <c r="I35" s="378">
        <f>ROUND(((($C$5)*1.063)*$C$11)+((($D$5)*1.063)*$D$11),5)</f>
        <v>3.6049999999999999E-2</v>
      </c>
    </row>
    <row r="36" spans="1:9" x14ac:dyDescent="0.25">
      <c r="A36" s="369"/>
      <c r="B36" s="369"/>
      <c r="C36" s="370"/>
      <c r="D36" s="370"/>
      <c r="E36" s="370"/>
      <c r="F36" s="380"/>
      <c r="H36" s="370"/>
      <c r="I36" s="381"/>
    </row>
    <row r="37" spans="1:9" x14ac:dyDescent="0.25">
      <c r="A37" s="373" t="s">
        <v>357</v>
      </c>
      <c r="B37" s="373"/>
      <c r="C37" s="374">
        <f>IF(AND(MONTH($C$3)&gt;=6, MONTH($C$3)&lt;=9),'[93]2017 DATA'!$B$11,'[93]2017 DATA'!$F$11)</f>
        <v>0.47569672724097356</v>
      </c>
      <c r="D37" s="374">
        <f>IF(AND(MONTH($C$3)&gt;=6, MONTH($C$3)&lt;=9),'[93]2017 DATA'!$C$11,'[93]2017 DATA'!$G$11)</f>
        <v>0.52430327275902633</v>
      </c>
      <c r="E37" s="374">
        <f>ROUND(((($A$5+$E$5+$F$5+$G$5)*1.063)*$C$13)+((($B$5+$E$5+$F$5+$G$5)*1.063)*$D$13),4)</f>
        <v>4.3700000000000003E-2</v>
      </c>
      <c r="F37" s="376" t="e">
        <f>$E$13+#REF!</f>
        <v>#REF!</v>
      </c>
      <c r="H37" s="374" t="e">
        <f>F37-E37</f>
        <v>#REF!</v>
      </c>
      <c r="I37" s="382">
        <f>ROUND(((($A$5)*1.063)*$C$13)+((($B$5)*1.063)*$D$13),4)</f>
        <v>3.8800000000000001E-2</v>
      </c>
    </row>
    <row r="38" spans="1:9" x14ac:dyDescent="0.25">
      <c r="A38" s="369"/>
      <c r="B38" s="369"/>
      <c r="C38" s="370"/>
      <c r="D38" s="370"/>
      <c r="E38" s="379"/>
      <c r="F38" s="380"/>
      <c r="H38" s="370"/>
      <c r="I38" s="381"/>
    </row>
    <row r="39" spans="1:9" x14ac:dyDescent="0.25">
      <c r="A39" s="373" t="s">
        <v>414</v>
      </c>
      <c r="B39" s="373"/>
      <c r="C39" s="374">
        <f>IF(AND(MONTH($C$3)&gt;=6, MONTH($C$3)&lt;=9),'[93]2017 DATA'!$B$15,'[93]2017 DATA'!$F$15)</f>
        <v>0.46226148114583754</v>
      </c>
      <c r="D39" s="374">
        <f>IF(AND(MONTH($C$3)&gt;=6, MONTH($C$3)&lt;=9),'[93]2017 DATA'!$C$15,'[93]2017 DATA'!$G$15)</f>
        <v>0.53773851885416268</v>
      </c>
      <c r="E39" s="374">
        <f>ROUND(((($A$5+$E$5+$F$5+$G$5)*1.063)*$C$15)+((($B$5+$E$5+$F$5+$G$5)*1.063)*$D$15),4)</f>
        <v>4.36E-2</v>
      </c>
      <c r="F39" s="376">
        <f>E39</f>
        <v>4.36E-2</v>
      </c>
      <c r="H39" s="374"/>
      <c r="I39" s="378"/>
    </row>
    <row r="41" spans="1:9" x14ac:dyDescent="0.25">
      <c r="A41" s="383" t="s">
        <v>415</v>
      </c>
      <c r="B41" s="383"/>
      <c r="C41" s="383"/>
    </row>
  </sheetData>
  <mergeCells count="2">
    <mergeCell ref="C8:D8"/>
    <mergeCell ref="C32:D32"/>
  </mergeCells>
  <hyperlinks>
    <hyperlink ref="C8:D8" r:id="rId1" display="Source" xr:uid="{F617FB56-B057-4607-9F33-5C488747A3FC}"/>
    <hyperlink ref="C32:D32" r:id="rId2" display="Source" xr:uid="{CE1DBDAC-1328-4BC2-969E-6B8DD298154F}"/>
  </hyperlinks>
  <pageMargins left="0.75" right="0.75" top="1" bottom="1" header="0.5" footer="0.5"/>
  <pageSetup scale="70" orientation="portrait" r:id="rId3"/>
  <headerFooter alignWithMargins="0">
    <oddFooter>&amp;Z&amp;F</oddFooter>
  </headerFooter>
  <legacyDrawing r:id="rId4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41508A-34F8-4CC0-A7F3-7C33842B3EE1}">
  <sheetPr codeName="Sheet32">
    <tabColor theme="9"/>
  </sheetPr>
  <dimension ref="A1:L17"/>
  <sheetViews>
    <sheetView zoomScale="115" zoomScaleNormal="115" zoomScaleSheetLayoutView="120" workbookViewId="0">
      <selection activeCell="A29" sqref="A29"/>
    </sheetView>
  </sheetViews>
  <sheetFormatPr defaultColWidth="9.1796875" defaultRowHeight="12.5" x14ac:dyDescent="0.25"/>
  <cols>
    <col min="1" max="1" width="10.453125" style="234" customWidth="1"/>
    <col min="2" max="2" width="10.1796875" style="234" bestFit="1" customWidth="1"/>
    <col min="3" max="3" width="11" style="234" bestFit="1" customWidth="1"/>
    <col min="4" max="4" width="10.81640625" style="234" bestFit="1" customWidth="1"/>
    <col min="5" max="5" width="11.453125" style="234" bestFit="1" customWidth="1"/>
    <col min="6" max="6" width="10.54296875" style="234" bestFit="1" customWidth="1"/>
    <col min="7" max="7" width="9.1796875" style="234"/>
    <col min="8" max="8" width="8.453125" style="234" bestFit="1" customWidth="1"/>
    <col min="9" max="9" width="24" style="234" customWidth="1"/>
    <col min="10" max="16384" width="9.1796875" style="234"/>
  </cols>
  <sheetData>
    <row r="1" spans="1:12" ht="13" x14ac:dyDescent="0.3">
      <c r="A1" s="234" t="s">
        <v>403</v>
      </c>
      <c r="I1" s="356" t="s">
        <v>554</v>
      </c>
    </row>
    <row r="2" spans="1:12" ht="13" thickBot="1" x14ac:dyDescent="0.3">
      <c r="D2" s="570" t="s">
        <v>558</v>
      </c>
    </row>
    <row r="3" spans="1:12" ht="13.5" thickBot="1" x14ac:dyDescent="0.35">
      <c r="A3" s="241" t="s">
        <v>404</v>
      </c>
      <c r="B3" s="357"/>
      <c r="C3" s="358">
        <f>'[96]NYC Forecast ENERGY 09 08 20'!$A$16</f>
        <v>44317</v>
      </c>
      <c r="D3" s="359"/>
      <c r="E3" s="241"/>
      <c r="F3" s="241"/>
      <c r="L3" s="234">
        <f>+[98]Data!$O$2</f>
        <v>0</v>
      </c>
    </row>
    <row r="4" spans="1:12" x14ac:dyDescent="0.25">
      <c r="A4" s="360" t="s">
        <v>405</v>
      </c>
      <c r="B4" s="361" t="s">
        <v>406</v>
      </c>
      <c r="C4" s="362" t="s">
        <v>407</v>
      </c>
      <c r="D4" s="362" t="s">
        <v>408</v>
      </c>
      <c r="E4" s="362" t="s">
        <v>409</v>
      </c>
      <c r="F4" s="362" t="s">
        <v>377</v>
      </c>
      <c r="G4" s="363" t="s">
        <v>375</v>
      </c>
    </row>
    <row r="5" spans="1:12" ht="13" thickBot="1" x14ac:dyDescent="0.3">
      <c r="A5" s="721">
        <f>ROUND(VLOOKUP($C$3,'[99]NYC Forecast ENERGY 04 06 21'!$A$8:$H$32,2,FALSE)/1000,5)</f>
        <v>2.7949999999999999E-2</v>
      </c>
      <c r="B5" s="722">
        <f>ROUND(VLOOKUP($C$3,'[99]NYC Forecast ENERGY 04 06 21'!$A$8:$H$32,3,FALSE)/1000,5)</f>
        <v>2.1350000000000001E-2</v>
      </c>
      <c r="C5" s="722">
        <f>ROUND(VLOOKUP($C$3,'[99]NYC Forecast ENERGY 04 06 21'!$A$8:$H$32,6,FALSE)/1000,5)</f>
        <v>2.6249999999999999E-2</v>
      </c>
      <c r="D5" s="722">
        <f>ROUND(VLOOKUP($C$3,'[99]NYC Forecast ENERGY 04 06 21'!$A$8:$H$32,7,FALSE)/1000,5)</f>
        <v>2.0500000000000001E-2</v>
      </c>
      <c r="E5" s="365">
        <f>ROUND(VLOOKUP($C$3,[98]Data!$A$61:$E$73,3,FALSE)/1000,5)</f>
        <v>3.0599999999999998E-3</v>
      </c>
      <c r="F5" s="365">
        <f>ROUND(VLOOKUP($C$3,[98]Data!$A$61:$E$73,4,FALSE)/1000,5)</f>
        <v>1.34E-3</v>
      </c>
      <c r="G5" s="366">
        <f>ROUND(VLOOKUP($C$3,[98]Data!$A$61:$E$73,2,FALSE)/1000,5)</f>
        <v>6.4000000000000005E-4</v>
      </c>
    </row>
    <row r="7" spans="1:12" ht="13" x14ac:dyDescent="0.3">
      <c r="C7" s="367" t="s">
        <v>410</v>
      </c>
      <c r="D7" s="367" t="s">
        <v>411</v>
      </c>
      <c r="E7" s="367" t="s">
        <v>382</v>
      </c>
      <c r="F7" s="368" t="s">
        <v>383</v>
      </c>
      <c r="H7" s="367" t="s">
        <v>412</v>
      </c>
      <c r="I7" s="367" t="s">
        <v>413</v>
      </c>
    </row>
    <row r="8" spans="1:12" x14ac:dyDescent="0.25">
      <c r="A8" s="369"/>
      <c r="B8" s="369"/>
      <c r="C8" s="795" t="s">
        <v>385</v>
      </c>
      <c r="D8" s="796"/>
      <c r="E8" s="370"/>
      <c r="F8" s="371"/>
      <c r="H8" s="372"/>
      <c r="I8" s="372"/>
    </row>
    <row r="9" spans="1:12" x14ac:dyDescent="0.25">
      <c r="A9" s="373" t="s">
        <v>355</v>
      </c>
      <c r="B9" s="373"/>
      <c r="C9" s="374">
        <f>IF(AND(MONTH($C$3)&gt;=6, MONTH($C$3)&lt;=9),'[93]2017 DATA'!$B$7,'[93]2017 DATA'!$F$7)</f>
        <v>0.43091420638451883</v>
      </c>
      <c r="D9" s="374">
        <f>IF(AND(MONTH($C$3)&gt;=6, MONTH($C$3)&lt;=9),'[93]2017 DATA'!$C$7,'[93]2017 DATA'!$G$7)</f>
        <v>0.56908579361548117</v>
      </c>
      <c r="E9" s="375">
        <f>ROUND(((($A$5+$E$5+$F$5+$G$5)*1.063)*$C$9)+((($B$5+$E$5+$F$5+$G$5)*1.063)*$D$9),5)</f>
        <v>3.108E-2</v>
      </c>
      <c r="F9" s="376">
        <f>$E$9+'May - Oct Capacity MSC by Class'!G20</f>
        <v>6.5780000000000005E-2</v>
      </c>
      <c r="H9" s="377">
        <f>F9-E9</f>
        <v>3.4700000000000009E-2</v>
      </c>
      <c r="I9" s="378">
        <f>ROUND(((($A$5)*1.063)*$C$9)+((($B$5)*1.063)*$D$9),5)</f>
        <v>2.572E-2</v>
      </c>
    </row>
    <row r="10" spans="1:12" x14ac:dyDescent="0.25">
      <c r="A10" s="369"/>
      <c r="B10" s="369"/>
      <c r="C10" s="370"/>
      <c r="D10" s="379"/>
      <c r="E10" s="370"/>
      <c r="F10" s="380"/>
      <c r="H10" s="370"/>
      <c r="I10" s="381"/>
    </row>
    <row r="11" spans="1:12" x14ac:dyDescent="0.25">
      <c r="A11" s="373" t="s">
        <v>356</v>
      </c>
      <c r="B11" s="373"/>
      <c r="C11" s="374">
        <f>C9</f>
        <v>0.43091420638451883</v>
      </c>
      <c r="D11" s="374">
        <f>D9</f>
        <v>0.56908579361548117</v>
      </c>
      <c r="E11" s="375">
        <f>ROUND(((($C$5+$E$5+$F$5+$G$5)*1.063)*$C$11)+((($D$5+$E$5+$F$5+$G$5)*1.063)*$D$11),5)</f>
        <v>2.9780000000000001E-2</v>
      </c>
      <c r="F11" s="376">
        <f>$E$11+'May - Oct Capacity MSC by Class'!H20</f>
        <v>5.4150000000000004E-2</v>
      </c>
      <c r="H11" s="377">
        <f>F11-E11</f>
        <v>2.4370000000000003E-2</v>
      </c>
      <c r="I11" s="378">
        <f>ROUND(((($C$5)*1.063)*$C$11)+((($D$5)*1.063)*$D$11),5)</f>
        <v>2.443E-2</v>
      </c>
    </row>
    <row r="12" spans="1:12" x14ac:dyDescent="0.25">
      <c r="A12" s="369"/>
      <c r="B12" s="369"/>
      <c r="C12" s="370"/>
      <c r="D12" s="370"/>
      <c r="E12" s="370"/>
      <c r="F12" s="380"/>
      <c r="H12" s="370"/>
      <c r="I12" s="381"/>
    </row>
    <row r="13" spans="1:12" x14ac:dyDescent="0.25">
      <c r="A13" s="373" t="s">
        <v>357</v>
      </c>
      <c r="B13" s="373"/>
      <c r="C13" s="374">
        <f>IF(AND(MONTH($C$3)&gt;=6, MONTH($C$3)&lt;=9),'[93]2017 DATA'!$B$11,'[93]2017 DATA'!$F$11)</f>
        <v>0.47569672724097356</v>
      </c>
      <c r="D13" s="374">
        <f>IF(AND(MONTH($C$3)&gt;=6, MONTH($C$3)&lt;=9),'[93]2017 DATA'!$C$11,'[93]2017 DATA'!$G$11)</f>
        <v>0.52430327275902633</v>
      </c>
      <c r="E13" s="374">
        <f>ROUND(((($A$5+$E$5+$F$5+$G$5)*1.063)*$C$13)+((($B$5+$E$5+$F$5+$G$5)*1.063)*$D$13),4)</f>
        <v>3.1399999999999997E-2</v>
      </c>
      <c r="F13" s="376">
        <f>$E$13+'May - Oct Capacity MSC by Class'!G21</f>
        <v>5.1400000000000001E-2</v>
      </c>
      <c r="H13" s="374">
        <f>F13-E13</f>
        <v>2.0000000000000004E-2</v>
      </c>
      <c r="I13" s="382">
        <f>ROUND(((($A$5)*1.063)*$C$13)+((($B$5)*1.063)*$D$13),4)</f>
        <v>2.5999999999999999E-2</v>
      </c>
    </row>
    <row r="14" spans="1:12" x14ac:dyDescent="0.25">
      <c r="A14" s="369"/>
      <c r="B14" s="369"/>
      <c r="C14" s="370"/>
      <c r="D14" s="370"/>
      <c r="E14" s="379"/>
      <c r="F14" s="380"/>
      <c r="H14" s="370"/>
      <c r="I14" s="381"/>
    </row>
    <row r="15" spans="1:12" x14ac:dyDescent="0.25">
      <c r="A15" s="373" t="s">
        <v>414</v>
      </c>
      <c r="B15" s="373"/>
      <c r="C15" s="374">
        <f>IF(AND(MONTH($C$3)&gt;=6, MONTH($C$3)&lt;=9),'[93]2017 DATA'!$B$15,'[93]2017 DATA'!$F$15)</f>
        <v>0.46226148114583754</v>
      </c>
      <c r="D15" s="374">
        <f>IF(AND(MONTH($C$3)&gt;=6, MONTH($C$3)&lt;=9),'[93]2017 DATA'!$C$15,'[93]2017 DATA'!$G$15)</f>
        <v>0.53773851885416268</v>
      </c>
      <c r="E15" s="374">
        <f>ROUND(((($A$5+$E$5+$F$5+$G$5)*1.063)*$C$15)+((($B$5+$E$5+$F$5+$G$5)*1.063)*$D$15),4)</f>
        <v>3.1300000000000001E-2</v>
      </c>
      <c r="F15" s="376">
        <f>E15</f>
        <v>3.1300000000000001E-2</v>
      </c>
      <c r="H15" s="374"/>
      <c r="I15" s="382">
        <f>ROUND(((($A$5)*1.063)*$C$15)+((($B$5)*1.063)*$D$15),4)</f>
        <v>2.5899999999999999E-2</v>
      </c>
    </row>
    <row r="17" spans="1:3" x14ac:dyDescent="0.25">
      <c r="A17" s="383" t="s">
        <v>415</v>
      </c>
      <c r="B17" s="383"/>
      <c r="C17" s="383"/>
    </row>
  </sheetData>
  <mergeCells count="1">
    <mergeCell ref="C8:D8"/>
  </mergeCells>
  <hyperlinks>
    <hyperlink ref="C8:D8" r:id="rId1" display="Source" xr:uid="{CDB6FD9D-BB7E-428D-82AD-5ACF5E322192}"/>
  </hyperlinks>
  <pageMargins left="0.75" right="0.75" top="1" bottom="1" header="0.5" footer="0.5"/>
  <pageSetup scale="70" orientation="portrait" r:id="rId2"/>
  <headerFooter alignWithMargins="0">
    <oddFooter>&amp;Z&amp;F</oddFooter>
  </headerFooter>
  <legacyDrawing r:id="rId3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B884E1-92D6-4AFD-9EE2-706181448267}">
  <sheetPr codeName="Sheet33">
    <tabColor theme="9"/>
  </sheetPr>
  <dimension ref="A1:I17"/>
  <sheetViews>
    <sheetView topLeftCell="A3" zoomScale="145" zoomScaleNormal="145" zoomScaleSheetLayoutView="120" workbookViewId="0">
      <selection activeCell="E5" sqref="E5:G5"/>
    </sheetView>
  </sheetViews>
  <sheetFormatPr defaultColWidth="9.1796875" defaultRowHeight="12.5" x14ac:dyDescent="0.25"/>
  <cols>
    <col min="1" max="1" width="10.453125" style="234" customWidth="1"/>
    <col min="2" max="2" width="10.1796875" style="234" bestFit="1" customWidth="1"/>
    <col min="3" max="3" width="11" style="234" bestFit="1" customWidth="1"/>
    <col min="4" max="4" width="10.81640625" style="234" bestFit="1" customWidth="1"/>
    <col min="5" max="5" width="11.453125" style="234" bestFit="1" customWidth="1"/>
    <col min="6" max="6" width="10.54296875" style="234" bestFit="1" customWidth="1"/>
    <col min="7" max="7" width="9.1796875" style="234"/>
    <col min="8" max="8" width="8.453125" style="234" bestFit="1" customWidth="1"/>
    <col min="9" max="9" width="24" style="234" customWidth="1"/>
    <col min="10" max="16384" width="9.1796875" style="234"/>
  </cols>
  <sheetData>
    <row r="1" spans="1:9" ht="13" x14ac:dyDescent="0.3">
      <c r="A1" s="234" t="s">
        <v>403</v>
      </c>
      <c r="I1" s="356" t="s">
        <v>554</v>
      </c>
    </row>
    <row r="2" spans="1:9" ht="13" thickBot="1" x14ac:dyDescent="0.3">
      <c r="D2" s="570" t="s">
        <v>558</v>
      </c>
    </row>
    <row r="3" spans="1:9" ht="13.5" thickBot="1" x14ac:dyDescent="0.35">
      <c r="A3" s="241" t="s">
        <v>404</v>
      </c>
      <c r="B3" s="357"/>
      <c r="C3" s="358">
        <f>'[96]NYC Forecast ENERGY 09 08 20'!$A$17</f>
        <v>44348</v>
      </c>
      <c r="D3" s="359"/>
      <c r="E3" s="241"/>
      <c r="F3" s="241"/>
    </row>
    <row r="4" spans="1:9" x14ac:dyDescent="0.25">
      <c r="A4" s="360" t="s">
        <v>405</v>
      </c>
      <c r="B4" s="361" t="s">
        <v>406</v>
      </c>
      <c r="C4" s="362" t="s">
        <v>407</v>
      </c>
      <c r="D4" s="362" t="s">
        <v>408</v>
      </c>
      <c r="E4" s="362" t="s">
        <v>409</v>
      </c>
      <c r="F4" s="362" t="s">
        <v>377</v>
      </c>
      <c r="G4" s="363" t="s">
        <v>375</v>
      </c>
    </row>
    <row r="5" spans="1:9" ht="13" thickBot="1" x14ac:dyDescent="0.3">
      <c r="A5" s="721">
        <f>ROUND(VLOOKUP($C$3,'[99]NYC Forecast ENERGY 04 06 21'!$A$8:$H$32,2,FALSE)/1000,5)</f>
        <v>3.075E-2</v>
      </c>
      <c r="B5" s="722">
        <f>ROUND(VLOOKUP($C$3,'[99]NYC Forecast ENERGY 04 06 21'!$A$8:$H$32,3,FALSE)/1000,5)</f>
        <v>2.2499999999999999E-2</v>
      </c>
      <c r="C5" s="722">
        <f>ROUND(VLOOKUP($C$3,'[99]NYC Forecast ENERGY 04 06 21'!$A$8:$H$32,6,FALSE)/1000,5)</f>
        <v>2.8500000000000001E-2</v>
      </c>
      <c r="D5" s="722">
        <f>ROUND(VLOOKUP($C$3,'[99]NYC Forecast ENERGY 04 06 21'!$A$8:$H$32,7,FALSE)/1000,5)</f>
        <v>2.1250000000000002E-2</v>
      </c>
      <c r="E5" s="365">
        <f>ROUND(VLOOKUP($C$3,[98]Data!$A$61:$E$73,3,FALSE)/1000,5)</f>
        <v>2.97E-3</v>
      </c>
      <c r="F5" s="365">
        <f>ROUND(VLOOKUP($C$3,[98]Data!$A$61:$E$73,4,FALSE)/1000,5)</f>
        <v>1.34E-3</v>
      </c>
      <c r="G5" s="366">
        <f>ROUND(VLOOKUP($C$3,[98]Data!$A$61:$E$73,2,FALSE)/1000,5)</f>
        <v>5.5000000000000003E-4</v>
      </c>
    </row>
    <row r="7" spans="1:9" ht="13" x14ac:dyDescent="0.3">
      <c r="C7" s="367" t="s">
        <v>410</v>
      </c>
      <c r="D7" s="367" t="s">
        <v>411</v>
      </c>
      <c r="E7" s="367" t="s">
        <v>382</v>
      </c>
      <c r="F7" s="368" t="s">
        <v>383</v>
      </c>
      <c r="H7" s="367" t="s">
        <v>412</v>
      </c>
      <c r="I7" s="367" t="s">
        <v>413</v>
      </c>
    </row>
    <row r="8" spans="1:9" x14ac:dyDescent="0.25">
      <c r="A8" s="369"/>
      <c r="B8" s="369"/>
      <c r="C8" s="795" t="s">
        <v>385</v>
      </c>
      <c r="D8" s="796"/>
      <c r="E8" s="370"/>
      <c r="F8" s="371"/>
      <c r="H8" s="372"/>
      <c r="I8" s="372"/>
    </row>
    <row r="9" spans="1:9" x14ac:dyDescent="0.25">
      <c r="A9" s="373" t="s">
        <v>355</v>
      </c>
      <c r="B9" s="373"/>
      <c r="C9" s="374">
        <f>IF(AND(MONTH($C$3)&gt;=6, MONTH($C$3)&lt;=9),'[93]2017 DATA'!$B$7,'[93]2017 DATA'!$F$7)</f>
        <v>0.42819487926885397</v>
      </c>
      <c r="D9" s="374">
        <f>IF(AND(MONTH($C$3)&gt;=6, MONTH($C$3)&lt;=9),'[93]2017 DATA'!$C$7,'[93]2017 DATA'!$G$7)</f>
        <v>0.57180512073114587</v>
      </c>
      <c r="E9" s="375">
        <f>ROUND(((($A$5+$E$5+$F$5+$G$5)*1.063)*$C$9)+((($B$5+$E$5+$F$5+$G$5)*1.063)*$D$9),5)</f>
        <v>3.2840000000000001E-2</v>
      </c>
      <c r="F9" s="376">
        <f>$E$9+'May - Oct Capacity MSC by Class'!G20</f>
        <v>6.7540000000000003E-2</v>
      </c>
      <c r="H9" s="377">
        <f>F9-E9</f>
        <v>3.4700000000000002E-2</v>
      </c>
      <c r="I9" s="378">
        <f>ROUND(((($A$5)*1.063)*$C$9)+((($B$5)*1.063)*$D$9),5)</f>
        <v>2.767E-2</v>
      </c>
    </row>
    <row r="10" spans="1:9" x14ac:dyDescent="0.25">
      <c r="A10" s="369"/>
      <c r="B10" s="369"/>
      <c r="C10" s="370"/>
      <c r="D10" s="379"/>
      <c r="E10" s="370"/>
      <c r="F10" s="380"/>
      <c r="G10" s="382"/>
      <c r="H10" s="370"/>
      <c r="I10" s="381"/>
    </row>
    <row r="11" spans="1:9" x14ac:dyDescent="0.25">
      <c r="A11" s="373" t="s">
        <v>356</v>
      </c>
      <c r="B11" s="373"/>
      <c r="C11" s="374">
        <f>C9</f>
        <v>0.42819487926885397</v>
      </c>
      <c r="D11" s="374">
        <f>D9</f>
        <v>0.57180512073114587</v>
      </c>
      <c r="E11" s="375">
        <f>ROUND(((($C$5+$E$5+$F$5+$G$5)*1.063)*$C$11)+((($D$5+$E$5+$F$5+$G$5)*1.063)*$D$11),5)</f>
        <v>3.1050000000000001E-2</v>
      </c>
      <c r="F11" s="376">
        <f>$E$11+'May - Oct Capacity MSC by Class'!H20</f>
        <v>5.5419999999999997E-2</v>
      </c>
      <c r="H11" s="377">
        <f>F11-E11</f>
        <v>2.4369999999999996E-2</v>
      </c>
      <c r="I11" s="378">
        <f>ROUND(((($C$5)*1.063)*$C$11)+((($D$5)*1.063)*$D$11),5)</f>
        <v>2.589E-2</v>
      </c>
    </row>
    <row r="12" spans="1:9" x14ac:dyDescent="0.25">
      <c r="A12" s="369"/>
      <c r="B12" s="369"/>
      <c r="C12" s="370"/>
      <c r="D12" s="370"/>
      <c r="E12" s="370"/>
      <c r="F12" s="380"/>
      <c r="H12" s="370"/>
      <c r="I12" s="381"/>
    </row>
    <row r="13" spans="1:9" x14ac:dyDescent="0.25">
      <c r="A13" s="373" t="s">
        <v>357</v>
      </c>
      <c r="B13" s="373"/>
      <c r="C13" s="374">
        <f>IF(AND(MONTH($C$3)&gt;=6, MONTH($C$3)&lt;=9),'[93]2017 DATA'!$B$11,'[93]2017 DATA'!$F$11)</f>
        <v>0.49464156605313719</v>
      </c>
      <c r="D13" s="374">
        <f>IF(AND(MONTH($C$3)&gt;=6, MONTH($C$3)&lt;=9),'[93]2017 DATA'!$C$11,'[93]2017 DATA'!$G$11)</f>
        <v>0.50535843394686286</v>
      </c>
      <c r="E13" s="374">
        <f>ROUND(((($A$5+$E$5+$F$5+$G$5)*1.063)*$C$13)+((($B$5+$E$5+$F$5+$G$5)*1.063)*$D$13),4)</f>
        <v>3.3399999999999999E-2</v>
      </c>
      <c r="F13" s="376">
        <f>$E$13+'May - Oct Capacity MSC by Class'!G21</f>
        <v>5.3400000000000003E-2</v>
      </c>
      <c r="H13" s="374">
        <f>F13-E13</f>
        <v>2.0000000000000004E-2</v>
      </c>
      <c r="I13" s="382">
        <f>ROUND(((($A$5)*1.063)*$C$13)+((($B$5)*1.063)*$D$13),4)</f>
        <v>2.8299999999999999E-2</v>
      </c>
    </row>
    <row r="14" spans="1:9" x14ac:dyDescent="0.25">
      <c r="A14" s="369"/>
      <c r="B14" s="369"/>
      <c r="C14" s="370"/>
      <c r="D14" s="370"/>
      <c r="E14" s="379"/>
      <c r="F14" s="380"/>
      <c r="H14" s="370"/>
      <c r="I14" s="381"/>
    </row>
    <row r="15" spans="1:9" x14ac:dyDescent="0.25">
      <c r="A15" s="373" t="s">
        <v>414</v>
      </c>
      <c r="B15" s="373"/>
      <c r="C15" s="374">
        <f>IF(AND(MONTH($C$3)&gt;=6, MONTH($C$3)&lt;=9),'[93]2017 DATA'!$B$15,'[93]2017 DATA'!$F$15)</f>
        <v>0.47862902881722114</v>
      </c>
      <c r="D15" s="374">
        <f>IF(AND(MONTH($C$3)&gt;=6, MONTH($C$3)&lt;=9),'[93]2017 DATA'!$C$15,'[93]2017 DATA'!$G$15)</f>
        <v>0.52137097118277886</v>
      </c>
      <c r="E15" s="374">
        <f>ROUND(((($A$5+$E$5+$F$5+$G$5)*1.063)*$C$15)+((($B$5+$E$5+$F$5+$G$5)*1.063)*$D$15),4)</f>
        <v>3.3300000000000003E-2</v>
      </c>
      <c r="F15" s="376">
        <f>E15</f>
        <v>3.3300000000000003E-2</v>
      </c>
      <c r="H15" s="374"/>
      <c r="I15" s="382">
        <f>ROUND(((($A$5)*1.063)*$C$15)+((($B$5)*1.063)*$D$15),4)</f>
        <v>2.81E-2</v>
      </c>
    </row>
    <row r="17" spans="1:3" x14ac:dyDescent="0.25">
      <c r="A17" s="383" t="s">
        <v>415</v>
      </c>
      <c r="B17" s="383"/>
      <c r="C17" s="383"/>
    </row>
  </sheetData>
  <mergeCells count="1">
    <mergeCell ref="C8:D8"/>
  </mergeCells>
  <hyperlinks>
    <hyperlink ref="C8:D8" r:id="rId1" display="Source" xr:uid="{2CF54C41-2C24-4FD2-BFF1-C5A1BE1BD71D}"/>
  </hyperlinks>
  <pageMargins left="0.75" right="0.75" top="1" bottom="1" header="0.5" footer="0.5"/>
  <pageSetup scale="70" orientation="portrait" r:id="rId2"/>
  <headerFooter alignWithMargins="0">
    <oddFooter>&amp;Z&amp;F</oddFooter>
  </headerFooter>
  <legacyDrawing r:id="rId3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13F39D-1926-4267-93DF-999AF7CB2AC5}">
  <sheetPr codeName="Sheet34">
    <tabColor theme="9"/>
  </sheetPr>
  <dimension ref="A1:I17"/>
  <sheetViews>
    <sheetView zoomScale="130" zoomScaleNormal="130" zoomScaleSheetLayoutView="160" workbookViewId="0">
      <selection activeCell="E5" sqref="E5:G5"/>
    </sheetView>
  </sheetViews>
  <sheetFormatPr defaultColWidth="9.1796875" defaultRowHeight="12.5" x14ac:dyDescent="0.25"/>
  <cols>
    <col min="1" max="1" width="10.453125" style="234" customWidth="1"/>
    <col min="2" max="2" width="10.1796875" style="234" bestFit="1" customWidth="1"/>
    <col min="3" max="3" width="11" style="234" bestFit="1" customWidth="1"/>
    <col min="4" max="4" width="10.81640625" style="234" bestFit="1" customWidth="1"/>
    <col min="5" max="5" width="11.453125" style="234" bestFit="1" customWidth="1"/>
    <col min="6" max="6" width="10.54296875" style="234" bestFit="1" customWidth="1"/>
    <col min="7" max="7" width="9.1796875" style="234"/>
    <col min="8" max="8" width="8.453125" style="234" bestFit="1" customWidth="1"/>
    <col min="9" max="9" width="24" style="234" customWidth="1"/>
    <col min="10" max="16384" width="9.1796875" style="234"/>
  </cols>
  <sheetData>
    <row r="1" spans="1:9" ht="13" x14ac:dyDescent="0.3">
      <c r="A1" s="234" t="s">
        <v>403</v>
      </c>
      <c r="I1" s="356" t="s">
        <v>554</v>
      </c>
    </row>
    <row r="2" spans="1:9" ht="13" thickBot="1" x14ac:dyDescent="0.3">
      <c r="D2" s="570" t="s">
        <v>558</v>
      </c>
    </row>
    <row r="3" spans="1:9" ht="13.5" thickBot="1" x14ac:dyDescent="0.35">
      <c r="A3" s="241" t="s">
        <v>404</v>
      </c>
      <c r="B3" s="357"/>
      <c r="C3" s="358">
        <f>'[96]NYC Forecast ENERGY 09 08 20'!$A$18</f>
        <v>44378</v>
      </c>
      <c r="D3" s="359"/>
      <c r="E3" s="241"/>
      <c r="F3" s="241"/>
    </row>
    <row r="4" spans="1:9" x14ac:dyDescent="0.25">
      <c r="A4" s="360" t="s">
        <v>405</v>
      </c>
      <c r="B4" s="361" t="s">
        <v>406</v>
      </c>
      <c r="C4" s="362" t="s">
        <v>407</v>
      </c>
      <c r="D4" s="362" t="s">
        <v>408</v>
      </c>
      <c r="E4" s="362" t="s">
        <v>409</v>
      </c>
      <c r="F4" s="362" t="s">
        <v>377</v>
      </c>
      <c r="G4" s="363" t="s">
        <v>375</v>
      </c>
    </row>
    <row r="5" spans="1:9" ht="13" thickBot="1" x14ac:dyDescent="0.3">
      <c r="A5" s="721">
        <f>ROUND(VLOOKUP($C$3,'[99]NYC Forecast ENERGY 04 06 21'!$A$8:$H$32,2,FALSE)/1000,5)</f>
        <v>4.1079999999999998E-2</v>
      </c>
      <c r="B5" s="722">
        <f>ROUND(VLOOKUP($C$3,'[99]NYC Forecast ENERGY 04 06 21'!$A$8:$H$32,3,FALSE)/1000,5)</f>
        <v>2.7380000000000002E-2</v>
      </c>
      <c r="C5" s="722">
        <f>ROUND(VLOOKUP($C$3,'[99]NYC Forecast ENERGY 04 06 21'!$A$8:$H$32,6,FALSE)/1000,5)</f>
        <v>3.5999999999999997E-2</v>
      </c>
      <c r="D5" s="722">
        <f>ROUND(VLOOKUP($C$3,'[99]NYC Forecast ENERGY 04 06 21'!$A$8:$H$32,7,FALSE)/1000,5)</f>
        <v>2.5250000000000002E-2</v>
      </c>
      <c r="E5" s="365">
        <f>ROUND(VLOOKUP($C$3,[98]Data!$A$61:$E$73,3,FALSE)/1000,5)</f>
        <v>2.6700000000000001E-3</v>
      </c>
      <c r="F5" s="365">
        <f>ROUND(VLOOKUP($C$3,[98]Data!$A$61:$E$73,4,FALSE)/1000,5)</f>
        <v>1.3799999999999999E-3</v>
      </c>
      <c r="G5" s="366">
        <f>ROUND(VLOOKUP($C$3,[98]Data!$A$61:$E$73,2,FALSE)/1000,5)</f>
        <v>4.4999999999999999E-4</v>
      </c>
    </row>
    <row r="7" spans="1:9" ht="13" x14ac:dyDescent="0.3">
      <c r="C7" s="367" t="s">
        <v>410</v>
      </c>
      <c r="D7" s="367" t="s">
        <v>411</v>
      </c>
      <c r="E7" s="367" t="s">
        <v>382</v>
      </c>
      <c r="F7" s="368" t="s">
        <v>383</v>
      </c>
      <c r="H7" s="367" t="s">
        <v>412</v>
      </c>
      <c r="I7" s="367" t="s">
        <v>413</v>
      </c>
    </row>
    <row r="8" spans="1:9" x14ac:dyDescent="0.25">
      <c r="A8" s="369"/>
      <c r="B8" s="369"/>
      <c r="C8" s="795" t="s">
        <v>385</v>
      </c>
      <c r="D8" s="796"/>
      <c r="E8" s="370"/>
      <c r="F8" s="371"/>
      <c r="H8" s="372"/>
      <c r="I8" s="372"/>
    </row>
    <row r="9" spans="1:9" x14ac:dyDescent="0.25">
      <c r="A9" s="373" t="s">
        <v>355</v>
      </c>
      <c r="B9" s="373"/>
      <c r="C9" s="374">
        <f>IF(AND(MONTH($C$3)&gt;=6, MONTH($C$3)&lt;=9),'[93]2017 DATA'!$B$7,'[93]2017 DATA'!$F$7)</f>
        <v>0.42819487926885397</v>
      </c>
      <c r="D9" s="374">
        <f>IF(AND(MONTH($C$3)&gt;=6, MONTH($C$3)&lt;=9),'[93]2017 DATA'!$C$7,'[93]2017 DATA'!$G$7)</f>
        <v>0.57180512073114587</v>
      </c>
      <c r="E9" s="375">
        <f>ROUND(((($A$5+$E$5+$F$5+$G$5)*1.063)*$C$9)+((($B$5+$E$5+$F$5+$G$5)*1.063)*$D$9),5)</f>
        <v>4.0120000000000003E-2</v>
      </c>
      <c r="F9" s="376">
        <f>$E$9+'May - Oct Capacity MSC by Class'!G20</f>
        <v>7.4819999999999998E-2</v>
      </c>
      <c r="H9" s="377">
        <f>F9-E9</f>
        <v>3.4699999999999995E-2</v>
      </c>
      <c r="I9" s="378">
        <f>ROUND(((($A$5)*1.063)*$C$9)+((($B$5)*1.063)*$D$9),5)</f>
        <v>3.5340000000000003E-2</v>
      </c>
    </row>
    <row r="10" spans="1:9" x14ac:dyDescent="0.25">
      <c r="A10" s="369"/>
      <c r="B10" s="369"/>
      <c r="C10" s="370"/>
      <c r="D10" s="379"/>
      <c r="E10" s="370"/>
      <c r="F10" s="380"/>
      <c r="H10" s="370"/>
      <c r="I10" s="381"/>
    </row>
    <row r="11" spans="1:9" x14ac:dyDescent="0.25">
      <c r="A11" s="373" t="s">
        <v>356</v>
      </c>
      <c r="B11" s="373"/>
      <c r="C11" s="374">
        <f>C9</f>
        <v>0.42819487926885397</v>
      </c>
      <c r="D11" s="374">
        <f>D9</f>
        <v>0.57180512073114587</v>
      </c>
      <c r="E11" s="375">
        <f>ROUND(((($C$5+$E$5+$F$5+$G$5)*1.063)*$C$11)+((($D$5+$E$5+$F$5+$G$5)*1.063)*$D$11),5)</f>
        <v>3.6519999999999997E-2</v>
      </c>
      <c r="F11" s="376">
        <f>$E$11+'May - Oct Capacity MSC by Class'!H20</f>
        <v>6.089E-2</v>
      </c>
      <c r="H11" s="377">
        <f>F11-E11</f>
        <v>2.4370000000000003E-2</v>
      </c>
      <c r="I11" s="378">
        <f>ROUND(((($C$5)*1.063)*$C$11)+((($D$5)*1.063)*$D$11),5)</f>
        <v>3.1730000000000001E-2</v>
      </c>
    </row>
    <row r="12" spans="1:9" x14ac:dyDescent="0.25">
      <c r="A12" s="369"/>
      <c r="B12" s="369"/>
      <c r="C12" s="370"/>
      <c r="D12" s="370"/>
      <c r="E12" s="370"/>
      <c r="F12" s="380"/>
      <c r="H12" s="370"/>
      <c r="I12" s="381"/>
    </row>
    <row r="13" spans="1:9" x14ac:dyDescent="0.25">
      <c r="A13" s="373" t="s">
        <v>357</v>
      </c>
      <c r="B13" s="373"/>
      <c r="C13" s="374">
        <f>IF(AND(MONTH($C$3)&gt;=6, MONTH($C$3)&lt;=9),'[93]2017 DATA'!$B$11,'[93]2017 DATA'!$F$11)</f>
        <v>0.49464156605313719</v>
      </c>
      <c r="D13" s="374">
        <f>IF(AND(MONTH($C$3)&gt;=6, MONTH($C$3)&lt;=9),'[93]2017 DATA'!$C$11,'[93]2017 DATA'!$G$11)</f>
        <v>0.50535843394686286</v>
      </c>
      <c r="E13" s="374">
        <f>ROUND(((($A$5+$E$5+$F$5+$G$5)*1.063)*$C$13)+((($B$5+$E$5+$F$5+$G$5)*1.063)*$D$13),4)</f>
        <v>4.1099999999999998E-2</v>
      </c>
      <c r="F13" s="376">
        <f>$E$13+'May - Oct Capacity MSC by Class'!G21</f>
        <v>6.1100000000000002E-2</v>
      </c>
      <c r="H13" s="374">
        <f>F13-E13</f>
        <v>2.0000000000000004E-2</v>
      </c>
      <c r="I13" s="382">
        <f>ROUND(((($A$5)*1.063)*$C$13)+((($B$5)*1.063)*$D$13),4)</f>
        <v>3.6299999999999999E-2</v>
      </c>
    </row>
    <row r="14" spans="1:9" x14ac:dyDescent="0.25">
      <c r="A14" s="369"/>
      <c r="B14" s="369"/>
      <c r="C14" s="370"/>
      <c r="D14" s="370"/>
      <c r="E14" s="379"/>
      <c r="F14" s="380"/>
      <c r="H14" s="370"/>
      <c r="I14" s="381"/>
    </row>
    <row r="15" spans="1:9" x14ac:dyDescent="0.25">
      <c r="A15" s="373" t="s">
        <v>414</v>
      </c>
      <c r="B15" s="373"/>
      <c r="C15" s="374">
        <f>IF(AND(MONTH($C$3)&gt;=6, MONTH($C$3)&lt;=9),'[93]2017 DATA'!$B$15,'[93]2017 DATA'!$F$15)</f>
        <v>0.47862902881722114</v>
      </c>
      <c r="D15" s="374">
        <f>IF(AND(MONTH($C$3)&gt;=6, MONTH($C$3)&lt;=9),'[93]2017 DATA'!$C$15,'[93]2017 DATA'!$G$15)</f>
        <v>0.52137097118277886</v>
      </c>
      <c r="E15" s="374">
        <f>ROUND(((($A$5+$E$5+$F$5+$G$5)*1.063)*$C$15)+((($B$5+$E$5+$F$5+$G$5)*1.063)*$D$15),4)</f>
        <v>4.0899999999999999E-2</v>
      </c>
      <c r="F15" s="376">
        <f>E15</f>
        <v>4.0899999999999999E-2</v>
      </c>
      <c r="H15" s="374"/>
      <c r="I15" s="382">
        <f>ROUND(((($A$5)*1.063)*$C$15)+((($B$5)*1.063)*$D$15),4)</f>
        <v>3.61E-2</v>
      </c>
    </row>
    <row r="17" spans="1:3" x14ac:dyDescent="0.25">
      <c r="A17" s="383" t="s">
        <v>415</v>
      </c>
      <c r="B17" s="383"/>
      <c r="C17" s="383"/>
    </row>
  </sheetData>
  <mergeCells count="1">
    <mergeCell ref="C8:D8"/>
  </mergeCells>
  <hyperlinks>
    <hyperlink ref="C8:D8" r:id="rId1" display="Source" xr:uid="{73DB26CE-560E-409D-91D9-69D24551CD3E}"/>
  </hyperlinks>
  <pageMargins left="0.75" right="0.75" top="1" bottom="1" header="0.5" footer="0.5"/>
  <pageSetup scale="70" orientation="portrait" r:id="rId2"/>
  <headerFooter alignWithMargins="0">
    <oddFooter>&amp;Z&amp;F</oddFooter>
  </headerFooter>
  <legacyDrawing r:id="rId3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BB904B-E1CD-460E-8E62-AAAE214942DA}">
  <sheetPr codeName="Sheet35">
    <tabColor theme="9"/>
  </sheetPr>
  <dimension ref="A1:I17"/>
  <sheetViews>
    <sheetView zoomScale="145" zoomScaleNormal="145" zoomScaleSheetLayoutView="120" workbookViewId="0">
      <selection activeCell="F24" sqref="F24"/>
    </sheetView>
  </sheetViews>
  <sheetFormatPr defaultColWidth="9.1796875" defaultRowHeight="12.5" x14ac:dyDescent="0.25"/>
  <cols>
    <col min="1" max="1" width="10.453125" style="234" customWidth="1"/>
    <col min="2" max="2" width="10.1796875" style="234" bestFit="1" customWidth="1"/>
    <col min="3" max="3" width="11" style="234" bestFit="1" customWidth="1"/>
    <col min="4" max="4" width="10.81640625" style="234" bestFit="1" customWidth="1"/>
    <col min="5" max="5" width="11.453125" style="234" bestFit="1" customWidth="1"/>
    <col min="6" max="6" width="10.54296875" style="234" bestFit="1" customWidth="1"/>
    <col min="7" max="7" width="9.1796875" style="234"/>
    <col min="8" max="8" width="8.453125" style="234" bestFit="1" customWidth="1"/>
    <col min="9" max="9" width="24" style="234" customWidth="1"/>
    <col min="10" max="16384" width="9.1796875" style="234"/>
  </cols>
  <sheetData>
    <row r="1" spans="1:9" ht="13" x14ac:dyDescent="0.3">
      <c r="A1" s="234" t="s">
        <v>403</v>
      </c>
      <c r="I1" s="356" t="s">
        <v>554</v>
      </c>
    </row>
    <row r="2" spans="1:9" ht="13" thickBot="1" x14ac:dyDescent="0.3">
      <c r="D2" s="570" t="s">
        <v>558</v>
      </c>
    </row>
    <row r="3" spans="1:9" ht="13.5" thickBot="1" x14ac:dyDescent="0.35">
      <c r="A3" s="241" t="s">
        <v>404</v>
      </c>
      <c r="B3" s="357"/>
      <c r="C3" s="358">
        <f>'[96]NYC Forecast ENERGY 09 08 20'!$A$19</f>
        <v>44409</v>
      </c>
      <c r="D3" s="359"/>
      <c r="E3" s="241"/>
      <c r="F3" s="241"/>
    </row>
    <row r="4" spans="1:9" x14ac:dyDescent="0.25">
      <c r="A4" s="360" t="s">
        <v>405</v>
      </c>
      <c r="B4" s="361" t="s">
        <v>406</v>
      </c>
      <c r="C4" s="362" t="s">
        <v>407</v>
      </c>
      <c r="D4" s="362" t="s">
        <v>408</v>
      </c>
      <c r="E4" s="362" t="s">
        <v>409</v>
      </c>
      <c r="F4" s="362" t="s">
        <v>377</v>
      </c>
      <c r="G4" s="363" t="s">
        <v>375</v>
      </c>
    </row>
    <row r="5" spans="1:9" ht="13" thickBot="1" x14ac:dyDescent="0.3">
      <c r="A5" s="721">
        <f>ROUND(VLOOKUP($C$3,'[99]NYC Forecast ENERGY 04 06 21'!$A$8:$H$32,2,FALSE)/1000,5)</f>
        <v>3.7999999999999999E-2</v>
      </c>
      <c r="B5" s="722">
        <f>ROUND(VLOOKUP($C$3,'[99]NYC Forecast ENERGY 04 06 21'!$A$8:$H$32,3,FALSE)/1000,5)</f>
        <v>2.495E-2</v>
      </c>
      <c r="C5" s="722">
        <f>ROUND(VLOOKUP($C$3,'[99]NYC Forecast ENERGY 04 06 21'!$A$8:$H$32,6,FALSE)/1000,5)</f>
        <v>3.3250000000000002E-2</v>
      </c>
      <c r="D5" s="722">
        <f>ROUND(VLOOKUP($C$3,'[99]NYC Forecast ENERGY 04 06 21'!$A$8:$H$32,7,FALSE)/1000,5)</f>
        <v>2.325E-2</v>
      </c>
      <c r="E5" s="365">
        <f>ROUND(VLOOKUP($C$3,[98]Data!$A$61:$E$73,3,FALSE)/1000,5)</f>
        <v>2.7899999999999999E-3</v>
      </c>
      <c r="F5" s="365">
        <f>ROUND(VLOOKUP($C$3,[98]Data!$A$61:$E$73,4,FALSE)/1000,5)</f>
        <v>1.34E-3</v>
      </c>
      <c r="G5" s="366">
        <f>ROUND(VLOOKUP($C$3,[98]Data!$A$61:$E$73,2,FALSE)/1000,5)</f>
        <v>4.0999999999999999E-4</v>
      </c>
    </row>
    <row r="7" spans="1:9" ht="13" x14ac:dyDescent="0.3">
      <c r="C7" s="367" t="s">
        <v>410</v>
      </c>
      <c r="D7" s="367" t="s">
        <v>411</v>
      </c>
      <c r="E7" s="367" t="s">
        <v>382</v>
      </c>
      <c r="F7" s="368" t="s">
        <v>383</v>
      </c>
      <c r="H7" s="367" t="s">
        <v>412</v>
      </c>
      <c r="I7" s="367" t="s">
        <v>413</v>
      </c>
    </row>
    <row r="8" spans="1:9" x14ac:dyDescent="0.25">
      <c r="A8" s="369"/>
      <c r="B8" s="369"/>
      <c r="C8" s="795" t="s">
        <v>385</v>
      </c>
      <c r="D8" s="796"/>
      <c r="E8" s="370"/>
      <c r="F8" s="371"/>
      <c r="H8" s="372"/>
      <c r="I8" s="372"/>
    </row>
    <row r="9" spans="1:9" x14ac:dyDescent="0.25">
      <c r="A9" s="373" t="s">
        <v>355</v>
      </c>
      <c r="B9" s="373"/>
      <c r="C9" s="374">
        <f>IF(AND(MONTH($C$3)&gt;=6, MONTH($C$3)&lt;=9),'[93]2017 DATA'!$B$7,'[93]2017 DATA'!$F$7)</f>
        <v>0.42819487926885397</v>
      </c>
      <c r="D9" s="374">
        <f>IF(AND(MONTH($C$3)&gt;=6, MONTH($C$3)&lt;=9),'[93]2017 DATA'!$C$7,'[93]2017 DATA'!$G$7)</f>
        <v>0.57180512073114587</v>
      </c>
      <c r="E9" s="375">
        <f>ROUND(((($A$5+$E$5+$F$5+$G$5)*1.063)*$C$9)+((($B$5+$E$5+$F$5+$G$5)*1.063)*$D$9),5)</f>
        <v>3.7289999999999997E-2</v>
      </c>
      <c r="F9" s="376">
        <f>$E$9+'May - Oct Capacity MSC by Class'!G20</f>
        <v>7.1989999999999998E-2</v>
      </c>
      <c r="H9" s="377">
        <f>F9-E9</f>
        <v>3.4700000000000002E-2</v>
      </c>
      <c r="I9" s="378">
        <f>ROUND(((($A$5)*1.063)*$C$9)+((($B$5)*1.063)*$D$9),5)</f>
        <v>3.2460000000000003E-2</v>
      </c>
    </row>
    <row r="10" spans="1:9" x14ac:dyDescent="0.25">
      <c r="A10" s="369"/>
      <c r="B10" s="369"/>
      <c r="C10" s="370"/>
      <c r="D10" s="379"/>
      <c r="E10" s="370"/>
      <c r="F10" s="380"/>
      <c r="H10" s="370"/>
      <c r="I10" s="381"/>
    </row>
    <row r="11" spans="1:9" x14ac:dyDescent="0.25">
      <c r="A11" s="373" t="s">
        <v>356</v>
      </c>
      <c r="B11" s="373"/>
      <c r="C11" s="374">
        <f>C9</f>
        <v>0.42819487926885397</v>
      </c>
      <c r="D11" s="374">
        <f>D9</f>
        <v>0.57180512073114587</v>
      </c>
      <c r="E11" s="375">
        <f>ROUND(((($C$5+$E$5+$F$5+$G$5)*1.063)*$C$11)+((($D$5+$E$5+$F$5+$G$5)*1.063)*$D$11),5)</f>
        <v>3.4090000000000002E-2</v>
      </c>
      <c r="F11" s="376">
        <f>$E$11+'May - Oct Capacity MSC by Class'!H20</f>
        <v>5.8459999999999998E-2</v>
      </c>
      <c r="H11" s="377">
        <f>F11-E11</f>
        <v>2.4369999999999996E-2</v>
      </c>
      <c r="I11" s="378">
        <f>ROUND(((($C$5)*1.063)*$C$11)+((($D$5)*1.063)*$D$11),5)</f>
        <v>2.9270000000000001E-2</v>
      </c>
    </row>
    <row r="12" spans="1:9" x14ac:dyDescent="0.25">
      <c r="A12" s="369"/>
      <c r="B12" s="369"/>
      <c r="C12" s="370"/>
      <c r="D12" s="370"/>
      <c r="E12" s="370"/>
      <c r="F12" s="380"/>
      <c r="H12" s="370"/>
      <c r="I12" s="381"/>
    </row>
    <row r="13" spans="1:9" x14ac:dyDescent="0.25">
      <c r="A13" s="373" t="s">
        <v>357</v>
      </c>
      <c r="B13" s="373"/>
      <c r="C13" s="374">
        <f>IF(AND(MONTH($C$3)&gt;=6, MONTH($C$3)&lt;=9),'[93]2017 DATA'!$B$11,'[93]2017 DATA'!$F$11)</f>
        <v>0.49464156605313719</v>
      </c>
      <c r="D13" s="374">
        <f>IF(AND(MONTH($C$3)&gt;=6, MONTH($C$3)&lt;=9),'[93]2017 DATA'!$C$11,'[93]2017 DATA'!$G$11)</f>
        <v>0.50535843394686286</v>
      </c>
      <c r="E13" s="374">
        <f>ROUND(((($A$5+$E$5+$F$5+$G$5)*1.063)*$C$13)+((($B$5+$E$5+$F$5+$G$5)*1.063)*$D$13),4)</f>
        <v>3.8199999999999998E-2</v>
      </c>
      <c r="F13" s="376">
        <f>$E$13+'May - Oct Capacity MSC by Class'!G21</f>
        <v>5.8200000000000002E-2</v>
      </c>
      <c r="H13" s="374">
        <f>F13-E13</f>
        <v>2.0000000000000004E-2</v>
      </c>
      <c r="I13" s="382">
        <f>ROUND(((($A$5)*1.063)*$C$13)+((($B$5)*1.063)*$D$13),4)</f>
        <v>3.3399999999999999E-2</v>
      </c>
    </row>
    <row r="14" spans="1:9" x14ac:dyDescent="0.25">
      <c r="A14" s="369"/>
      <c r="B14" s="369"/>
      <c r="C14" s="370"/>
      <c r="D14" s="370"/>
      <c r="E14" s="379"/>
      <c r="F14" s="380"/>
      <c r="H14" s="370"/>
      <c r="I14" s="381"/>
    </row>
    <row r="15" spans="1:9" x14ac:dyDescent="0.25">
      <c r="A15" s="373" t="s">
        <v>414</v>
      </c>
      <c r="B15" s="373"/>
      <c r="C15" s="374">
        <f>IF(AND(MONTH($C$3)&gt;=6, MONTH($C$3)&lt;=9),'[93]2017 DATA'!$B$15,'[93]2017 DATA'!$F$15)</f>
        <v>0.47862902881722114</v>
      </c>
      <c r="D15" s="374">
        <f>IF(AND(MONTH($C$3)&gt;=6, MONTH($C$3)&lt;=9),'[93]2017 DATA'!$C$15,'[93]2017 DATA'!$G$15)</f>
        <v>0.52137097118277886</v>
      </c>
      <c r="E15" s="374">
        <f>ROUND(((($A$5+$E$5+$F$5+$G$5)*1.063)*$C$15)+((($B$5+$E$5+$F$5+$G$5)*1.063)*$D$15),4)</f>
        <v>3.7999999999999999E-2</v>
      </c>
      <c r="F15" s="376">
        <f>E15</f>
        <v>3.7999999999999999E-2</v>
      </c>
      <c r="H15" s="374"/>
      <c r="I15" s="382">
        <f>ROUND(((($A$5)*1.063)*$C$15)+((($B$5)*1.063)*$D$15),4)</f>
        <v>3.32E-2</v>
      </c>
    </row>
    <row r="17" spans="1:3" x14ac:dyDescent="0.25">
      <c r="A17" s="383" t="s">
        <v>415</v>
      </c>
      <c r="B17" s="383"/>
      <c r="C17" s="383"/>
    </row>
  </sheetData>
  <mergeCells count="1">
    <mergeCell ref="C8:D8"/>
  </mergeCells>
  <hyperlinks>
    <hyperlink ref="C8:D8" r:id="rId1" display="Source" xr:uid="{D2A2D99F-1E21-4118-894F-FD3A76F3C566}"/>
  </hyperlinks>
  <pageMargins left="0.75" right="0.75" top="1" bottom="1" header="0.5" footer="0.5"/>
  <pageSetup scale="70" orientation="portrait" r:id="rId2"/>
  <headerFooter alignWithMargins="0">
    <oddFooter>&amp;Z&amp;F</oddFooter>
  </headerFooter>
  <legacyDrawing r:id="rId3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73165-E2E7-497B-82C7-1CFE7BAF7047}">
  <sheetPr codeName="Sheet36">
    <tabColor theme="9"/>
  </sheetPr>
  <dimension ref="A1:I17"/>
  <sheetViews>
    <sheetView topLeftCell="A3" zoomScale="150" zoomScaleNormal="150" zoomScaleSheetLayoutView="175" workbookViewId="0">
      <selection activeCell="E5" sqref="E5:G5"/>
    </sheetView>
  </sheetViews>
  <sheetFormatPr defaultColWidth="9.1796875" defaultRowHeight="12.5" x14ac:dyDescent="0.25"/>
  <cols>
    <col min="1" max="1" width="10.453125" style="234" customWidth="1"/>
    <col min="2" max="2" width="10.1796875" style="234" bestFit="1" customWidth="1"/>
    <col min="3" max="3" width="11" style="234" bestFit="1" customWidth="1"/>
    <col min="4" max="4" width="10.81640625" style="234" bestFit="1" customWidth="1"/>
    <col min="5" max="5" width="11.453125" style="234" bestFit="1" customWidth="1"/>
    <col min="6" max="6" width="10.54296875" style="234" bestFit="1" customWidth="1"/>
    <col min="7" max="7" width="9.1796875" style="234"/>
    <col min="8" max="8" width="8.453125" style="234" bestFit="1" customWidth="1"/>
    <col min="9" max="9" width="24" style="234" customWidth="1"/>
    <col min="10" max="16384" width="9.1796875" style="234"/>
  </cols>
  <sheetData>
    <row r="1" spans="1:9" ht="13" x14ac:dyDescent="0.3">
      <c r="A1" s="234" t="s">
        <v>403</v>
      </c>
      <c r="I1" s="356" t="s">
        <v>554</v>
      </c>
    </row>
    <row r="2" spans="1:9" ht="13" thickBot="1" x14ac:dyDescent="0.3">
      <c r="D2" s="570" t="s">
        <v>558</v>
      </c>
    </row>
    <row r="3" spans="1:9" ht="13.5" thickBot="1" x14ac:dyDescent="0.35">
      <c r="A3" s="241" t="s">
        <v>404</v>
      </c>
      <c r="B3" s="357"/>
      <c r="C3" s="358">
        <f>'[96]NYC Forecast ENERGY 09 08 20'!$A$20</f>
        <v>44440</v>
      </c>
      <c r="D3" s="359"/>
      <c r="E3" s="241"/>
      <c r="F3" s="241"/>
    </row>
    <row r="4" spans="1:9" x14ac:dyDescent="0.25">
      <c r="A4" s="360" t="s">
        <v>405</v>
      </c>
      <c r="B4" s="361" t="s">
        <v>406</v>
      </c>
      <c r="C4" s="362" t="s">
        <v>407</v>
      </c>
      <c r="D4" s="362" t="s">
        <v>408</v>
      </c>
      <c r="E4" s="362" t="s">
        <v>409</v>
      </c>
      <c r="F4" s="362" t="s">
        <v>377</v>
      </c>
      <c r="G4" s="363" t="s">
        <v>375</v>
      </c>
    </row>
    <row r="5" spans="1:9" ht="13" thickBot="1" x14ac:dyDescent="0.3">
      <c r="A5" s="721">
        <f>ROUND(VLOOKUP($C$3,'[99]NYC Forecast ENERGY 04 06 21'!$A$8:$H$32,2,FALSE)/1000,5)</f>
        <v>3.0949999999999998E-2</v>
      </c>
      <c r="B5" s="722">
        <f>ROUND(VLOOKUP($C$3,'[99]NYC Forecast ENERGY 04 06 21'!$A$8:$H$32,3,FALSE)/1000,5)</f>
        <v>2.2749999999999999E-2</v>
      </c>
      <c r="C5" s="722">
        <f>ROUND(VLOOKUP($C$3,'[99]NYC Forecast ENERGY 04 06 21'!$A$8:$H$32,6,FALSE)/1000,5)</f>
        <v>2.8750000000000001E-2</v>
      </c>
      <c r="D5" s="722">
        <f>ROUND(VLOOKUP($C$3,'[99]NYC Forecast ENERGY 04 06 21'!$A$8:$H$32,7,FALSE)/1000,5)</f>
        <v>2.1499999999999998E-2</v>
      </c>
      <c r="E5" s="722">
        <f>ROUND(VLOOKUP($C$3,[98]Data!$A$61:$E$73,3,FALSE)/1000,5)</f>
        <v>2.9499999999999999E-3</v>
      </c>
      <c r="F5" s="365">
        <f>ROUND(VLOOKUP($C$3,[98]Data!$A$61:$E$73,4,FALSE)/1000,5)</f>
        <v>1.1000000000000001E-3</v>
      </c>
      <c r="G5" s="366">
        <f>ROUND(VLOOKUP($C$3,[98]Data!$A$61:$E$73,2,FALSE)/1000,5)</f>
        <v>4.4000000000000002E-4</v>
      </c>
    </row>
    <row r="7" spans="1:9" ht="13" x14ac:dyDescent="0.3">
      <c r="C7" s="367" t="s">
        <v>410</v>
      </c>
      <c r="D7" s="367" t="s">
        <v>411</v>
      </c>
      <c r="E7" s="367" t="s">
        <v>382</v>
      </c>
      <c r="F7" s="368" t="s">
        <v>383</v>
      </c>
      <c r="H7" s="367" t="s">
        <v>412</v>
      </c>
      <c r="I7" s="367" t="s">
        <v>413</v>
      </c>
    </row>
    <row r="8" spans="1:9" x14ac:dyDescent="0.25">
      <c r="A8" s="369"/>
      <c r="B8" s="369"/>
      <c r="C8" s="795" t="s">
        <v>385</v>
      </c>
      <c r="D8" s="796"/>
      <c r="E8" s="370"/>
      <c r="F8" s="371"/>
      <c r="H8" s="372"/>
      <c r="I8" s="372"/>
    </row>
    <row r="9" spans="1:9" x14ac:dyDescent="0.25">
      <c r="A9" s="373" t="s">
        <v>355</v>
      </c>
      <c r="B9" s="373"/>
      <c r="C9" s="374">
        <f>IF(AND(MONTH($C$3)&gt;=6, MONTH($C$3)&lt;=9),'[93]2017 DATA'!$B$7,'[93]2017 DATA'!$F$7)</f>
        <v>0.42819487926885397</v>
      </c>
      <c r="D9" s="374">
        <f>IF(AND(MONTH($C$3)&gt;=6, MONTH($C$3)&lt;=9),'[93]2017 DATA'!$C$7,'[93]2017 DATA'!$G$7)</f>
        <v>0.57180512073114587</v>
      </c>
      <c r="E9" s="375">
        <f>ROUND(((($A$5+$E$5+$F$5+$G$5)*1.063)*$C$9)+((($B$5+$E$5+$F$5+$G$5)*1.063)*$D$9),5)</f>
        <v>3.2689999999999997E-2</v>
      </c>
      <c r="F9" s="376">
        <f>$E$9+'May - Oct Capacity MSC by Class'!G20</f>
        <v>6.7390000000000005E-2</v>
      </c>
      <c r="H9" s="377">
        <f>F9-E9</f>
        <v>3.4700000000000009E-2</v>
      </c>
      <c r="I9" s="378">
        <f>ROUND(((($A$5)*1.063)*$C$9)+((($B$5)*1.063)*$D$9),5)</f>
        <v>2.792E-2</v>
      </c>
    </row>
    <row r="10" spans="1:9" x14ac:dyDescent="0.25">
      <c r="A10" s="369"/>
      <c r="B10" s="369"/>
      <c r="C10" s="370"/>
      <c r="D10" s="379"/>
      <c r="E10" s="370"/>
      <c r="F10" s="380"/>
      <c r="H10" s="370"/>
      <c r="I10" s="381"/>
    </row>
    <row r="11" spans="1:9" x14ac:dyDescent="0.25">
      <c r="A11" s="373" t="s">
        <v>356</v>
      </c>
      <c r="B11" s="373"/>
      <c r="C11" s="374">
        <f>C9</f>
        <v>0.42819487926885397</v>
      </c>
      <c r="D11" s="374">
        <f>D9</f>
        <v>0.57180512073114587</v>
      </c>
      <c r="E11" s="375">
        <f>ROUND(((($C$5+$E$5+$F$5+$G$5)*1.063)*$C$11)+((($D$5+$E$5+$F$5+$G$5)*1.063)*$D$11),5)</f>
        <v>3.0929999999999999E-2</v>
      </c>
      <c r="F11" s="376">
        <f>$E$11+'May - Oct Capacity MSC by Class'!H20</f>
        <v>5.5300000000000002E-2</v>
      </c>
      <c r="H11" s="377">
        <f>F11-E11</f>
        <v>2.4370000000000003E-2</v>
      </c>
      <c r="I11" s="378">
        <f>ROUND(((($C$5)*1.063)*$C$11)+((($D$5)*1.063)*$D$11),5)</f>
        <v>2.615E-2</v>
      </c>
    </row>
    <row r="12" spans="1:9" x14ac:dyDescent="0.25">
      <c r="A12" s="369"/>
      <c r="B12" s="369"/>
      <c r="C12" s="370"/>
      <c r="D12" s="370"/>
      <c r="E12" s="370"/>
      <c r="F12" s="380"/>
      <c r="H12" s="370"/>
      <c r="I12" s="381"/>
    </row>
    <row r="13" spans="1:9" x14ac:dyDescent="0.25">
      <c r="A13" s="373" t="s">
        <v>357</v>
      </c>
      <c r="B13" s="373"/>
      <c r="C13" s="374">
        <f>IF(AND(MONTH($C$3)&gt;=6, MONTH($C$3)&lt;=9),'[93]2017 DATA'!$B$11,'[93]2017 DATA'!$F$11)</f>
        <v>0.49464156605313719</v>
      </c>
      <c r="D13" s="374">
        <f>IF(AND(MONTH($C$3)&gt;=6, MONTH($C$3)&lt;=9),'[93]2017 DATA'!$C$11,'[93]2017 DATA'!$G$11)</f>
        <v>0.50535843394686286</v>
      </c>
      <c r="E13" s="374">
        <f>ROUND(((($A$5+$E$5+$F$5+$G$5)*1.063)*$C$13)+((($B$5+$E$5+$F$5+$G$5)*1.063)*$D$13),4)</f>
        <v>3.3300000000000003E-2</v>
      </c>
      <c r="F13" s="376">
        <f>$E$13+'May - Oct Capacity MSC by Class'!G21</f>
        <v>5.33E-2</v>
      </c>
      <c r="H13" s="374">
        <f>F13-E13</f>
        <v>1.9999999999999997E-2</v>
      </c>
      <c r="I13" s="382">
        <f>ROUND(((($A$5)*1.063)*$C$13)+((($B$5)*1.063)*$D$13),4)</f>
        <v>2.8500000000000001E-2</v>
      </c>
    </row>
    <row r="14" spans="1:9" x14ac:dyDescent="0.25">
      <c r="A14" s="369"/>
      <c r="B14" s="369"/>
      <c r="C14" s="370"/>
      <c r="D14" s="370"/>
      <c r="E14" s="379"/>
      <c r="F14" s="380"/>
      <c r="H14" s="370"/>
      <c r="I14" s="381"/>
    </row>
    <row r="15" spans="1:9" x14ac:dyDescent="0.25">
      <c r="A15" s="373" t="s">
        <v>414</v>
      </c>
      <c r="B15" s="373"/>
      <c r="C15" s="374">
        <f>IF(AND(MONTH($C$3)&gt;=6, MONTH($C$3)&lt;=9),'[93]2017 DATA'!$B$15,'[93]2017 DATA'!$F$15)</f>
        <v>0.47862902881722114</v>
      </c>
      <c r="D15" s="374">
        <f>IF(AND(MONTH($C$3)&gt;=6, MONTH($C$3)&lt;=9),'[93]2017 DATA'!$C$15,'[93]2017 DATA'!$G$15)</f>
        <v>0.52137097118277886</v>
      </c>
      <c r="E15" s="374">
        <f>ROUND(((($A$5+$E$5+$F$5+$G$5)*1.063)*$C$15)+((($B$5+$E$5+$F$5+$G$5)*1.063)*$D$15),4)</f>
        <v>3.3099999999999997E-2</v>
      </c>
      <c r="F15" s="376">
        <f>E15</f>
        <v>3.3099999999999997E-2</v>
      </c>
      <c r="H15" s="374"/>
      <c r="I15" s="382">
        <f>ROUND(((($A$5)*1.063)*$C$15)+((($B$5)*1.063)*$D$15),4)</f>
        <v>2.8400000000000002E-2</v>
      </c>
    </row>
    <row r="17" spans="1:3" x14ac:dyDescent="0.25">
      <c r="A17" s="383" t="s">
        <v>415</v>
      </c>
      <c r="B17" s="383"/>
      <c r="C17" s="383"/>
    </row>
  </sheetData>
  <mergeCells count="1">
    <mergeCell ref="C8:D8"/>
  </mergeCells>
  <hyperlinks>
    <hyperlink ref="C8:D8" r:id="rId1" display="Source" xr:uid="{1E41190E-D5A2-4C61-938F-7D4A7D94644C}"/>
  </hyperlinks>
  <pageMargins left="0.75" right="0.75" top="1" bottom="1" header="0.5" footer="0.5"/>
  <pageSetup scale="70" orientation="portrait" r:id="rId2"/>
  <headerFooter alignWithMargins="0">
    <oddFooter>&amp;Z&amp;F</oddFooter>
  </headerFooter>
  <legacyDrawing r:id="rId3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AA8A4A-9D90-41E6-9B5F-7F2F239AFE4A}">
  <sheetPr codeName="Sheet37">
    <tabColor theme="9"/>
  </sheetPr>
  <dimension ref="A1:I17"/>
  <sheetViews>
    <sheetView zoomScale="160" zoomScaleNormal="160" zoomScaleSheetLayoutView="120" workbookViewId="0">
      <selection activeCell="G5" sqref="G5"/>
    </sheetView>
  </sheetViews>
  <sheetFormatPr defaultColWidth="9.1796875" defaultRowHeight="12.5" x14ac:dyDescent="0.25"/>
  <cols>
    <col min="1" max="1" width="10.453125" style="234" customWidth="1"/>
    <col min="2" max="2" width="10.1796875" style="234" bestFit="1" customWidth="1"/>
    <col min="3" max="3" width="11" style="234" bestFit="1" customWidth="1"/>
    <col min="4" max="4" width="10.81640625" style="234" bestFit="1" customWidth="1"/>
    <col min="5" max="5" width="11.453125" style="234" bestFit="1" customWidth="1"/>
    <col min="6" max="6" width="10.54296875" style="234" bestFit="1" customWidth="1"/>
    <col min="7" max="7" width="9.1796875" style="234"/>
    <col min="8" max="8" width="8.453125" style="234" bestFit="1" customWidth="1"/>
    <col min="9" max="9" width="24" style="234" customWidth="1"/>
    <col min="10" max="16384" width="9.1796875" style="234"/>
  </cols>
  <sheetData>
    <row r="1" spans="1:9" ht="13" x14ac:dyDescent="0.3">
      <c r="A1" s="234" t="s">
        <v>403</v>
      </c>
      <c r="I1" s="356" t="s">
        <v>554</v>
      </c>
    </row>
    <row r="2" spans="1:9" ht="13" thickBot="1" x14ac:dyDescent="0.3">
      <c r="D2" s="570" t="s">
        <v>558</v>
      </c>
    </row>
    <row r="3" spans="1:9" ht="13.5" thickBot="1" x14ac:dyDescent="0.35">
      <c r="A3" s="241" t="s">
        <v>404</v>
      </c>
      <c r="B3" s="357"/>
      <c r="C3" s="358">
        <f>'[96]NYC Forecast ENERGY 09 08 20'!$A$21</f>
        <v>44470</v>
      </c>
      <c r="D3" s="359"/>
      <c r="E3" s="241"/>
      <c r="F3" s="241"/>
    </row>
    <row r="4" spans="1:9" x14ac:dyDescent="0.25">
      <c r="A4" s="360" t="s">
        <v>405</v>
      </c>
      <c r="B4" s="361" t="s">
        <v>406</v>
      </c>
      <c r="C4" s="362" t="s">
        <v>407</v>
      </c>
      <c r="D4" s="362" t="s">
        <v>408</v>
      </c>
      <c r="E4" s="362" t="s">
        <v>409</v>
      </c>
      <c r="F4" s="362" t="s">
        <v>377</v>
      </c>
      <c r="G4" s="363" t="s">
        <v>375</v>
      </c>
    </row>
    <row r="5" spans="1:9" ht="13" thickBot="1" x14ac:dyDescent="0.3">
      <c r="A5" s="721">
        <f>ROUND(VLOOKUP($C$3,'[99]NYC Forecast ENERGY 04 06 21'!$A$8:$H$32,2,FALSE)/1000,5)</f>
        <v>2.895E-2</v>
      </c>
      <c r="B5" s="722">
        <f>ROUND(VLOOKUP($C$3,'[99]NYC Forecast ENERGY 04 06 21'!$A$8:$H$32,3,FALSE)/1000,5)</f>
        <v>2.35E-2</v>
      </c>
      <c r="C5" s="722">
        <f>ROUND(VLOOKUP($C$3,'[99]NYC Forecast ENERGY 04 06 21'!$A$8:$H$32,6,FALSE)/1000,5)</f>
        <v>2.6749999999999999E-2</v>
      </c>
      <c r="D5" s="722">
        <f>ROUND(VLOOKUP($C$3,'[99]NYC Forecast ENERGY 04 06 21'!$A$8:$H$32,7,FALSE)/1000,5)</f>
        <v>2.2249999999999999E-2</v>
      </c>
      <c r="E5" s="722">
        <f>ROUND(VLOOKUP($C$3,[98]Data!$A$61:$E$73,3,FALSE)/1000,5)</f>
        <v>2.8500000000000001E-3</v>
      </c>
      <c r="F5" s="722">
        <f>ROUND(VLOOKUP($C$3,[98]Data!$A$61:$E$73,4,FALSE)/1000,5)</f>
        <v>9.7999999999999997E-4</v>
      </c>
      <c r="G5" s="366">
        <f>ROUND(VLOOKUP($C$3,[98]Data!$A$61:$E$73,2,FALSE)/1000,5)</f>
        <v>4.8999999999999998E-4</v>
      </c>
    </row>
    <row r="7" spans="1:9" ht="13" x14ac:dyDescent="0.3">
      <c r="C7" s="367" t="s">
        <v>410</v>
      </c>
      <c r="D7" s="367" t="s">
        <v>411</v>
      </c>
      <c r="E7" s="367" t="s">
        <v>382</v>
      </c>
      <c r="F7" s="368" t="s">
        <v>383</v>
      </c>
      <c r="H7" s="367" t="s">
        <v>412</v>
      </c>
      <c r="I7" s="367" t="s">
        <v>413</v>
      </c>
    </row>
    <row r="8" spans="1:9" x14ac:dyDescent="0.25">
      <c r="A8" s="369"/>
      <c r="B8" s="369"/>
      <c r="C8" s="795" t="s">
        <v>385</v>
      </c>
      <c r="D8" s="796"/>
      <c r="E8" s="370"/>
      <c r="F8" s="371"/>
      <c r="H8" s="372"/>
      <c r="I8" s="372"/>
    </row>
    <row r="9" spans="1:9" x14ac:dyDescent="0.25">
      <c r="A9" s="373" t="s">
        <v>355</v>
      </c>
      <c r="B9" s="373"/>
      <c r="C9" s="374">
        <f>IF(AND(MONTH($C$3)&gt;=6, MONTH($C$3)&lt;=9),'[93]2017 DATA'!$B$7,'[93]2017 DATA'!$F$7)</f>
        <v>0.43091420638451883</v>
      </c>
      <c r="D9" s="374">
        <f>IF(AND(MONTH($C$3)&gt;=6, MONTH($C$3)&lt;=9),'[93]2017 DATA'!$C$7,'[93]2017 DATA'!$G$7)</f>
        <v>0.56908579361548117</v>
      </c>
      <c r="E9" s="375">
        <f>ROUND(((($A$5+$E$5+$F$5+$G$5)*1.063)*$C$9)+((($B$5+$E$5+$F$5+$G$5)*1.063)*$D$9),5)</f>
        <v>3.2070000000000001E-2</v>
      </c>
      <c r="F9" s="376">
        <f>$E$9+'May - Oct Capacity MSC by Class'!G20</f>
        <v>6.6769999999999996E-2</v>
      </c>
      <c r="H9" s="377">
        <f>F9-E9</f>
        <v>3.4699999999999995E-2</v>
      </c>
      <c r="I9" s="378">
        <f>ROUND(((($A$5)*1.063)*$C$9)+((($B$5)*1.063)*$D$9),5)</f>
        <v>2.7480000000000001E-2</v>
      </c>
    </row>
    <row r="10" spans="1:9" x14ac:dyDescent="0.25">
      <c r="A10" s="369"/>
      <c r="B10" s="369"/>
      <c r="C10" s="370"/>
      <c r="D10" s="379"/>
      <c r="E10" s="370"/>
      <c r="F10" s="380"/>
      <c r="H10" s="370"/>
      <c r="I10" s="381"/>
    </row>
    <row r="11" spans="1:9" x14ac:dyDescent="0.25">
      <c r="A11" s="373" t="s">
        <v>356</v>
      </c>
      <c r="B11" s="373"/>
      <c r="C11" s="374">
        <f>C9</f>
        <v>0.43091420638451883</v>
      </c>
      <c r="D11" s="374">
        <f>D9</f>
        <v>0.56908579361548117</v>
      </c>
      <c r="E11" s="375">
        <f>ROUND(((($C$5+$E$5+$F$5+$G$5)*1.063)*$C$11)+((($D$5+$E$5+$F$5+$G$5)*1.063)*$D$11),5)</f>
        <v>3.031E-2</v>
      </c>
      <c r="F11" s="376">
        <f>$E$11+'May - Oct Capacity MSC by Class'!H20</f>
        <v>5.4679999999999999E-2</v>
      </c>
      <c r="H11" s="377">
        <f>F11-E11</f>
        <v>2.4369999999999999E-2</v>
      </c>
      <c r="I11" s="378">
        <f>ROUND(((($C$5)*1.063)*$C$11)+((($D$5)*1.063)*$D$11),5)</f>
        <v>2.571E-2</v>
      </c>
    </row>
    <row r="12" spans="1:9" x14ac:dyDescent="0.25">
      <c r="A12" s="369"/>
      <c r="B12" s="369"/>
      <c r="C12" s="370"/>
      <c r="D12" s="370"/>
      <c r="E12" s="370"/>
      <c r="F12" s="380"/>
      <c r="H12" s="370"/>
      <c r="I12" s="381"/>
    </row>
    <row r="13" spans="1:9" x14ac:dyDescent="0.25">
      <c r="A13" s="373" t="s">
        <v>357</v>
      </c>
      <c r="B13" s="373"/>
      <c r="C13" s="374">
        <f>IF(AND(MONTH($C$3)&gt;=6, MONTH($C$3)&lt;=9),'[93]2017 DATA'!$B$11,'[93]2017 DATA'!$F$11)</f>
        <v>0.47569672724097356</v>
      </c>
      <c r="D13" s="374">
        <f>IF(AND(MONTH($C$3)&gt;=6, MONTH($C$3)&lt;=9),'[93]2017 DATA'!$C$11,'[93]2017 DATA'!$G$11)</f>
        <v>0.52430327275902633</v>
      </c>
      <c r="E13" s="374">
        <f>ROUND(((($A$5+$E$5+$F$5+$G$5)*1.063)*$C$13)+((($B$5+$E$5+$F$5+$G$5)*1.063)*$D$13),4)</f>
        <v>3.2300000000000002E-2</v>
      </c>
      <c r="F13" s="376">
        <f>$E$13+'May - Oct Capacity MSC by Class'!G21</f>
        <v>5.2299999999999999E-2</v>
      </c>
      <c r="H13" s="374">
        <f>F13-E13</f>
        <v>1.9999999999999997E-2</v>
      </c>
      <c r="I13" s="382">
        <f>ROUND(((($A$5)*1.063)*$C$13)+((($B$5)*1.063)*$D$13),4)</f>
        <v>2.7699999999999999E-2</v>
      </c>
    </row>
    <row r="14" spans="1:9" x14ac:dyDescent="0.25">
      <c r="A14" s="369"/>
      <c r="B14" s="369"/>
      <c r="C14" s="370"/>
      <c r="D14" s="370"/>
      <c r="E14" s="379"/>
      <c r="F14" s="380"/>
      <c r="H14" s="370"/>
      <c r="I14" s="381"/>
    </row>
    <row r="15" spans="1:9" x14ac:dyDescent="0.25">
      <c r="A15" s="373" t="s">
        <v>414</v>
      </c>
      <c r="B15" s="373"/>
      <c r="C15" s="374">
        <f>IF(AND(MONTH($C$3)&gt;=6, MONTH($C$3)&lt;=9),'[93]2017 DATA'!$B$15,'[93]2017 DATA'!$F$15)</f>
        <v>0.46226148114583754</v>
      </c>
      <c r="D15" s="374">
        <f>IF(AND(MONTH($C$3)&gt;=6, MONTH($C$3)&lt;=9),'[93]2017 DATA'!$C$15,'[93]2017 DATA'!$G$15)</f>
        <v>0.53773851885416268</v>
      </c>
      <c r="E15" s="374">
        <f>ROUND(((($A$5+$E$5+$F$5+$G$5)*1.063)*$C$15)+((($B$5+$E$5+$F$5+$G$5)*1.063)*$D$15),4)</f>
        <v>3.2300000000000002E-2</v>
      </c>
      <c r="F15" s="376">
        <f>E15</f>
        <v>3.2300000000000002E-2</v>
      </c>
      <c r="H15" s="374"/>
      <c r="I15" s="382">
        <f>ROUND(((($A$5)*1.063)*$C$15)+((($B$5)*1.063)*$D$15),4)</f>
        <v>2.7699999999999999E-2</v>
      </c>
    </row>
    <row r="17" spans="1:3" x14ac:dyDescent="0.25">
      <c r="A17" s="383" t="s">
        <v>415</v>
      </c>
      <c r="B17" s="383"/>
      <c r="C17" s="383"/>
    </row>
  </sheetData>
  <mergeCells count="1">
    <mergeCell ref="C8:D8"/>
  </mergeCells>
  <hyperlinks>
    <hyperlink ref="C8:D8" r:id="rId1" display="Source" xr:uid="{9EC5D136-9F4F-4549-B264-5D2461AB6145}"/>
  </hyperlinks>
  <pageMargins left="0.75" right="0.75" top="1" bottom="1" header="0.5" footer="0.5"/>
  <pageSetup scale="70" orientation="portrait" r:id="rId2"/>
  <headerFooter alignWithMargins="0">
    <oddFooter>&amp;Z&amp;F</oddFooter>
  </headerFooter>
  <legacyDrawing r:id="rId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38">
    <pageSetUpPr fitToPage="1"/>
  </sheetPr>
  <dimension ref="A1:AD194"/>
  <sheetViews>
    <sheetView zoomScaleNormal="100" workbookViewId="0">
      <selection activeCell="B8" sqref="B8"/>
    </sheetView>
  </sheetViews>
  <sheetFormatPr defaultColWidth="9.1796875" defaultRowHeight="12.5" x14ac:dyDescent="0.25"/>
  <cols>
    <col min="1" max="1" width="13" style="492" customWidth="1"/>
    <col min="2" max="2" width="10.26953125" style="521" customWidth="1"/>
    <col min="3" max="3" width="4.81640625" style="521" hidden="1" customWidth="1"/>
    <col min="4" max="4" width="6.81640625" style="521" bestFit="1" customWidth="1"/>
    <col min="5" max="5" width="11.453125" style="521" customWidth="1"/>
    <col min="6" max="6" width="11.1796875" style="521" customWidth="1"/>
    <col min="7" max="7" width="12" style="521" customWidth="1"/>
    <col min="8" max="8" width="11.1796875" style="521" customWidth="1"/>
    <col min="9" max="9" width="5.81640625" style="521" hidden="1" customWidth="1"/>
    <col min="10" max="10" width="15.453125" style="521" customWidth="1"/>
    <col min="11" max="11" width="17.1796875" style="521" hidden="1" customWidth="1"/>
    <col min="12" max="12" width="15.54296875" style="521" customWidth="1"/>
    <col min="13" max="13" width="2.54296875" style="521" customWidth="1"/>
    <col min="14" max="14" width="10.1796875" style="521" customWidth="1"/>
    <col min="15" max="15" width="6.81640625" style="521" hidden="1" customWidth="1"/>
    <col min="16" max="16" width="6.54296875" style="521" bestFit="1" customWidth="1"/>
    <col min="17" max="17" width="11.7265625" style="521" bestFit="1" customWidth="1"/>
    <col min="18" max="18" width="9.7265625" style="521" customWidth="1"/>
    <col min="19" max="19" width="5.81640625" style="521" hidden="1" customWidth="1"/>
    <col min="20" max="20" width="20.7265625" style="521" customWidth="1"/>
    <col min="21" max="21" width="4.81640625" style="521" hidden="1" customWidth="1"/>
    <col min="22" max="22" width="21.54296875" style="521" customWidth="1"/>
    <col min="23" max="23" width="2.7265625" style="521" customWidth="1"/>
    <col min="24" max="24" width="13.81640625" style="521" bestFit="1" customWidth="1"/>
    <col min="25" max="25" width="5.81640625" style="521" hidden="1" customWidth="1"/>
    <col min="26" max="26" width="11.54296875" style="521" bestFit="1" customWidth="1"/>
    <col min="27" max="27" width="4.81640625" style="521" hidden="1" customWidth="1"/>
    <col min="28" max="28" width="15" style="521" bestFit="1" customWidth="1"/>
    <col min="29" max="29" width="11.81640625" style="521" customWidth="1"/>
    <col min="30" max="30" width="9.7265625" style="492" bestFit="1" customWidth="1"/>
    <col min="31" max="16384" width="9.1796875" style="492"/>
  </cols>
  <sheetData>
    <row r="1" spans="1:30" ht="13" x14ac:dyDescent="0.3">
      <c r="A1" s="813" t="s">
        <v>497</v>
      </c>
      <c r="B1" s="813"/>
      <c r="C1" s="813"/>
      <c r="D1" s="813"/>
      <c r="E1" s="813"/>
      <c r="F1" s="813"/>
      <c r="G1" s="813"/>
      <c r="H1" s="813"/>
      <c r="I1" s="813"/>
      <c r="J1" s="813"/>
      <c r="K1" s="813"/>
      <c r="L1" s="813"/>
      <c r="M1" s="813"/>
      <c r="N1" s="813"/>
      <c r="O1" s="813"/>
      <c r="P1" s="813"/>
      <c r="Q1" s="813"/>
      <c r="R1" s="813"/>
      <c r="S1" s="813"/>
      <c r="T1" s="813"/>
      <c r="U1" s="813"/>
      <c r="V1" s="813"/>
      <c r="W1" s="813"/>
      <c r="X1" s="520"/>
      <c r="Y1" s="814"/>
      <c r="Z1" s="814"/>
      <c r="AA1" s="814"/>
      <c r="AB1" s="814"/>
    </row>
    <row r="2" spans="1:30" ht="13" x14ac:dyDescent="0.3">
      <c r="A2" s="815">
        <f>'[100]Sales Forecast'!B6</f>
        <v>43952</v>
      </c>
      <c r="B2" s="815"/>
      <c r="C2" s="815"/>
      <c r="D2" s="815"/>
      <c r="E2" s="815"/>
      <c r="F2" s="815"/>
      <c r="G2" s="815"/>
      <c r="H2" s="815"/>
      <c r="I2" s="815"/>
      <c r="J2" s="815"/>
      <c r="K2" s="815"/>
      <c r="L2" s="815"/>
      <c r="M2" s="815"/>
      <c r="N2" s="815"/>
      <c r="O2" s="815"/>
      <c r="P2" s="815"/>
      <c r="Q2" s="815"/>
      <c r="R2" s="815"/>
      <c r="S2" s="815"/>
      <c r="T2" s="815"/>
      <c r="U2" s="815"/>
      <c r="V2" s="815"/>
      <c r="Y2" s="816"/>
      <c r="Z2" s="816"/>
      <c r="AA2" s="816"/>
      <c r="AB2" s="816"/>
    </row>
    <row r="3" spans="1:30" ht="13" thickBot="1" x14ac:dyDescent="0.3">
      <c r="A3" s="493"/>
      <c r="B3" s="522"/>
      <c r="C3" s="522"/>
      <c r="D3" s="522"/>
      <c r="E3" s="522"/>
      <c r="F3" s="522"/>
      <c r="G3" s="522"/>
      <c r="H3" s="522"/>
      <c r="I3" s="522"/>
      <c r="J3" s="522"/>
      <c r="K3" s="522"/>
      <c r="L3" s="522"/>
      <c r="M3" s="522"/>
    </row>
    <row r="4" spans="1:30" ht="13.5" thickBot="1" x14ac:dyDescent="0.35">
      <c r="A4" s="493"/>
      <c r="B4" s="817" t="s">
        <v>498</v>
      </c>
      <c r="C4" s="818"/>
      <c r="D4" s="818"/>
      <c r="E4" s="818"/>
      <c r="F4" s="818"/>
      <c r="G4" s="818"/>
      <c r="H4" s="818"/>
      <c r="I4" s="818"/>
      <c r="J4" s="818"/>
      <c r="K4" s="818"/>
      <c r="L4" s="818"/>
      <c r="M4" s="522"/>
      <c r="N4" s="817" t="s">
        <v>499</v>
      </c>
      <c r="O4" s="818"/>
      <c r="P4" s="818"/>
      <c r="Q4" s="818"/>
      <c r="R4" s="818"/>
      <c r="S4" s="818"/>
      <c r="T4" s="818"/>
      <c r="U4" s="818"/>
      <c r="V4" s="818"/>
      <c r="Y4" s="819" t="s">
        <v>500</v>
      </c>
      <c r="Z4" s="820"/>
      <c r="AA4" s="820"/>
      <c r="AB4" s="820"/>
      <c r="AC4" s="523"/>
    </row>
    <row r="5" spans="1:30" x14ac:dyDescent="0.25">
      <c r="A5" s="493"/>
      <c r="B5" s="821" t="s">
        <v>501</v>
      </c>
      <c r="C5" s="821"/>
      <c r="D5" s="524" t="s">
        <v>284</v>
      </c>
      <c r="E5" s="524" t="s">
        <v>162</v>
      </c>
      <c r="F5" s="524" t="s">
        <v>162</v>
      </c>
      <c r="G5" s="524" t="s">
        <v>283</v>
      </c>
      <c r="H5" s="524" t="s">
        <v>283</v>
      </c>
      <c r="I5" s="821" t="s">
        <v>502</v>
      </c>
      <c r="J5" s="821"/>
      <c r="K5" s="821"/>
      <c r="L5" s="525" t="s">
        <v>503</v>
      </c>
      <c r="M5" s="522"/>
      <c r="N5" s="821" t="s">
        <v>501</v>
      </c>
      <c r="O5" s="821"/>
      <c r="P5" s="524" t="str">
        <f>D5</f>
        <v>Capacity</v>
      </c>
      <c r="Q5" s="524" t="s">
        <v>260</v>
      </c>
      <c r="R5" s="524" t="s">
        <v>260</v>
      </c>
      <c r="S5" s="821" t="s">
        <v>504</v>
      </c>
      <c r="T5" s="821"/>
      <c r="U5" s="821"/>
      <c r="V5" s="525" t="s">
        <v>505</v>
      </c>
      <c r="Y5" s="822" t="s">
        <v>506</v>
      </c>
      <c r="Z5" s="822"/>
      <c r="AA5" s="822"/>
      <c r="AB5" s="525" t="s">
        <v>507</v>
      </c>
      <c r="AC5" s="526"/>
    </row>
    <row r="6" spans="1:30" x14ac:dyDescent="0.25">
      <c r="A6" s="493" t="s">
        <v>508</v>
      </c>
      <c r="B6" s="527" t="s">
        <v>368</v>
      </c>
      <c r="C6" s="527" t="s">
        <v>366</v>
      </c>
      <c r="D6" s="527" t="s">
        <v>366</v>
      </c>
      <c r="E6" s="527" t="s">
        <v>509</v>
      </c>
      <c r="F6" s="527" t="s">
        <v>135</v>
      </c>
      <c r="G6" s="527" t="s">
        <v>509</v>
      </c>
      <c r="H6" s="527" t="s">
        <v>135</v>
      </c>
      <c r="I6" s="527" t="s">
        <v>510</v>
      </c>
      <c r="J6" s="527" t="s">
        <v>284</v>
      </c>
      <c r="K6" s="527" t="s">
        <v>162</v>
      </c>
      <c r="L6" s="527" t="s">
        <v>162</v>
      </c>
      <c r="M6" s="528"/>
      <c r="N6" s="527" t="s">
        <v>368</v>
      </c>
      <c r="O6" s="527" t="s">
        <v>366</v>
      </c>
      <c r="P6" s="527" t="s">
        <v>366</v>
      </c>
      <c r="Q6" s="527" t="s">
        <v>509</v>
      </c>
      <c r="R6" s="527" t="s">
        <v>135</v>
      </c>
      <c r="S6" s="527" t="s">
        <v>510</v>
      </c>
      <c r="T6" s="527" t="str">
        <f>J6</f>
        <v>Capacity</v>
      </c>
      <c r="U6" s="527" t="s">
        <v>162</v>
      </c>
      <c r="V6" s="527" t="s">
        <v>162</v>
      </c>
      <c r="X6" s="527" t="s">
        <v>508</v>
      </c>
      <c r="Y6" s="527" t="s">
        <v>510</v>
      </c>
      <c r="Z6" s="527" t="str">
        <f>T6</f>
        <v>Capacity</v>
      </c>
      <c r="AA6" s="527" t="s">
        <v>162</v>
      </c>
      <c r="AB6" s="527" t="s">
        <v>162</v>
      </c>
      <c r="AC6" s="527"/>
    </row>
    <row r="7" spans="1:30" x14ac:dyDescent="0.25">
      <c r="A7" s="493"/>
      <c r="B7" s="522"/>
      <c r="C7" s="522"/>
      <c r="D7" s="522"/>
      <c r="E7" s="522"/>
      <c r="F7" s="522"/>
      <c r="G7" s="522"/>
      <c r="H7" s="522"/>
      <c r="I7" s="522"/>
      <c r="J7" s="522"/>
      <c r="K7" s="522"/>
      <c r="L7" s="522"/>
      <c r="M7" s="522"/>
      <c r="N7" s="522"/>
      <c r="O7" s="522"/>
      <c r="P7" s="522"/>
      <c r="Q7" s="522"/>
      <c r="R7" s="522"/>
      <c r="S7" s="522"/>
      <c r="T7" s="522"/>
      <c r="U7" s="522"/>
      <c r="V7" s="522"/>
    </row>
    <row r="8" spans="1:30" x14ac:dyDescent="0.25">
      <c r="A8" s="500">
        <v>1</v>
      </c>
      <c r="B8" s="529">
        <f>'Forecast MAC Total'!$R$18</f>
        <v>1.0120000000000001E-2</v>
      </c>
      <c r="C8" s="522" t="e">
        <f>#REF!</f>
        <v>#REF!</v>
      </c>
      <c r="D8" s="522">
        <f>+'May - Oct Capacity MSC by Class'!G20</f>
        <v>3.4700000000000002E-2</v>
      </c>
      <c r="E8" s="530">
        <f>+'Adj Sales Forecast'!B10</f>
        <v>849821544</v>
      </c>
      <c r="F8" s="522">
        <v>0</v>
      </c>
      <c r="G8" s="476">
        <f>ROUND(E8*0.88,0)</f>
        <v>747842959</v>
      </c>
      <c r="H8" s="476">
        <f>ROUND(F8*0.88,0)</f>
        <v>0</v>
      </c>
      <c r="I8" s="416" t="e">
        <f>ROUND(C8*G8,0)</f>
        <v>#REF!</v>
      </c>
      <c r="J8" s="416">
        <f>ROUND(D8*G8,0)</f>
        <v>25950151</v>
      </c>
      <c r="K8" s="416" t="e">
        <f>I8+J8</f>
        <v>#REF!</v>
      </c>
      <c r="L8" s="416">
        <f t="shared" ref="L8:L19" si="0">ROUND(B8*G8,0)</f>
        <v>7568171</v>
      </c>
      <c r="M8" s="522"/>
      <c r="N8" s="529">
        <f>$B$8</f>
        <v>1.0120000000000001E-2</v>
      </c>
      <c r="O8" s="522" t="e">
        <f>#REF!</f>
        <v>#REF!</v>
      </c>
      <c r="P8" s="522">
        <f>+'May - Oct Capacity MSC by Class'!H20</f>
        <v>2.4369999999999999E-2</v>
      </c>
      <c r="Q8" s="530">
        <f>E8-G8</f>
        <v>101978585</v>
      </c>
      <c r="R8" s="530">
        <f>F8-H8</f>
        <v>0</v>
      </c>
      <c r="S8" s="416" t="e">
        <f>ROUND(O8*Q8,0)</f>
        <v>#REF!</v>
      </c>
      <c r="T8" s="416">
        <f>ROUND(P8*Q8,0)</f>
        <v>2485218</v>
      </c>
      <c r="U8" s="416" t="e">
        <f>S8+T8</f>
        <v>#REF!</v>
      </c>
      <c r="V8" s="416">
        <f t="shared" ref="V8:V19" si="1">ROUND(N8*Q8,0)</f>
        <v>1032023</v>
      </c>
      <c r="X8" s="531">
        <v>1</v>
      </c>
      <c r="Y8" s="532" t="e">
        <f t="shared" ref="Y8:Z19" si="2">I8+S8</f>
        <v>#REF!</v>
      </c>
      <c r="Z8" s="532">
        <f t="shared" si="2"/>
        <v>28435369</v>
      </c>
      <c r="AA8" s="532" t="e">
        <f>Y8+Z8</f>
        <v>#REF!</v>
      </c>
      <c r="AB8" s="532">
        <f t="shared" ref="AB8:AB19" si="3">L8+V8</f>
        <v>8600194</v>
      </c>
      <c r="AC8" s="532"/>
    </row>
    <row r="9" spans="1:30" x14ac:dyDescent="0.25">
      <c r="A9" s="500" t="s">
        <v>511</v>
      </c>
      <c r="B9" s="529">
        <f>$B$8</f>
        <v>1.0120000000000001E-2</v>
      </c>
      <c r="C9" s="522" t="e">
        <f>#REF!</f>
        <v>#REF!</v>
      </c>
      <c r="D9" s="522">
        <f>+'May - Oct Capacity MSC by Class'!G40</f>
        <v>7.7899999999999997E-2</v>
      </c>
      <c r="E9" s="530">
        <f>+'Adj Sales Forecast'!B37</f>
        <v>1675901</v>
      </c>
      <c r="F9" s="522">
        <v>0</v>
      </c>
      <c r="G9" s="476">
        <f t="shared" ref="G9:H19" si="4">ROUND(E9*0.88,0)</f>
        <v>1474793</v>
      </c>
      <c r="H9" s="476">
        <f t="shared" si="4"/>
        <v>0</v>
      </c>
      <c r="I9" s="416" t="e">
        <f t="shared" ref="I9:I19" si="5">ROUND(C9*G9,0)</f>
        <v>#REF!</v>
      </c>
      <c r="J9" s="416">
        <f t="shared" ref="J9:J19" si="6">ROUND(D9*G9,0)</f>
        <v>114886</v>
      </c>
      <c r="K9" s="416" t="e">
        <f t="shared" ref="K9:K19" si="7">I9+J9</f>
        <v>#REF!</v>
      </c>
      <c r="L9" s="416">
        <f t="shared" si="0"/>
        <v>14925</v>
      </c>
      <c r="M9" s="522"/>
      <c r="N9" s="529">
        <f t="shared" ref="N9:N19" si="8">$B$8</f>
        <v>1.0120000000000001E-2</v>
      </c>
      <c r="O9" s="522" t="e">
        <f>#REF!</f>
        <v>#REF!</v>
      </c>
      <c r="P9" s="522">
        <f>+'May - Oct Capacity MSC by Class'!H40</f>
        <v>5.4699999999999999E-2</v>
      </c>
      <c r="Q9" s="530">
        <f t="shared" ref="Q9:R19" si="9">E9-G9</f>
        <v>201108</v>
      </c>
      <c r="R9" s="530">
        <f t="shared" si="9"/>
        <v>0</v>
      </c>
      <c r="S9" s="416" t="e">
        <f t="shared" ref="S9:S19" si="10">ROUND(O9*Q9,0)</f>
        <v>#REF!</v>
      </c>
      <c r="T9" s="416">
        <f t="shared" ref="T9:T19" si="11">ROUND(P9*Q9,0)</f>
        <v>11001</v>
      </c>
      <c r="U9" s="416" t="e">
        <f t="shared" ref="U9:U19" si="12">S9+T9</f>
        <v>#REF!</v>
      </c>
      <c r="V9" s="416">
        <f t="shared" si="1"/>
        <v>2035</v>
      </c>
      <c r="X9" s="531" t="s">
        <v>511</v>
      </c>
      <c r="Y9" s="532" t="e">
        <f t="shared" si="2"/>
        <v>#REF!</v>
      </c>
      <c r="Z9" s="532">
        <f t="shared" si="2"/>
        <v>125887</v>
      </c>
      <c r="AA9" s="532" t="e">
        <f t="shared" ref="AA9:AA44" si="13">Y9+Z9</f>
        <v>#REF!</v>
      </c>
      <c r="AB9" s="532">
        <f t="shared" si="3"/>
        <v>16960</v>
      </c>
      <c r="AC9" s="532"/>
      <c r="AD9" s="503"/>
    </row>
    <row r="10" spans="1:30" x14ac:dyDescent="0.25">
      <c r="A10" s="500" t="s">
        <v>512</v>
      </c>
      <c r="B10" s="529">
        <f t="shared" ref="B10:B42" si="14">$B$8</f>
        <v>1.0120000000000001E-2</v>
      </c>
      <c r="C10" s="533" t="e">
        <f>#REF!</f>
        <v>#REF!</v>
      </c>
      <c r="D10" s="522">
        <v>0</v>
      </c>
      <c r="E10" s="530">
        <f>+'Adj Sales Forecast'!B38</f>
        <v>2573773</v>
      </c>
      <c r="F10" s="522">
        <v>0</v>
      </c>
      <c r="G10" s="476">
        <f t="shared" si="4"/>
        <v>2264920</v>
      </c>
      <c r="H10" s="476">
        <f t="shared" si="4"/>
        <v>0</v>
      </c>
      <c r="I10" s="416" t="e">
        <f t="shared" si="5"/>
        <v>#REF!</v>
      </c>
      <c r="J10" s="416">
        <f t="shared" si="6"/>
        <v>0</v>
      </c>
      <c r="K10" s="416" t="e">
        <f t="shared" si="7"/>
        <v>#REF!</v>
      </c>
      <c r="L10" s="416">
        <f t="shared" si="0"/>
        <v>22921</v>
      </c>
      <c r="M10" s="522"/>
      <c r="N10" s="529">
        <f t="shared" si="8"/>
        <v>1.0120000000000001E-2</v>
      </c>
      <c r="O10" s="533" t="e">
        <f>#REF!</f>
        <v>#REF!</v>
      </c>
      <c r="P10" s="522">
        <v>0</v>
      </c>
      <c r="Q10" s="530">
        <f t="shared" si="9"/>
        <v>308853</v>
      </c>
      <c r="R10" s="530">
        <f t="shared" si="9"/>
        <v>0</v>
      </c>
      <c r="S10" s="416" t="e">
        <f t="shared" si="10"/>
        <v>#REF!</v>
      </c>
      <c r="T10" s="416">
        <f t="shared" si="11"/>
        <v>0</v>
      </c>
      <c r="U10" s="416" t="e">
        <f t="shared" si="12"/>
        <v>#REF!</v>
      </c>
      <c r="V10" s="416">
        <f t="shared" si="1"/>
        <v>3126</v>
      </c>
      <c r="X10" s="531" t="s">
        <v>512</v>
      </c>
      <c r="Y10" s="532" t="e">
        <f t="shared" si="2"/>
        <v>#REF!</v>
      </c>
      <c r="Z10" s="532">
        <f t="shared" si="2"/>
        <v>0</v>
      </c>
      <c r="AA10" s="532" t="e">
        <f t="shared" si="13"/>
        <v>#REF!</v>
      </c>
      <c r="AB10" s="532">
        <f t="shared" si="3"/>
        <v>26047</v>
      </c>
      <c r="AC10" s="532"/>
    </row>
    <row r="11" spans="1:30" x14ac:dyDescent="0.25">
      <c r="A11" s="500">
        <v>2</v>
      </c>
      <c r="B11" s="529">
        <f t="shared" si="14"/>
        <v>1.0120000000000001E-2</v>
      </c>
      <c r="C11" s="533" t="e">
        <f>#REF!</f>
        <v>#REF!</v>
      </c>
      <c r="D11" s="522">
        <f>+'May - Oct Capacity MSC by Class'!G21</f>
        <v>0.02</v>
      </c>
      <c r="E11" s="530">
        <f>+'Adj Sales Forecast'!B15</f>
        <v>167820928</v>
      </c>
      <c r="F11" s="522">
        <v>0</v>
      </c>
      <c r="G11" s="476">
        <f t="shared" si="4"/>
        <v>147682417</v>
      </c>
      <c r="H11" s="476">
        <f t="shared" si="4"/>
        <v>0</v>
      </c>
      <c r="I11" s="416" t="e">
        <f t="shared" si="5"/>
        <v>#REF!</v>
      </c>
      <c r="J11" s="416">
        <f t="shared" si="6"/>
        <v>2953648</v>
      </c>
      <c r="K11" s="416" t="e">
        <f t="shared" si="7"/>
        <v>#REF!</v>
      </c>
      <c r="L11" s="416">
        <f t="shared" si="0"/>
        <v>1494546</v>
      </c>
      <c r="M11" s="522"/>
      <c r="N11" s="529">
        <f t="shared" si="8"/>
        <v>1.0120000000000001E-2</v>
      </c>
      <c r="O11" s="533" t="e">
        <f>#REF!</f>
        <v>#REF!</v>
      </c>
      <c r="P11" s="522">
        <f>+'May - Oct Capacity MSC by Class'!H21</f>
        <v>1.8599999999999998E-2</v>
      </c>
      <c r="Q11" s="530">
        <f t="shared" si="9"/>
        <v>20138511</v>
      </c>
      <c r="R11" s="530">
        <f t="shared" si="9"/>
        <v>0</v>
      </c>
      <c r="S11" s="416" t="e">
        <f t="shared" si="10"/>
        <v>#REF!</v>
      </c>
      <c r="T11" s="416">
        <f t="shared" si="11"/>
        <v>374576</v>
      </c>
      <c r="U11" s="416" t="e">
        <f t="shared" si="12"/>
        <v>#REF!</v>
      </c>
      <c r="V11" s="416">
        <f t="shared" si="1"/>
        <v>203802</v>
      </c>
      <c r="X11" s="531">
        <v>2</v>
      </c>
      <c r="Y11" s="532" t="e">
        <f t="shared" si="2"/>
        <v>#REF!</v>
      </c>
      <c r="Z11" s="532">
        <f t="shared" si="2"/>
        <v>3328224</v>
      </c>
      <c r="AA11" s="532" t="e">
        <f t="shared" si="13"/>
        <v>#REF!</v>
      </c>
      <c r="AB11" s="532">
        <f t="shared" si="3"/>
        <v>1698348</v>
      </c>
      <c r="AC11" s="532"/>
    </row>
    <row r="12" spans="1:30" x14ac:dyDescent="0.25">
      <c r="A12" s="500" t="s">
        <v>513</v>
      </c>
      <c r="B12" s="529">
        <f t="shared" si="14"/>
        <v>1.0120000000000001E-2</v>
      </c>
      <c r="C12" s="522" t="e">
        <f>#REF!</f>
        <v>#REF!</v>
      </c>
      <c r="D12" s="522">
        <f>+'May - Oct Capacity MSC by Class'!G43</f>
        <v>4.1200000000000001E-2</v>
      </c>
      <c r="E12" s="530">
        <f>+'Adj Sales Forecast'!B40</f>
        <v>3519659</v>
      </c>
      <c r="F12" s="522">
        <v>0</v>
      </c>
      <c r="G12" s="476">
        <f t="shared" si="4"/>
        <v>3097300</v>
      </c>
      <c r="H12" s="476">
        <f t="shared" si="4"/>
        <v>0</v>
      </c>
      <c r="I12" s="416" t="e">
        <f t="shared" si="5"/>
        <v>#REF!</v>
      </c>
      <c r="J12" s="416">
        <f t="shared" si="6"/>
        <v>127609</v>
      </c>
      <c r="K12" s="416" t="e">
        <f t="shared" si="7"/>
        <v>#REF!</v>
      </c>
      <c r="L12" s="416">
        <f t="shared" si="0"/>
        <v>31345</v>
      </c>
      <c r="M12" s="522"/>
      <c r="N12" s="529">
        <f t="shared" si="8"/>
        <v>1.0120000000000001E-2</v>
      </c>
      <c r="O12" s="522" t="e">
        <f>#REF!</f>
        <v>#REF!</v>
      </c>
      <c r="P12" s="522">
        <f>+'May - Oct Capacity MSC by Class'!H43</f>
        <v>3.8199999999999998E-2</v>
      </c>
      <c r="Q12" s="530">
        <f t="shared" si="9"/>
        <v>422359</v>
      </c>
      <c r="R12" s="530">
        <f t="shared" si="9"/>
        <v>0</v>
      </c>
      <c r="S12" s="416" t="e">
        <f t="shared" si="10"/>
        <v>#REF!</v>
      </c>
      <c r="T12" s="416">
        <f t="shared" si="11"/>
        <v>16134</v>
      </c>
      <c r="U12" s="416" t="e">
        <f t="shared" si="12"/>
        <v>#REF!</v>
      </c>
      <c r="V12" s="416">
        <f t="shared" si="1"/>
        <v>4274</v>
      </c>
      <c r="X12" s="531" t="s">
        <v>513</v>
      </c>
      <c r="Y12" s="532" t="e">
        <f t="shared" si="2"/>
        <v>#REF!</v>
      </c>
      <c r="Z12" s="532">
        <f t="shared" si="2"/>
        <v>143743</v>
      </c>
      <c r="AA12" s="532" t="e">
        <f t="shared" si="13"/>
        <v>#REF!</v>
      </c>
      <c r="AB12" s="532">
        <f t="shared" si="3"/>
        <v>35619</v>
      </c>
      <c r="AC12" s="532"/>
    </row>
    <row r="13" spans="1:30" x14ac:dyDescent="0.25">
      <c r="A13" s="500" t="s">
        <v>514</v>
      </c>
      <c r="B13" s="529">
        <f t="shared" si="14"/>
        <v>1.0120000000000001E-2</v>
      </c>
      <c r="C13" s="533" t="e">
        <f>#REF!</f>
        <v>#REF!</v>
      </c>
      <c r="D13" s="522">
        <v>0</v>
      </c>
      <c r="E13" s="530">
        <f>+'Adj Sales Forecast'!B41</f>
        <v>4659413</v>
      </c>
      <c r="F13" s="522">
        <v>0</v>
      </c>
      <c r="G13" s="476">
        <f t="shared" si="4"/>
        <v>4100283</v>
      </c>
      <c r="H13" s="476">
        <f t="shared" si="4"/>
        <v>0</v>
      </c>
      <c r="I13" s="416" t="e">
        <f t="shared" si="5"/>
        <v>#REF!</v>
      </c>
      <c r="J13" s="416">
        <f t="shared" si="6"/>
        <v>0</v>
      </c>
      <c r="K13" s="416" t="e">
        <f t="shared" si="7"/>
        <v>#REF!</v>
      </c>
      <c r="L13" s="416">
        <f t="shared" si="0"/>
        <v>41495</v>
      </c>
      <c r="M13" s="522"/>
      <c r="N13" s="529">
        <f t="shared" si="8"/>
        <v>1.0120000000000001E-2</v>
      </c>
      <c r="O13" s="533" t="e">
        <f>#REF!</f>
        <v>#REF!</v>
      </c>
      <c r="P13" s="522">
        <v>0</v>
      </c>
      <c r="Q13" s="530">
        <f t="shared" si="9"/>
        <v>559130</v>
      </c>
      <c r="R13" s="530">
        <f t="shared" si="9"/>
        <v>0</v>
      </c>
      <c r="S13" s="416" t="e">
        <f t="shared" si="10"/>
        <v>#REF!</v>
      </c>
      <c r="T13" s="416">
        <f t="shared" si="11"/>
        <v>0</v>
      </c>
      <c r="U13" s="416" t="e">
        <f t="shared" si="12"/>
        <v>#REF!</v>
      </c>
      <c r="V13" s="416">
        <f t="shared" si="1"/>
        <v>5658</v>
      </c>
      <c r="X13" s="531" t="s">
        <v>514</v>
      </c>
      <c r="Y13" s="532" t="e">
        <f t="shared" si="2"/>
        <v>#REF!</v>
      </c>
      <c r="Z13" s="532">
        <f t="shared" si="2"/>
        <v>0</v>
      </c>
      <c r="AA13" s="532" t="e">
        <f t="shared" si="13"/>
        <v>#REF!</v>
      </c>
      <c r="AB13" s="532">
        <f t="shared" si="3"/>
        <v>47153</v>
      </c>
      <c r="AC13" s="532"/>
    </row>
    <row r="14" spans="1:30" x14ac:dyDescent="0.25">
      <c r="A14" s="500">
        <v>6</v>
      </c>
      <c r="B14" s="529">
        <f t="shared" si="14"/>
        <v>1.0120000000000001E-2</v>
      </c>
      <c r="C14" s="522" t="e">
        <f>#REF!</f>
        <v>#REF!</v>
      </c>
      <c r="D14" s="522">
        <f>+'May - Oct Capacity MSC by Class'!G25</f>
        <v>4.0000000000000002E-4</v>
      </c>
      <c r="E14" s="530">
        <f>+'Adj Sales Forecast'!B18</f>
        <v>546947</v>
      </c>
      <c r="F14" s="522">
        <v>0</v>
      </c>
      <c r="G14" s="476">
        <f t="shared" si="4"/>
        <v>481313</v>
      </c>
      <c r="H14" s="476">
        <f t="shared" si="4"/>
        <v>0</v>
      </c>
      <c r="I14" s="416" t="e">
        <f t="shared" si="5"/>
        <v>#REF!</v>
      </c>
      <c r="J14" s="416">
        <f t="shared" si="6"/>
        <v>193</v>
      </c>
      <c r="K14" s="416" t="e">
        <f t="shared" si="7"/>
        <v>#REF!</v>
      </c>
      <c r="L14" s="416">
        <f t="shared" si="0"/>
        <v>4871</v>
      </c>
      <c r="M14" s="522"/>
      <c r="N14" s="529">
        <f t="shared" si="8"/>
        <v>1.0120000000000001E-2</v>
      </c>
      <c r="O14" s="522" t="e">
        <f>#REF!</f>
        <v>#REF!</v>
      </c>
      <c r="P14" s="522">
        <f>+'May - Oct Capacity MSC by Class'!H25</f>
        <v>4.0000000000000002E-4</v>
      </c>
      <c r="Q14" s="530">
        <f t="shared" si="9"/>
        <v>65634</v>
      </c>
      <c r="R14" s="530">
        <f t="shared" si="9"/>
        <v>0</v>
      </c>
      <c r="S14" s="416" t="e">
        <f t="shared" si="10"/>
        <v>#REF!</v>
      </c>
      <c r="T14" s="416">
        <f t="shared" si="11"/>
        <v>26</v>
      </c>
      <c r="U14" s="416" t="e">
        <f t="shared" si="12"/>
        <v>#REF!</v>
      </c>
      <c r="V14" s="416">
        <f t="shared" si="1"/>
        <v>664</v>
      </c>
      <c r="X14" s="531">
        <v>6</v>
      </c>
      <c r="Y14" s="532" t="e">
        <f t="shared" si="2"/>
        <v>#REF!</v>
      </c>
      <c r="Z14" s="532">
        <f t="shared" si="2"/>
        <v>219</v>
      </c>
      <c r="AA14" s="532" t="e">
        <f t="shared" si="13"/>
        <v>#REF!</v>
      </c>
      <c r="AB14" s="532">
        <f t="shared" si="3"/>
        <v>5535</v>
      </c>
      <c r="AC14" s="532"/>
    </row>
    <row r="15" spans="1:30" hidden="1" x14ac:dyDescent="0.25">
      <c r="A15" s="500">
        <v>7</v>
      </c>
      <c r="B15" s="529">
        <f t="shared" si="14"/>
        <v>1.0120000000000001E-2</v>
      </c>
      <c r="C15" s="522" t="e">
        <f>#REF!</f>
        <v>#REF!</v>
      </c>
      <c r="D15" s="522"/>
      <c r="E15" s="530"/>
      <c r="F15" s="522"/>
      <c r="G15" s="476"/>
      <c r="H15" s="476"/>
      <c r="I15" s="416"/>
      <c r="J15" s="416"/>
      <c r="K15" s="416"/>
      <c r="L15" s="416"/>
      <c r="M15" s="522"/>
      <c r="N15" s="529">
        <f t="shared" si="8"/>
        <v>1.0120000000000001E-2</v>
      </c>
      <c r="O15" s="522" t="e">
        <f>#REF!</f>
        <v>#REF!</v>
      </c>
      <c r="P15" s="522"/>
      <c r="Q15" s="530"/>
      <c r="R15" s="530"/>
      <c r="S15" s="416"/>
      <c r="T15" s="416"/>
      <c r="U15" s="416"/>
      <c r="V15" s="416"/>
      <c r="X15" s="531"/>
      <c r="Y15" s="532"/>
      <c r="Z15" s="532"/>
      <c r="AA15" s="532"/>
      <c r="AB15" s="532"/>
      <c r="AC15" s="532"/>
    </row>
    <row r="16" spans="1:30" hidden="1" x14ac:dyDescent="0.25">
      <c r="A16" s="500" t="s">
        <v>515</v>
      </c>
      <c r="B16" s="529">
        <f t="shared" si="14"/>
        <v>1.0120000000000001E-2</v>
      </c>
      <c r="C16" s="522" t="e">
        <f>#REF!</f>
        <v>#REF!</v>
      </c>
      <c r="D16" s="522"/>
      <c r="E16" s="530"/>
      <c r="F16" s="522"/>
      <c r="G16" s="476"/>
      <c r="H16" s="476"/>
      <c r="I16" s="416"/>
      <c r="J16" s="416"/>
      <c r="K16" s="416"/>
      <c r="L16" s="416"/>
      <c r="M16" s="522"/>
      <c r="N16" s="529">
        <f t="shared" si="8"/>
        <v>1.0120000000000001E-2</v>
      </c>
      <c r="O16" s="522" t="e">
        <f>#REF!</f>
        <v>#REF!</v>
      </c>
      <c r="P16" s="522"/>
      <c r="Q16" s="530"/>
      <c r="R16" s="530"/>
      <c r="S16" s="416"/>
      <c r="T16" s="416"/>
      <c r="U16" s="416"/>
      <c r="V16" s="416"/>
      <c r="X16" s="531"/>
      <c r="Y16" s="532"/>
      <c r="Z16" s="532"/>
      <c r="AA16" s="532"/>
      <c r="AB16" s="532"/>
      <c r="AC16" s="532"/>
    </row>
    <row r="17" spans="1:29" hidden="1" x14ac:dyDescent="0.25">
      <c r="A17" s="500" t="s">
        <v>516</v>
      </c>
      <c r="B17" s="529">
        <f t="shared" si="14"/>
        <v>1.0120000000000001E-2</v>
      </c>
      <c r="C17" s="533" t="e">
        <f>#REF!</f>
        <v>#REF!</v>
      </c>
      <c r="D17" s="522"/>
      <c r="E17" s="530"/>
      <c r="F17" s="522"/>
      <c r="G17" s="476"/>
      <c r="H17" s="476"/>
      <c r="I17" s="416"/>
      <c r="J17" s="416"/>
      <c r="K17" s="416"/>
      <c r="L17" s="416"/>
      <c r="M17" s="522"/>
      <c r="N17" s="529">
        <f t="shared" si="8"/>
        <v>1.0120000000000001E-2</v>
      </c>
      <c r="O17" s="533" t="e">
        <f>#REF!</f>
        <v>#REF!</v>
      </c>
      <c r="P17" s="522"/>
      <c r="Q17" s="530"/>
      <c r="R17" s="530"/>
      <c r="S17" s="416"/>
      <c r="T17" s="416"/>
      <c r="U17" s="416"/>
      <c r="V17" s="416"/>
      <c r="X17" s="531"/>
      <c r="Y17" s="532"/>
      <c r="Z17" s="532"/>
      <c r="AA17" s="532"/>
      <c r="AB17" s="532"/>
      <c r="AC17" s="532"/>
    </row>
    <row r="18" spans="1:29" x14ac:dyDescent="0.25">
      <c r="A18" s="500" t="s">
        <v>56</v>
      </c>
      <c r="B18" s="529">
        <f t="shared" si="14"/>
        <v>1.0120000000000001E-2</v>
      </c>
      <c r="C18" s="522" t="e">
        <f>#REF!</f>
        <v>#REF!</v>
      </c>
      <c r="D18" s="522">
        <f>+'May - Oct Capacity MSC by Class'!G30</f>
        <v>0</v>
      </c>
      <c r="E18" s="530">
        <f>+'Adj Sales Forecast'!B26</f>
        <v>0</v>
      </c>
      <c r="F18" s="522">
        <v>0</v>
      </c>
      <c r="G18" s="476">
        <f t="shared" si="4"/>
        <v>0</v>
      </c>
      <c r="H18" s="476">
        <f t="shared" si="4"/>
        <v>0</v>
      </c>
      <c r="I18" s="416" t="e">
        <f t="shared" si="5"/>
        <v>#REF!</v>
      </c>
      <c r="J18" s="416">
        <f t="shared" si="6"/>
        <v>0</v>
      </c>
      <c r="K18" s="416" t="e">
        <f t="shared" si="7"/>
        <v>#REF!</v>
      </c>
      <c r="L18" s="416">
        <f t="shared" si="0"/>
        <v>0</v>
      </c>
      <c r="M18" s="522"/>
      <c r="N18" s="529">
        <f t="shared" si="8"/>
        <v>1.0120000000000001E-2</v>
      </c>
      <c r="O18" s="522" t="e">
        <f>#REF!</f>
        <v>#REF!</v>
      </c>
      <c r="P18" s="522">
        <f>+'May - Oct Capacity MSC by Class'!H30</f>
        <v>0</v>
      </c>
      <c r="Q18" s="530">
        <f t="shared" si="9"/>
        <v>0</v>
      </c>
      <c r="R18" s="530">
        <f t="shared" si="9"/>
        <v>0</v>
      </c>
      <c r="S18" s="416" t="e">
        <f t="shared" si="10"/>
        <v>#REF!</v>
      </c>
      <c r="T18" s="416">
        <f t="shared" si="11"/>
        <v>0</v>
      </c>
      <c r="U18" s="416" t="e">
        <f t="shared" si="12"/>
        <v>#REF!</v>
      </c>
      <c r="V18" s="416">
        <f t="shared" si="1"/>
        <v>0</v>
      </c>
      <c r="X18" s="531" t="s">
        <v>56</v>
      </c>
      <c r="Y18" s="532" t="e">
        <f t="shared" si="2"/>
        <v>#REF!</v>
      </c>
      <c r="Z18" s="532">
        <f t="shared" si="2"/>
        <v>0</v>
      </c>
      <c r="AA18" s="532" t="e">
        <f t="shared" si="13"/>
        <v>#REF!</v>
      </c>
      <c r="AB18" s="532">
        <f t="shared" si="3"/>
        <v>0</v>
      </c>
      <c r="AC18" s="532"/>
    </row>
    <row r="19" spans="1:29" x14ac:dyDescent="0.25">
      <c r="A19" s="500" t="s">
        <v>517</v>
      </c>
      <c r="B19" s="529">
        <f t="shared" si="14"/>
        <v>1.0120000000000001E-2</v>
      </c>
      <c r="C19" s="522" t="e">
        <f>#REF!</f>
        <v>#REF!</v>
      </c>
      <c r="D19" s="522">
        <f>+'May - Oct Capacity MSC by Class'!G32</f>
        <v>1.7100000000000001E-2</v>
      </c>
      <c r="E19" s="530">
        <f>+'Adj Sales Forecast'!B31</f>
        <v>58568</v>
      </c>
      <c r="F19" s="522">
        <v>0</v>
      </c>
      <c r="G19" s="476">
        <f t="shared" si="4"/>
        <v>51540</v>
      </c>
      <c r="H19" s="476">
        <f t="shared" si="4"/>
        <v>0</v>
      </c>
      <c r="I19" s="416" t="e">
        <f t="shared" si="5"/>
        <v>#REF!</v>
      </c>
      <c r="J19" s="416">
        <f t="shared" si="6"/>
        <v>881</v>
      </c>
      <c r="K19" s="416" t="e">
        <f t="shared" si="7"/>
        <v>#REF!</v>
      </c>
      <c r="L19" s="416">
        <f t="shared" si="0"/>
        <v>522</v>
      </c>
      <c r="M19" s="522"/>
      <c r="N19" s="529">
        <f t="shared" si="8"/>
        <v>1.0120000000000001E-2</v>
      </c>
      <c r="O19" s="522" t="e">
        <f>#REF!</f>
        <v>#REF!</v>
      </c>
      <c r="P19" s="522">
        <f>+'May - Oct Capacity MSC by Class'!H32</f>
        <v>1.5900000000000001E-2</v>
      </c>
      <c r="Q19" s="530">
        <f t="shared" si="9"/>
        <v>7028</v>
      </c>
      <c r="R19" s="530">
        <f t="shared" si="9"/>
        <v>0</v>
      </c>
      <c r="S19" s="416" t="e">
        <f t="shared" si="10"/>
        <v>#REF!</v>
      </c>
      <c r="T19" s="416">
        <f t="shared" si="11"/>
        <v>112</v>
      </c>
      <c r="U19" s="416" t="e">
        <f t="shared" si="12"/>
        <v>#REF!</v>
      </c>
      <c r="V19" s="416">
        <f t="shared" si="1"/>
        <v>71</v>
      </c>
      <c r="X19" s="531" t="s">
        <v>517</v>
      </c>
      <c r="Y19" s="532" t="e">
        <f t="shared" si="2"/>
        <v>#REF!</v>
      </c>
      <c r="Z19" s="532">
        <f t="shared" si="2"/>
        <v>993</v>
      </c>
      <c r="AA19" s="532" t="e">
        <f t="shared" si="13"/>
        <v>#REF!</v>
      </c>
      <c r="AB19" s="532">
        <f t="shared" si="3"/>
        <v>593</v>
      </c>
      <c r="AC19" s="532"/>
    </row>
    <row r="20" spans="1:29" x14ac:dyDescent="0.25">
      <c r="A20" s="493"/>
      <c r="B20" s="522"/>
      <c r="C20" s="522"/>
      <c r="D20" s="522"/>
      <c r="E20" s="522"/>
      <c r="F20" s="522"/>
      <c r="G20" s="522"/>
      <c r="H20" s="522"/>
      <c r="I20" s="522"/>
      <c r="J20" s="522"/>
      <c r="K20" s="522"/>
      <c r="L20" s="522"/>
      <c r="M20" s="522"/>
      <c r="N20" s="522"/>
      <c r="O20" s="522"/>
      <c r="P20" s="522"/>
      <c r="Q20" s="522"/>
      <c r="R20" s="522"/>
      <c r="S20" s="522"/>
      <c r="T20" s="522"/>
      <c r="U20" s="522"/>
      <c r="V20" s="522"/>
      <c r="X20" s="522"/>
      <c r="Y20" s="532"/>
      <c r="Z20" s="532"/>
      <c r="AA20" s="532"/>
      <c r="AB20" s="532"/>
      <c r="AC20" s="532"/>
    </row>
    <row r="21" spans="1:29" x14ac:dyDescent="0.25">
      <c r="A21" s="493" t="s">
        <v>518</v>
      </c>
      <c r="B21" s="529">
        <f t="shared" si="14"/>
        <v>1.0120000000000001E-2</v>
      </c>
      <c r="C21" s="522" t="e">
        <f>#REF!</f>
        <v>#REF!</v>
      </c>
      <c r="D21" s="534">
        <f>+'May - Oct Capacity MSC by Class'!G24</f>
        <v>5.9</v>
      </c>
      <c r="E21" s="530">
        <f>+'Adj Sales Forecast'!B16</f>
        <v>68611.999999999985</v>
      </c>
      <c r="F21" s="476">
        <f>+'Adj Demand Forecast '!B6</f>
        <v>164</v>
      </c>
      <c r="G21" s="476">
        <f t="shared" ref="G21:H24" si="15">ROUND(E21*0.88,0)</f>
        <v>60379</v>
      </c>
      <c r="H21" s="476">
        <f t="shared" si="15"/>
        <v>144</v>
      </c>
      <c r="I21" s="416" t="e">
        <f t="shared" ref="I21:J24" si="16">ROUND(C21*G21,0)</f>
        <v>#REF!</v>
      </c>
      <c r="J21" s="416">
        <f t="shared" si="16"/>
        <v>850</v>
      </c>
      <c r="K21" s="416" t="e">
        <f>I21+J21</f>
        <v>#REF!</v>
      </c>
      <c r="L21" s="416">
        <f>ROUND(B21*G21,0)</f>
        <v>611</v>
      </c>
      <c r="M21" s="522"/>
      <c r="N21" s="529">
        <f>$B$8</f>
        <v>1.0120000000000001E-2</v>
      </c>
      <c r="O21" s="522" t="e">
        <f>#REF!</f>
        <v>#REF!</v>
      </c>
      <c r="P21" s="534">
        <f>+'May - Oct Capacity MSC by Class'!H24</f>
        <v>5.46</v>
      </c>
      <c r="Q21" s="530">
        <f t="shared" ref="Q21:R24" si="17">E21-G21</f>
        <v>8232.9999999999854</v>
      </c>
      <c r="R21" s="530">
        <f t="shared" si="17"/>
        <v>20</v>
      </c>
      <c r="S21" s="416" t="e">
        <f>ROUND(O21*Q21,0)</f>
        <v>#REF!</v>
      </c>
      <c r="T21" s="416">
        <f t="shared" ref="T21:T31" si="18">ROUND(P21*R21,0)</f>
        <v>109</v>
      </c>
      <c r="U21" s="416" t="e">
        <f t="shared" ref="U21:U31" si="19">S21+T21</f>
        <v>#REF!</v>
      </c>
      <c r="V21" s="416">
        <f>ROUND(N21*Q21,0)</f>
        <v>83</v>
      </c>
      <c r="X21" s="522" t="s">
        <v>518</v>
      </c>
      <c r="Y21" s="532" t="e">
        <f t="shared" ref="Y21:Z24" si="20">I21+S21</f>
        <v>#REF!</v>
      </c>
      <c r="Z21" s="532">
        <f t="shared" si="20"/>
        <v>959</v>
      </c>
      <c r="AA21" s="532" t="e">
        <f t="shared" si="13"/>
        <v>#REF!</v>
      </c>
      <c r="AB21" s="532">
        <f>L21+V21</f>
        <v>694</v>
      </c>
      <c r="AC21" s="532"/>
    </row>
    <row r="22" spans="1:29" x14ac:dyDescent="0.25">
      <c r="A22" s="493" t="s">
        <v>303</v>
      </c>
      <c r="B22" s="529">
        <f t="shared" si="14"/>
        <v>1.0120000000000001E-2</v>
      </c>
      <c r="C22" s="522" t="e">
        <f>#REF!</f>
        <v>#REF!</v>
      </c>
      <c r="D22" s="534">
        <f>+'May - Oct Capacity MSC by Class'!G27</f>
        <v>7.48</v>
      </c>
      <c r="E22" s="530">
        <f>+'Adj Sales Forecast'!B22</f>
        <v>99000000</v>
      </c>
      <c r="F22" s="476">
        <f>+'Adj Demand Forecast '!B8</f>
        <v>230000</v>
      </c>
      <c r="G22" s="476">
        <f t="shared" si="15"/>
        <v>87120000</v>
      </c>
      <c r="H22" s="476">
        <f t="shared" si="15"/>
        <v>202400</v>
      </c>
      <c r="I22" s="416" t="e">
        <f t="shared" si="16"/>
        <v>#REF!</v>
      </c>
      <c r="J22" s="416">
        <f t="shared" si="16"/>
        <v>1513952</v>
      </c>
      <c r="K22" s="416" t="e">
        <f>I22+J22</f>
        <v>#REF!</v>
      </c>
      <c r="L22" s="416">
        <f>ROUND(B22*G22,0)</f>
        <v>881654</v>
      </c>
      <c r="M22" s="522"/>
      <c r="N22" s="529">
        <f>$B$8</f>
        <v>1.0120000000000001E-2</v>
      </c>
      <c r="O22" s="522" t="e">
        <f>#REF!</f>
        <v>#REF!</v>
      </c>
      <c r="P22" s="534">
        <f>+'May - Oct Capacity MSC by Class'!H27</f>
        <v>6.92</v>
      </c>
      <c r="Q22" s="530">
        <f t="shared" si="17"/>
        <v>11880000</v>
      </c>
      <c r="R22" s="530">
        <f t="shared" si="17"/>
        <v>27600</v>
      </c>
      <c r="S22" s="416" t="e">
        <f>ROUND(O22*Q22,0)</f>
        <v>#REF!</v>
      </c>
      <c r="T22" s="416">
        <f t="shared" si="18"/>
        <v>190992</v>
      </c>
      <c r="U22" s="416" t="e">
        <f t="shared" si="19"/>
        <v>#REF!</v>
      </c>
      <c r="V22" s="416">
        <f>ROUND(N22*Q22,0)</f>
        <v>120226</v>
      </c>
      <c r="X22" s="522" t="s">
        <v>303</v>
      </c>
      <c r="Y22" s="532" t="e">
        <f t="shared" si="20"/>
        <v>#REF!</v>
      </c>
      <c r="Z22" s="532">
        <f t="shared" si="20"/>
        <v>1704944</v>
      </c>
      <c r="AA22" s="532" t="e">
        <f t="shared" si="13"/>
        <v>#REF!</v>
      </c>
      <c r="AB22" s="532">
        <f>L22+V22</f>
        <v>1001880</v>
      </c>
      <c r="AC22" s="532"/>
    </row>
    <row r="23" spans="1:29" x14ac:dyDescent="0.25">
      <c r="A23" s="493" t="s">
        <v>305</v>
      </c>
      <c r="B23" s="529">
        <f t="shared" si="14"/>
        <v>1.0120000000000001E-2</v>
      </c>
      <c r="C23" s="522" t="e">
        <f>#REF!</f>
        <v>#REF!</v>
      </c>
      <c r="D23" s="534">
        <f>+'May - Oct Capacity MSC by Class'!G29</f>
        <v>4.9400000000000004</v>
      </c>
      <c r="E23" s="530">
        <f>+'Adj Sales Forecast'!B27</f>
        <v>1224000000</v>
      </c>
      <c r="F23" s="476">
        <f>+'Adj Demand Forecast '!B14</f>
        <v>3666000</v>
      </c>
      <c r="G23" s="476">
        <f t="shared" si="15"/>
        <v>1077120000</v>
      </c>
      <c r="H23" s="476">
        <f t="shared" si="15"/>
        <v>3226080</v>
      </c>
      <c r="I23" s="416" t="e">
        <f t="shared" si="16"/>
        <v>#REF!</v>
      </c>
      <c r="J23" s="416">
        <f t="shared" si="16"/>
        <v>15936835</v>
      </c>
      <c r="K23" s="416" t="e">
        <f>I23+J23</f>
        <v>#REF!</v>
      </c>
      <c r="L23" s="416">
        <f>ROUND(B23*G23,0)</f>
        <v>10900454</v>
      </c>
      <c r="M23" s="522"/>
      <c r="N23" s="529">
        <f>$B$8</f>
        <v>1.0120000000000001E-2</v>
      </c>
      <c r="O23" s="534">
        <f>'[100]May - Oct Capacity MSC by Class'!$G29</f>
        <v>10.86</v>
      </c>
      <c r="P23" s="534">
        <f>+'May - Oct Capacity MSC by Class'!H29</f>
        <v>4.57</v>
      </c>
      <c r="Q23" s="530">
        <f t="shared" si="17"/>
        <v>146880000</v>
      </c>
      <c r="R23" s="530">
        <f t="shared" si="17"/>
        <v>439920</v>
      </c>
      <c r="S23" s="416">
        <f>ROUND(O23*Q23,0)</f>
        <v>1595116800</v>
      </c>
      <c r="T23" s="416">
        <f t="shared" si="18"/>
        <v>2010434</v>
      </c>
      <c r="U23" s="416">
        <f t="shared" si="19"/>
        <v>1597127234</v>
      </c>
      <c r="V23" s="416">
        <f>ROUND(N23*Q23,0)</f>
        <v>1486426</v>
      </c>
      <c r="X23" s="522" t="s">
        <v>305</v>
      </c>
      <c r="Y23" s="532" t="e">
        <f t="shared" si="20"/>
        <v>#REF!</v>
      </c>
      <c r="Z23" s="532">
        <f t="shared" si="20"/>
        <v>17947269</v>
      </c>
      <c r="AA23" s="532" t="e">
        <f t="shared" si="13"/>
        <v>#REF!</v>
      </c>
      <c r="AB23" s="532">
        <f>L23+V23</f>
        <v>12386880</v>
      </c>
      <c r="AC23" s="532"/>
    </row>
    <row r="24" spans="1:29" x14ac:dyDescent="0.25">
      <c r="A24" s="493" t="s">
        <v>310</v>
      </c>
      <c r="B24" s="529">
        <f t="shared" si="14"/>
        <v>1.0120000000000001E-2</v>
      </c>
      <c r="C24" s="522" t="e">
        <f>#REF!</f>
        <v>#REF!</v>
      </c>
      <c r="D24" s="534">
        <f>+'May - Oct Capacity MSC by Class'!G33</f>
        <v>7.23</v>
      </c>
      <c r="E24" s="530">
        <f>+'Adj Sales Forecast'!B32</f>
        <v>7941432</v>
      </c>
      <c r="F24" s="476">
        <f>+'Adj Demand Forecast '!B20</f>
        <v>24000</v>
      </c>
      <c r="G24" s="476">
        <f t="shared" si="15"/>
        <v>6988460</v>
      </c>
      <c r="H24" s="476">
        <f t="shared" si="15"/>
        <v>21120</v>
      </c>
      <c r="I24" s="416" t="e">
        <f t="shared" si="16"/>
        <v>#REF!</v>
      </c>
      <c r="J24" s="416">
        <f t="shared" si="16"/>
        <v>152698</v>
      </c>
      <c r="K24" s="416" t="e">
        <f>I24+J24</f>
        <v>#REF!</v>
      </c>
      <c r="L24" s="416">
        <f>ROUND(B24*G24,0)</f>
        <v>70723</v>
      </c>
      <c r="M24" s="522"/>
      <c r="N24" s="529">
        <f>$B$8</f>
        <v>1.0120000000000001E-2</v>
      </c>
      <c r="O24" s="522" t="e">
        <f>#REF!</f>
        <v>#REF!</v>
      </c>
      <c r="P24" s="534">
        <f>+'May - Oct Capacity MSC by Class'!H33</f>
        <v>6.69</v>
      </c>
      <c r="Q24" s="530">
        <f t="shared" si="17"/>
        <v>952972</v>
      </c>
      <c r="R24" s="530">
        <f t="shared" si="17"/>
        <v>2880</v>
      </c>
      <c r="S24" s="416" t="e">
        <f>ROUND(O24*Q24,0)</f>
        <v>#REF!</v>
      </c>
      <c r="T24" s="416">
        <f t="shared" si="18"/>
        <v>19267</v>
      </c>
      <c r="U24" s="416" t="e">
        <f t="shared" si="19"/>
        <v>#REF!</v>
      </c>
      <c r="V24" s="416">
        <f>ROUND(N24*Q24,0)</f>
        <v>9644</v>
      </c>
      <c r="X24" s="522" t="s">
        <v>310</v>
      </c>
      <c r="Y24" s="532" t="e">
        <f t="shared" si="20"/>
        <v>#REF!</v>
      </c>
      <c r="Z24" s="532">
        <f t="shared" si="20"/>
        <v>171965</v>
      </c>
      <c r="AA24" s="532" t="e">
        <f t="shared" si="13"/>
        <v>#REF!</v>
      </c>
      <c r="AB24" s="532">
        <f>L24+V24</f>
        <v>80367</v>
      </c>
      <c r="AC24" s="532"/>
    </row>
    <row r="25" spans="1:29" x14ac:dyDescent="0.25">
      <c r="A25" s="493"/>
      <c r="B25" s="522"/>
      <c r="C25" s="522"/>
      <c r="D25" s="522"/>
      <c r="E25" s="522"/>
      <c r="F25" s="476"/>
      <c r="G25" s="476"/>
      <c r="H25" s="476"/>
      <c r="I25" s="522"/>
      <c r="J25" s="522"/>
      <c r="K25" s="522"/>
      <c r="L25" s="522"/>
      <c r="M25" s="522"/>
      <c r="N25" s="522"/>
      <c r="O25" s="522"/>
      <c r="P25" s="522"/>
      <c r="Q25" s="522"/>
      <c r="R25" s="476"/>
      <c r="S25" s="416"/>
      <c r="T25" s="416"/>
      <c r="U25" s="416"/>
      <c r="V25" s="416"/>
      <c r="X25" s="522"/>
      <c r="Y25" s="532"/>
      <c r="Z25" s="532"/>
      <c r="AA25" s="532"/>
      <c r="AB25" s="532"/>
      <c r="AC25" s="532"/>
    </row>
    <row r="26" spans="1:29" x14ac:dyDescent="0.25">
      <c r="A26" s="493" t="s">
        <v>519</v>
      </c>
      <c r="B26" s="529">
        <f t="shared" si="14"/>
        <v>1.0120000000000001E-2</v>
      </c>
      <c r="C26" s="533" t="e">
        <f>#REF!</f>
        <v>#REF!</v>
      </c>
      <c r="D26" s="534">
        <f>+'May - Oct Capacity MSC by Class'!G45</f>
        <v>8.15</v>
      </c>
      <c r="E26" s="476">
        <f>+'Forecasted TOD kWh by Period'!B35</f>
        <v>46363100</v>
      </c>
      <c r="F26" s="476">
        <f>+'Forecasted TOD kW by Period'!G26</f>
        <v>19184</v>
      </c>
      <c r="G26" s="476">
        <f t="shared" ref="G26:G31" si="21">ROUND(E26*0.88,0)</f>
        <v>40799528</v>
      </c>
      <c r="H26" s="476">
        <f>ROUND(F26*0.88,0)</f>
        <v>16882</v>
      </c>
      <c r="I26" s="416" t="e">
        <f t="shared" ref="I26:J31" si="22">ROUND(C26*G26,0)</f>
        <v>#REF!</v>
      </c>
      <c r="J26" s="416">
        <f t="shared" si="22"/>
        <v>137588</v>
      </c>
      <c r="K26" s="416" t="e">
        <f>I26+J26</f>
        <v>#REF!</v>
      </c>
      <c r="L26" s="416">
        <f>ROUND(B26*G26,0)</f>
        <v>412891</v>
      </c>
      <c r="M26" s="522"/>
      <c r="N26" s="529">
        <f t="shared" ref="N26:N31" si="23">$B$8</f>
        <v>1.0120000000000001E-2</v>
      </c>
      <c r="O26" s="533" t="e">
        <f>#REF!</f>
        <v>#REF!</v>
      </c>
      <c r="P26" s="534">
        <f>+'May - Oct Capacity MSC by Class'!H45</f>
        <v>7.54</v>
      </c>
      <c r="Q26" s="530">
        <f>E26-G26</f>
        <v>5563572</v>
      </c>
      <c r="R26" s="530">
        <f>F26-H26</f>
        <v>2302</v>
      </c>
      <c r="S26" s="416" t="e">
        <f t="shared" ref="S26:S31" si="24">ROUND(O26*Q26,0)</f>
        <v>#REF!</v>
      </c>
      <c r="T26" s="416">
        <f t="shared" si="18"/>
        <v>17357</v>
      </c>
      <c r="U26" s="416" t="e">
        <f t="shared" si="19"/>
        <v>#REF!</v>
      </c>
      <c r="V26" s="416">
        <f t="shared" ref="V26:V31" si="25">ROUND(N26*Q26,0)</f>
        <v>56303</v>
      </c>
      <c r="X26" s="522" t="s">
        <v>519</v>
      </c>
      <c r="Y26" s="532" t="e">
        <f t="shared" ref="Y26:Z31" si="26">I26+S26</f>
        <v>#REF!</v>
      </c>
      <c r="Z26" s="532">
        <f t="shared" si="26"/>
        <v>154945</v>
      </c>
      <c r="AA26" s="532" t="e">
        <f t="shared" si="13"/>
        <v>#REF!</v>
      </c>
      <c r="AB26" s="532">
        <f t="shared" ref="AB26:AB31" si="27">L26+V26</f>
        <v>469194</v>
      </c>
      <c r="AC26" s="532"/>
    </row>
    <row r="27" spans="1:29" x14ac:dyDescent="0.25">
      <c r="A27" s="493" t="s">
        <v>520</v>
      </c>
      <c r="B27" s="529">
        <f t="shared" si="14"/>
        <v>1.0120000000000001E-2</v>
      </c>
      <c r="C27" s="533" t="e">
        <f>#REF!</f>
        <v>#REF!</v>
      </c>
      <c r="D27" s="522"/>
      <c r="E27" s="476">
        <f>+'Forecasted TOD kWh by Period'!B36</f>
        <v>60636900</v>
      </c>
      <c r="F27" s="476"/>
      <c r="G27" s="476">
        <f t="shared" si="21"/>
        <v>53360472</v>
      </c>
      <c r="H27" s="476"/>
      <c r="I27" s="416" t="e">
        <f t="shared" si="22"/>
        <v>#REF!</v>
      </c>
      <c r="J27" s="416">
        <f t="shared" si="22"/>
        <v>0</v>
      </c>
      <c r="K27" s="416" t="e">
        <f>I27+J27</f>
        <v>#REF!</v>
      </c>
      <c r="L27" s="416">
        <f>ROUND(B27*G27,0)</f>
        <v>540008</v>
      </c>
      <c r="M27" s="522"/>
      <c r="N27" s="529">
        <f t="shared" si="23"/>
        <v>1.0120000000000001E-2</v>
      </c>
      <c r="O27" s="533" t="e">
        <f>#REF!</f>
        <v>#REF!</v>
      </c>
      <c r="P27" s="522"/>
      <c r="Q27" s="530">
        <f>E27-G27</f>
        <v>7276428</v>
      </c>
      <c r="R27" s="530"/>
      <c r="S27" s="416" t="e">
        <f t="shared" si="24"/>
        <v>#REF!</v>
      </c>
      <c r="T27" s="416">
        <f t="shared" si="18"/>
        <v>0</v>
      </c>
      <c r="U27" s="416" t="e">
        <f t="shared" si="19"/>
        <v>#REF!</v>
      </c>
      <c r="V27" s="416">
        <f t="shared" si="25"/>
        <v>73637</v>
      </c>
      <c r="X27" s="522" t="s">
        <v>520</v>
      </c>
      <c r="Y27" s="532" t="e">
        <f t="shared" si="26"/>
        <v>#REF!</v>
      </c>
      <c r="Z27" s="532">
        <f t="shared" si="26"/>
        <v>0</v>
      </c>
      <c r="AA27" s="532" t="e">
        <f t="shared" si="13"/>
        <v>#REF!</v>
      </c>
      <c r="AB27" s="532">
        <f t="shared" si="27"/>
        <v>613645</v>
      </c>
      <c r="AC27" s="532"/>
    </row>
    <row r="28" spans="1:29" x14ac:dyDescent="0.25">
      <c r="A28" s="493" t="s">
        <v>521</v>
      </c>
      <c r="B28" s="529">
        <f t="shared" si="14"/>
        <v>1.0120000000000001E-2</v>
      </c>
      <c r="C28" s="533" t="e">
        <f>#REF!</f>
        <v>#REF!</v>
      </c>
      <c r="D28" s="534">
        <f>+'May - Oct Capacity MSC by Class'!G46</f>
        <v>5.05</v>
      </c>
      <c r="E28" s="530">
        <f>+'Forecasted TOD kWh by Period'!B39</f>
        <v>612075200</v>
      </c>
      <c r="F28" s="476">
        <f>+'Forecasted TOD kW by Period'!G30</f>
        <v>214288</v>
      </c>
      <c r="G28" s="476">
        <f t="shared" si="21"/>
        <v>538626176</v>
      </c>
      <c r="H28" s="476">
        <f>ROUND(F28*0.88,0)</f>
        <v>188573</v>
      </c>
      <c r="I28" s="416" t="e">
        <f t="shared" si="22"/>
        <v>#REF!</v>
      </c>
      <c r="J28" s="416">
        <f t="shared" si="22"/>
        <v>952294</v>
      </c>
      <c r="K28" s="416" t="e">
        <f>I28+J28</f>
        <v>#REF!</v>
      </c>
      <c r="L28" s="416">
        <f>ROUND(B28*G28,0)</f>
        <v>5450897</v>
      </c>
      <c r="M28" s="522"/>
      <c r="N28" s="529">
        <f t="shared" si="23"/>
        <v>1.0120000000000001E-2</v>
      </c>
      <c r="O28" s="533" t="e">
        <f>#REF!</f>
        <v>#REF!</v>
      </c>
      <c r="P28" s="534">
        <f>+'May - Oct Capacity MSC by Class'!H46</f>
        <v>4.68</v>
      </c>
      <c r="Q28" s="530">
        <f>E28-G28</f>
        <v>73449024</v>
      </c>
      <c r="R28" s="530">
        <f>F28-H28</f>
        <v>25715</v>
      </c>
      <c r="S28" s="416" t="e">
        <f t="shared" si="24"/>
        <v>#REF!</v>
      </c>
      <c r="T28" s="416">
        <f t="shared" si="18"/>
        <v>120346</v>
      </c>
      <c r="U28" s="416" t="e">
        <f t="shared" si="19"/>
        <v>#REF!</v>
      </c>
      <c r="V28" s="416">
        <f t="shared" si="25"/>
        <v>743304</v>
      </c>
      <c r="X28" s="522" t="s">
        <v>521</v>
      </c>
      <c r="Y28" s="532" t="e">
        <f t="shared" si="26"/>
        <v>#REF!</v>
      </c>
      <c r="Z28" s="532">
        <f t="shared" si="26"/>
        <v>1072640</v>
      </c>
      <c r="AA28" s="532" t="e">
        <f t="shared" si="13"/>
        <v>#REF!</v>
      </c>
      <c r="AB28" s="532">
        <f t="shared" si="27"/>
        <v>6194201</v>
      </c>
      <c r="AC28" s="532"/>
    </row>
    <row r="29" spans="1:29" x14ac:dyDescent="0.25">
      <c r="A29" s="493" t="s">
        <v>522</v>
      </c>
      <c r="B29" s="529">
        <f t="shared" si="14"/>
        <v>1.0120000000000001E-2</v>
      </c>
      <c r="C29" s="533" t="e">
        <f>#REF!</f>
        <v>#REF!</v>
      </c>
      <c r="D29" s="522"/>
      <c r="E29" s="530">
        <f>+'Forecasted TOD kWh by Period'!B40</f>
        <v>715924800</v>
      </c>
      <c r="F29" s="476"/>
      <c r="G29" s="476">
        <f t="shared" si="21"/>
        <v>630013824</v>
      </c>
      <c r="H29" s="476"/>
      <c r="I29" s="416" t="e">
        <f t="shared" si="22"/>
        <v>#REF!</v>
      </c>
      <c r="J29" s="416">
        <f t="shared" si="22"/>
        <v>0</v>
      </c>
      <c r="K29" s="416" t="e">
        <f>I29+J29</f>
        <v>#REF!</v>
      </c>
      <c r="L29" s="416">
        <f>ROUND(B29*G29,0)</f>
        <v>6375740</v>
      </c>
      <c r="M29" s="522"/>
      <c r="N29" s="529">
        <f t="shared" si="23"/>
        <v>1.0120000000000001E-2</v>
      </c>
      <c r="O29" s="533" t="e">
        <f>#REF!</f>
        <v>#REF!</v>
      </c>
      <c r="P29" s="522"/>
      <c r="Q29" s="530">
        <f>E29-G29</f>
        <v>85910976</v>
      </c>
      <c r="R29" s="530"/>
      <c r="S29" s="416" t="e">
        <f t="shared" si="24"/>
        <v>#REF!</v>
      </c>
      <c r="T29" s="416">
        <f t="shared" si="18"/>
        <v>0</v>
      </c>
      <c r="U29" s="416" t="e">
        <f t="shared" si="19"/>
        <v>#REF!</v>
      </c>
      <c r="V29" s="416">
        <f t="shared" si="25"/>
        <v>869419</v>
      </c>
      <c r="X29" s="522" t="s">
        <v>522</v>
      </c>
      <c r="Y29" s="532" t="e">
        <f t="shared" si="26"/>
        <v>#REF!</v>
      </c>
      <c r="Z29" s="532">
        <f t="shared" si="26"/>
        <v>0</v>
      </c>
      <c r="AA29" s="532" t="e">
        <f t="shared" si="13"/>
        <v>#REF!</v>
      </c>
      <c r="AB29" s="532">
        <f t="shared" si="27"/>
        <v>7245159</v>
      </c>
      <c r="AC29" s="532"/>
    </row>
    <row r="30" spans="1:29" x14ac:dyDescent="0.25">
      <c r="A30" s="493" t="s">
        <v>523</v>
      </c>
      <c r="B30" s="529">
        <f t="shared" si="14"/>
        <v>1.0120000000000001E-2</v>
      </c>
      <c r="C30" s="533" t="e">
        <f>#REF!</f>
        <v>#REF!</v>
      </c>
      <c r="D30" s="534">
        <f>+'May - Oct Capacity MSC by Class'!G47</f>
        <v>7.69</v>
      </c>
      <c r="E30" s="476">
        <f>+'Adj Sales Forecast'!B33</f>
        <v>0</v>
      </c>
      <c r="F30" s="476">
        <f>+'Adj Demand Forecast '!B21</f>
        <v>0</v>
      </c>
      <c r="G30" s="476">
        <f t="shared" si="21"/>
        <v>0</v>
      </c>
      <c r="H30" s="476">
        <f>ROUND(F30*0.88,0)</f>
        <v>0</v>
      </c>
      <c r="I30" s="416" t="e">
        <f t="shared" si="22"/>
        <v>#REF!</v>
      </c>
      <c r="J30" s="416">
        <f t="shared" si="22"/>
        <v>0</v>
      </c>
      <c r="K30" s="416" t="e">
        <f>I30+J30</f>
        <v>#REF!</v>
      </c>
      <c r="L30" s="416">
        <f>ROUND(B30*G30,0)</f>
        <v>0</v>
      </c>
      <c r="M30" s="522"/>
      <c r="N30" s="529">
        <f t="shared" si="23"/>
        <v>1.0120000000000001E-2</v>
      </c>
      <c r="O30" s="533" t="e">
        <f>#REF!</f>
        <v>#REF!</v>
      </c>
      <c r="P30" s="534">
        <f>+'May - Oct Capacity MSC by Class'!H47</f>
        <v>7.12</v>
      </c>
      <c r="Q30" s="535">
        <f>E30-G30</f>
        <v>0</v>
      </c>
      <c r="R30" s="535">
        <f>F30-H30</f>
        <v>0</v>
      </c>
      <c r="S30" s="416" t="e">
        <f t="shared" si="24"/>
        <v>#REF!</v>
      </c>
      <c r="T30" s="416">
        <f t="shared" si="18"/>
        <v>0</v>
      </c>
      <c r="U30" s="416" t="e">
        <f t="shared" si="19"/>
        <v>#REF!</v>
      </c>
      <c r="V30" s="416">
        <f t="shared" si="25"/>
        <v>0</v>
      </c>
      <c r="X30" s="522" t="s">
        <v>523</v>
      </c>
      <c r="Y30" s="532" t="e">
        <f t="shared" si="26"/>
        <v>#REF!</v>
      </c>
      <c r="Z30" s="532">
        <f t="shared" si="26"/>
        <v>0</v>
      </c>
      <c r="AA30" s="532" t="e">
        <f t="shared" si="13"/>
        <v>#REF!</v>
      </c>
      <c r="AB30" s="532">
        <f t="shared" si="27"/>
        <v>0</v>
      </c>
      <c r="AC30" s="532"/>
    </row>
    <row r="31" spans="1:29" x14ac:dyDescent="0.25">
      <c r="A31" s="493" t="s">
        <v>524</v>
      </c>
      <c r="B31" s="529">
        <f t="shared" si="14"/>
        <v>1.0120000000000001E-2</v>
      </c>
      <c r="C31" s="533" t="e">
        <f>#REF!</f>
        <v>#REF!</v>
      </c>
      <c r="D31" s="522"/>
      <c r="E31" s="535">
        <v>0</v>
      </c>
      <c r="F31" s="476"/>
      <c r="G31" s="476">
        <f t="shared" si="21"/>
        <v>0</v>
      </c>
      <c r="H31" s="476"/>
      <c r="I31" s="416" t="e">
        <f t="shared" si="22"/>
        <v>#REF!</v>
      </c>
      <c r="J31" s="416">
        <f t="shared" si="22"/>
        <v>0</v>
      </c>
      <c r="K31" s="416" t="e">
        <f>ROUND(D31*I31,0)</f>
        <v>#REF!</v>
      </c>
      <c r="L31" s="416">
        <f>ROUND(E31*J31,0)</f>
        <v>0</v>
      </c>
      <c r="M31" s="522"/>
      <c r="N31" s="529">
        <f t="shared" si="23"/>
        <v>1.0120000000000001E-2</v>
      </c>
      <c r="O31" s="533" t="e">
        <f>#REF!</f>
        <v>#REF!</v>
      </c>
      <c r="P31" s="522"/>
      <c r="Q31" s="535">
        <v>0</v>
      </c>
      <c r="R31" s="535">
        <v>0</v>
      </c>
      <c r="S31" s="416" t="e">
        <f t="shared" si="24"/>
        <v>#REF!</v>
      </c>
      <c r="T31" s="416">
        <f t="shared" si="18"/>
        <v>0</v>
      </c>
      <c r="U31" s="416" t="e">
        <f t="shared" si="19"/>
        <v>#REF!</v>
      </c>
      <c r="V31" s="416">
        <f t="shared" si="25"/>
        <v>0</v>
      </c>
      <c r="X31" s="522" t="s">
        <v>524</v>
      </c>
      <c r="Y31" s="532" t="e">
        <f t="shared" si="26"/>
        <v>#REF!</v>
      </c>
      <c r="Z31" s="532">
        <f t="shared" si="26"/>
        <v>0</v>
      </c>
      <c r="AA31" s="532" t="e">
        <f t="shared" si="13"/>
        <v>#REF!</v>
      </c>
      <c r="AB31" s="532">
        <f t="shared" si="27"/>
        <v>0</v>
      </c>
      <c r="AC31" s="532"/>
    </row>
    <row r="32" spans="1:29" x14ac:dyDescent="0.25">
      <c r="A32" s="493"/>
      <c r="B32" s="533"/>
      <c r="C32" s="533"/>
      <c r="D32" s="522"/>
      <c r="E32" s="522"/>
      <c r="F32" s="476"/>
      <c r="G32" s="476"/>
      <c r="H32" s="476"/>
      <c r="I32" s="522"/>
      <c r="J32" s="522"/>
      <c r="K32" s="522"/>
      <c r="L32" s="522"/>
      <c r="M32" s="522"/>
      <c r="N32" s="522"/>
      <c r="O32" s="533"/>
      <c r="P32" s="522"/>
      <c r="Q32" s="522"/>
      <c r="R32" s="476"/>
      <c r="S32" s="522"/>
      <c r="T32" s="522"/>
      <c r="U32" s="522"/>
      <c r="V32" s="522"/>
      <c r="X32" s="522"/>
      <c r="Y32" s="532"/>
      <c r="Z32" s="532"/>
      <c r="AA32" s="532"/>
      <c r="AB32" s="532"/>
      <c r="AC32" s="532"/>
    </row>
    <row r="33" spans="1:29" x14ac:dyDescent="0.25">
      <c r="A33" s="493" t="s">
        <v>525</v>
      </c>
      <c r="B33" s="529">
        <f t="shared" si="14"/>
        <v>1.0120000000000001E-2</v>
      </c>
      <c r="C33" s="533" t="e">
        <f>#REF!</f>
        <v>#REF!</v>
      </c>
      <c r="D33" s="534">
        <f>+'May - Oct Capacity MSC by Class'!G24</f>
        <v>5.9</v>
      </c>
      <c r="E33" s="530">
        <f>+'Forecasted TOD kWh by Period'!B8</f>
        <v>3472000</v>
      </c>
      <c r="F33" s="476">
        <f>+'Forecasted TOD kW by Period'!G6</f>
        <v>15646</v>
      </c>
      <c r="G33" s="476">
        <f t="shared" ref="G33:H40" si="28">ROUND(E33*0.88,0)</f>
        <v>3055360</v>
      </c>
      <c r="H33" s="476">
        <f t="shared" si="28"/>
        <v>13768</v>
      </c>
      <c r="I33" s="416" t="e">
        <f t="shared" ref="I33:J42" si="29">ROUND(C33*G33,0)</f>
        <v>#REF!</v>
      </c>
      <c r="J33" s="416">
        <f t="shared" si="29"/>
        <v>81231</v>
      </c>
      <c r="K33" s="416" t="e">
        <f t="shared" ref="K33:K42" si="30">I33+J33</f>
        <v>#REF!</v>
      </c>
      <c r="L33" s="416">
        <f t="shared" ref="L33:L42" si="31">ROUND(B33*G33,0)</f>
        <v>30920</v>
      </c>
      <c r="M33" s="522"/>
      <c r="N33" s="529">
        <f t="shared" ref="N33:N42" si="32">$B$8</f>
        <v>1.0120000000000001E-2</v>
      </c>
      <c r="O33" s="533" t="e">
        <f>#REF!</f>
        <v>#REF!</v>
      </c>
      <c r="P33" s="534">
        <f>+'May - Oct Capacity MSC by Class'!H24</f>
        <v>5.46</v>
      </c>
      <c r="Q33" s="530">
        <f t="shared" ref="Q33:R42" si="33">E33-G33</f>
        <v>416640</v>
      </c>
      <c r="R33" s="530">
        <f t="shared" si="33"/>
        <v>1878</v>
      </c>
      <c r="S33" s="416" t="e">
        <f t="shared" ref="S33:T42" si="34">ROUND(O33*Q33,0)</f>
        <v>#REF!</v>
      </c>
      <c r="T33" s="416">
        <f t="shared" si="34"/>
        <v>10254</v>
      </c>
      <c r="U33" s="416" t="e">
        <f t="shared" ref="U33:U42" si="35">S33+T33</f>
        <v>#REF!</v>
      </c>
      <c r="V33" s="416">
        <f t="shared" ref="V33:V42" si="36">ROUND(N33*Q33,0)</f>
        <v>4216</v>
      </c>
      <c r="X33" s="522" t="s">
        <v>525</v>
      </c>
      <c r="Y33" s="532" t="e">
        <f t="shared" ref="Y33:Z42" si="37">I33+S33</f>
        <v>#REF!</v>
      </c>
      <c r="Z33" s="532">
        <f t="shared" si="37"/>
        <v>91485</v>
      </c>
      <c r="AA33" s="532" t="e">
        <f t="shared" si="13"/>
        <v>#REF!</v>
      </c>
      <c r="AB33" s="532">
        <f t="shared" ref="AB33:AB42" si="38">L33+V33</f>
        <v>35136</v>
      </c>
      <c r="AC33" s="532"/>
    </row>
    <row r="34" spans="1:29" x14ac:dyDescent="0.25">
      <c r="A34" s="493" t="s">
        <v>526</v>
      </c>
      <c r="B34" s="529">
        <f t="shared" si="14"/>
        <v>1.0120000000000001E-2</v>
      </c>
      <c r="C34" s="533" t="e">
        <f>#REF!</f>
        <v>#REF!</v>
      </c>
      <c r="D34" s="522"/>
      <c r="E34" s="530">
        <f>+'Forecasted TOD kWh by Period'!B9</f>
        <v>4528000</v>
      </c>
      <c r="F34" s="476"/>
      <c r="G34" s="476">
        <f t="shared" si="28"/>
        <v>3984640</v>
      </c>
      <c r="H34" s="476"/>
      <c r="I34" s="416" t="e">
        <f t="shared" si="29"/>
        <v>#REF!</v>
      </c>
      <c r="J34" s="416">
        <f t="shared" si="29"/>
        <v>0</v>
      </c>
      <c r="K34" s="416" t="e">
        <f t="shared" si="30"/>
        <v>#REF!</v>
      </c>
      <c r="L34" s="416">
        <f t="shared" si="31"/>
        <v>40325</v>
      </c>
      <c r="M34" s="522"/>
      <c r="N34" s="529">
        <f t="shared" si="32"/>
        <v>1.0120000000000001E-2</v>
      </c>
      <c r="O34" s="533" t="e">
        <f>#REF!</f>
        <v>#REF!</v>
      </c>
      <c r="P34" s="522"/>
      <c r="Q34" s="530">
        <f t="shared" si="33"/>
        <v>543360</v>
      </c>
      <c r="R34" s="530"/>
      <c r="S34" s="416" t="e">
        <f t="shared" si="34"/>
        <v>#REF!</v>
      </c>
      <c r="T34" s="416">
        <f t="shared" si="34"/>
        <v>0</v>
      </c>
      <c r="U34" s="416" t="e">
        <f t="shared" si="35"/>
        <v>#REF!</v>
      </c>
      <c r="V34" s="416">
        <f t="shared" si="36"/>
        <v>5499</v>
      </c>
      <c r="X34" s="522" t="s">
        <v>526</v>
      </c>
      <c r="Y34" s="532" t="e">
        <f t="shared" si="37"/>
        <v>#REF!</v>
      </c>
      <c r="Z34" s="532">
        <f t="shared" si="37"/>
        <v>0</v>
      </c>
      <c r="AA34" s="532" t="e">
        <f t="shared" si="13"/>
        <v>#REF!</v>
      </c>
      <c r="AB34" s="532">
        <f t="shared" si="38"/>
        <v>45824</v>
      </c>
      <c r="AC34" s="532"/>
    </row>
    <row r="35" spans="1:29" x14ac:dyDescent="0.25">
      <c r="A35" s="493" t="s">
        <v>527</v>
      </c>
      <c r="B35" s="529">
        <f t="shared" si="14"/>
        <v>1.0120000000000001E-2</v>
      </c>
      <c r="C35" s="533" t="e">
        <f>#REF!</f>
        <v>#REF!</v>
      </c>
      <c r="D35" s="534">
        <f>+'May - Oct Capacity MSC by Class'!G28</f>
        <v>5.0199999999999996</v>
      </c>
      <c r="E35" s="530">
        <f>+'Forecasted TOD kWh by Period'!B12</f>
        <v>7150400</v>
      </c>
      <c r="F35" s="476">
        <f>+'Forecasted TOD kW by Period'!F10</f>
        <v>34818</v>
      </c>
      <c r="G35" s="476">
        <f t="shared" si="28"/>
        <v>6292352</v>
      </c>
      <c r="H35" s="476">
        <f t="shared" si="28"/>
        <v>30640</v>
      </c>
      <c r="I35" s="416" t="e">
        <f t="shared" si="29"/>
        <v>#REF!</v>
      </c>
      <c r="J35" s="416">
        <f t="shared" si="29"/>
        <v>153813</v>
      </c>
      <c r="K35" s="416" t="e">
        <f t="shared" si="30"/>
        <v>#REF!</v>
      </c>
      <c r="L35" s="416">
        <f t="shared" si="31"/>
        <v>63679</v>
      </c>
      <c r="M35" s="522"/>
      <c r="N35" s="529">
        <f t="shared" si="32"/>
        <v>1.0120000000000001E-2</v>
      </c>
      <c r="O35" s="533" t="e">
        <f>#REF!</f>
        <v>#REF!</v>
      </c>
      <c r="P35" s="534">
        <f>+'May - Oct Capacity MSC by Class'!H28</f>
        <v>4.6500000000000004</v>
      </c>
      <c r="Q35" s="530">
        <f t="shared" si="33"/>
        <v>858048</v>
      </c>
      <c r="R35" s="530">
        <f t="shared" si="33"/>
        <v>4178</v>
      </c>
      <c r="S35" s="416" t="e">
        <f t="shared" si="34"/>
        <v>#REF!</v>
      </c>
      <c r="T35" s="416">
        <f t="shared" si="34"/>
        <v>19428</v>
      </c>
      <c r="U35" s="416" t="e">
        <f t="shared" si="35"/>
        <v>#REF!</v>
      </c>
      <c r="V35" s="416">
        <f t="shared" si="36"/>
        <v>8683</v>
      </c>
      <c r="X35" s="522" t="s">
        <v>527</v>
      </c>
      <c r="Y35" s="532" t="e">
        <f t="shared" si="37"/>
        <v>#REF!</v>
      </c>
      <c r="Z35" s="532">
        <f t="shared" si="37"/>
        <v>173241</v>
      </c>
      <c r="AA35" s="532" t="e">
        <f t="shared" si="13"/>
        <v>#REF!</v>
      </c>
      <c r="AB35" s="532">
        <f t="shared" si="38"/>
        <v>72362</v>
      </c>
      <c r="AC35" s="532"/>
    </row>
    <row r="36" spans="1:29" x14ac:dyDescent="0.25">
      <c r="A36" s="493" t="s">
        <v>528</v>
      </c>
      <c r="B36" s="529">
        <f t="shared" si="14"/>
        <v>1.0120000000000001E-2</v>
      </c>
      <c r="C36" s="533" t="e">
        <f>#REF!</f>
        <v>#REF!</v>
      </c>
      <c r="D36" s="522"/>
      <c r="E36" s="530">
        <f>+'Forecasted TOD kWh by Period'!B13</f>
        <v>8849600</v>
      </c>
      <c r="F36" s="476"/>
      <c r="G36" s="476">
        <f t="shared" si="28"/>
        <v>7787648</v>
      </c>
      <c r="H36" s="476"/>
      <c r="I36" s="416" t="e">
        <f t="shared" si="29"/>
        <v>#REF!</v>
      </c>
      <c r="J36" s="416">
        <f t="shared" si="29"/>
        <v>0</v>
      </c>
      <c r="K36" s="416" t="e">
        <f t="shared" si="30"/>
        <v>#REF!</v>
      </c>
      <c r="L36" s="416">
        <f t="shared" si="31"/>
        <v>78811</v>
      </c>
      <c r="M36" s="522"/>
      <c r="N36" s="529">
        <f t="shared" si="32"/>
        <v>1.0120000000000001E-2</v>
      </c>
      <c r="O36" s="533" t="e">
        <f>#REF!</f>
        <v>#REF!</v>
      </c>
      <c r="P36" s="522"/>
      <c r="Q36" s="530">
        <f t="shared" si="33"/>
        <v>1061952</v>
      </c>
      <c r="R36" s="530"/>
      <c r="S36" s="416" t="e">
        <f t="shared" si="34"/>
        <v>#REF!</v>
      </c>
      <c r="T36" s="416">
        <f t="shared" si="34"/>
        <v>0</v>
      </c>
      <c r="U36" s="416" t="e">
        <f t="shared" si="35"/>
        <v>#REF!</v>
      </c>
      <c r="V36" s="416">
        <f t="shared" si="36"/>
        <v>10747</v>
      </c>
      <c r="X36" s="522" t="s">
        <v>528</v>
      </c>
      <c r="Y36" s="532" t="e">
        <f t="shared" si="37"/>
        <v>#REF!</v>
      </c>
      <c r="Z36" s="532">
        <f t="shared" si="37"/>
        <v>0</v>
      </c>
      <c r="AA36" s="532" t="e">
        <f t="shared" si="13"/>
        <v>#REF!</v>
      </c>
      <c r="AB36" s="532">
        <f t="shared" si="38"/>
        <v>89558</v>
      </c>
      <c r="AC36" s="532"/>
    </row>
    <row r="37" spans="1:29" x14ac:dyDescent="0.25">
      <c r="A37" s="493" t="s">
        <v>529</v>
      </c>
      <c r="B37" s="529">
        <f t="shared" si="14"/>
        <v>1.0120000000000001E-2</v>
      </c>
      <c r="C37" s="533" t="e">
        <f>#REF!</f>
        <v>#REF!</v>
      </c>
      <c r="D37" s="534">
        <f>+'May - Oct Capacity MSC by Class'!G31</f>
        <v>5.59</v>
      </c>
      <c r="E37" s="530">
        <f>+'Forecasted TOD kWh by Period'!B16</f>
        <v>239500800</v>
      </c>
      <c r="F37" s="476">
        <f>+'Forecasted TOD kW by Period'!G14</f>
        <v>1184626</v>
      </c>
      <c r="G37" s="476">
        <f t="shared" si="28"/>
        <v>210760704</v>
      </c>
      <c r="H37" s="476">
        <f t="shared" si="28"/>
        <v>1042471</v>
      </c>
      <c r="I37" s="416" t="e">
        <f t="shared" si="29"/>
        <v>#REF!</v>
      </c>
      <c r="J37" s="416">
        <f t="shared" si="29"/>
        <v>5827413</v>
      </c>
      <c r="K37" s="416" t="e">
        <f t="shared" si="30"/>
        <v>#REF!</v>
      </c>
      <c r="L37" s="416">
        <f t="shared" si="31"/>
        <v>2132898</v>
      </c>
      <c r="M37" s="522"/>
      <c r="N37" s="529">
        <f t="shared" si="32"/>
        <v>1.0120000000000001E-2</v>
      </c>
      <c r="O37" s="533" t="e">
        <f>#REF!</f>
        <v>#REF!</v>
      </c>
      <c r="P37" s="534">
        <f>+'May - Oct Capacity MSC by Class'!H31</f>
        <v>5.17</v>
      </c>
      <c r="Q37" s="530">
        <f t="shared" si="33"/>
        <v>28740096</v>
      </c>
      <c r="R37" s="530">
        <f t="shared" si="33"/>
        <v>142155</v>
      </c>
      <c r="S37" s="416" t="e">
        <f t="shared" si="34"/>
        <v>#REF!</v>
      </c>
      <c r="T37" s="416">
        <f t="shared" si="34"/>
        <v>734941</v>
      </c>
      <c r="U37" s="416" t="e">
        <f t="shared" si="35"/>
        <v>#REF!</v>
      </c>
      <c r="V37" s="416">
        <f t="shared" si="36"/>
        <v>290850</v>
      </c>
      <c r="X37" s="522" t="s">
        <v>529</v>
      </c>
      <c r="Y37" s="532" t="e">
        <f t="shared" si="37"/>
        <v>#REF!</v>
      </c>
      <c r="Z37" s="532">
        <f t="shared" si="37"/>
        <v>6562354</v>
      </c>
      <c r="AA37" s="532" t="e">
        <f t="shared" si="13"/>
        <v>#REF!</v>
      </c>
      <c r="AB37" s="532">
        <f t="shared" si="38"/>
        <v>2423748</v>
      </c>
      <c r="AC37" s="532"/>
    </row>
    <row r="38" spans="1:29" x14ac:dyDescent="0.25">
      <c r="A38" s="493" t="s">
        <v>530</v>
      </c>
      <c r="B38" s="529">
        <f t="shared" si="14"/>
        <v>1.0120000000000001E-2</v>
      </c>
      <c r="C38" s="533" t="e">
        <f>#REF!</f>
        <v>#REF!</v>
      </c>
      <c r="D38" s="522"/>
      <c r="E38" s="530">
        <f>+'Forecasted TOD kWh by Period'!B17</f>
        <v>246499200</v>
      </c>
      <c r="F38" s="476"/>
      <c r="G38" s="476">
        <f t="shared" si="28"/>
        <v>216919296</v>
      </c>
      <c r="H38" s="476"/>
      <c r="I38" s="416" t="e">
        <f t="shared" si="29"/>
        <v>#REF!</v>
      </c>
      <c r="J38" s="416">
        <f t="shared" si="29"/>
        <v>0</v>
      </c>
      <c r="K38" s="416" t="e">
        <f t="shared" si="30"/>
        <v>#REF!</v>
      </c>
      <c r="L38" s="416">
        <f t="shared" si="31"/>
        <v>2195223</v>
      </c>
      <c r="M38" s="522"/>
      <c r="N38" s="529">
        <f t="shared" si="32"/>
        <v>1.0120000000000001E-2</v>
      </c>
      <c r="O38" s="533" t="e">
        <f>#REF!</f>
        <v>#REF!</v>
      </c>
      <c r="P38" s="522"/>
      <c r="Q38" s="530">
        <f t="shared" si="33"/>
        <v>29579904</v>
      </c>
      <c r="R38" s="530"/>
      <c r="S38" s="416" t="e">
        <f t="shared" si="34"/>
        <v>#REF!</v>
      </c>
      <c r="T38" s="416">
        <f t="shared" si="34"/>
        <v>0</v>
      </c>
      <c r="U38" s="416" t="e">
        <f t="shared" si="35"/>
        <v>#REF!</v>
      </c>
      <c r="V38" s="416">
        <f t="shared" si="36"/>
        <v>299349</v>
      </c>
      <c r="X38" s="522" t="s">
        <v>530</v>
      </c>
      <c r="Y38" s="532" t="e">
        <f t="shared" si="37"/>
        <v>#REF!</v>
      </c>
      <c r="Z38" s="532">
        <f t="shared" si="37"/>
        <v>0</v>
      </c>
      <c r="AA38" s="532" t="e">
        <f t="shared" si="13"/>
        <v>#REF!</v>
      </c>
      <c r="AB38" s="532">
        <f t="shared" si="38"/>
        <v>2494572</v>
      </c>
      <c r="AC38" s="532"/>
    </row>
    <row r="39" spans="1:29" x14ac:dyDescent="0.25">
      <c r="A39" s="493" t="s">
        <v>531</v>
      </c>
      <c r="B39" s="529">
        <f t="shared" si="14"/>
        <v>1.0120000000000001E-2</v>
      </c>
      <c r="C39" s="533" t="e">
        <f>#REF!</f>
        <v>#REF!</v>
      </c>
      <c r="D39" s="534">
        <f>+'May - Oct Capacity MSC by Class'!G34</f>
        <v>9.07</v>
      </c>
      <c r="E39" s="530">
        <f>+'Forecasted TOD kWh by Period'!B20</f>
        <v>4183000</v>
      </c>
      <c r="F39" s="476">
        <f>+'Forecasted TOD kW by Period'!G18</f>
        <v>22782</v>
      </c>
      <c r="G39" s="476">
        <f t="shared" si="28"/>
        <v>3681040</v>
      </c>
      <c r="H39" s="476">
        <f t="shared" si="28"/>
        <v>20048</v>
      </c>
      <c r="I39" s="416" t="e">
        <f t="shared" si="29"/>
        <v>#REF!</v>
      </c>
      <c r="J39" s="416">
        <f t="shared" si="29"/>
        <v>181835</v>
      </c>
      <c r="K39" s="416" t="e">
        <f t="shared" si="30"/>
        <v>#REF!</v>
      </c>
      <c r="L39" s="416">
        <f t="shared" si="31"/>
        <v>37252</v>
      </c>
      <c r="M39" s="522"/>
      <c r="N39" s="529">
        <f t="shared" si="32"/>
        <v>1.0120000000000001E-2</v>
      </c>
      <c r="O39" s="533" t="e">
        <f>#REF!</f>
        <v>#REF!</v>
      </c>
      <c r="P39" s="534">
        <f>+'May - Oct Capacity MSC by Class'!H34</f>
        <v>8.4</v>
      </c>
      <c r="Q39" s="530">
        <f t="shared" si="33"/>
        <v>501960</v>
      </c>
      <c r="R39" s="530">
        <f t="shared" si="33"/>
        <v>2734</v>
      </c>
      <c r="S39" s="416" t="e">
        <f t="shared" si="34"/>
        <v>#REF!</v>
      </c>
      <c r="T39" s="416">
        <f t="shared" si="34"/>
        <v>22966</v>
      </c>
      <c r="U39" s="416" t="e">
        <f t="shared" si="35"/>
        <v>#REF!</v>
      </c>
      <c r="V39" s="416">
        <f t="shared" si="36"/>
        <v>5080</v>
      </c>
      <c r="X39" s="522" t="s">
        <v>531</v>
      </c>
      <c r="Y39" s="532" t="e">
        <f t="shared" si="37"/>
        <v>#REF!</v>
      </c>
      <c r="Z39" s="532">
        <f t="shared" si="37"/>
        <v>204801</v>
      </c>
      <c r="AA39" s="532" t="e">
        <f t="shared" si="13"/>
        <v>#REF!</v>
      </c>
      <c r="AB39" s="532">
        <f t="shared" si="38"/>
        <v>42332</v>
      </c>
      <c r="AC39" s="532"/>
    </row>
    <row r="40" spans="1:29" x14ac:dyDescent="0.25">
      <c r="A40" s="493" t="s">
        <v>532</v>
      </c>
      <c r="B40" s="529">
        <f t="shared" si="14"/>
        <v>1.0120000000000001E-2</v>
      </c>
      <c r="C40" s="533" t="e">
        <f>#REF!</f>
        <v>#REF!</v>
      </c>
      <c r="D40" s="522"/>
      <c r="E40" s="530">
        <f>+'Forecasted TOD kWh by Period'!B21</f>
        <v>5817000</v>
      </c>
      <c r="F40" s="476"/>
      <c r="G40" s="476">
        <f t="shared" si="28"/>
        <v>5118960</v>
      </c>
      <c r="H40" s="476"/>
      <c r="I40" s="416" t="e">
        <f t="shared" si="29"/>
        <v>#REF!</v>
      </c>
      <c r="J40" s="416">
        <f t="shared" si="29"/>
        <v>0</v>
      </c>
      <c r="K40" s="416" t="e">
        <f t="shared" si="30"/>
        <v>#REF!</v>
      </c>
      <c r="L40" s="416">
        <f t="shared" si="31"/>
        <v>51804</v>
      </c>
      <c r="M40" s="522"/>
      <c r="N40" s="529">
        <f t="shared" si="32"/>
        <v>1.0120000000000001E-2</v>
      </c>
      <c r="O40" s="533" t="e">
        <f>#REF!</f>
        <v>#REF!</v>
      </c>
      <c r="P40" s="522"/>
      <c r="Q40" s="530">
        <f t="shared" si="33"/>
        <v>698040</v>
      </c>
      <c r="R40" s="530"/>
      <c r="S40" s="416" t="e">
        <f t="shared" si="34"/>
        <v>#REF!</v>
      </c>
      <c r="T40" s="416">
        <f t="shared" si="34"/>
        <v>0</v>
      </c>
      <c r="U40" s="416" t="e">
        <f t="shared" si="35"/>
        <v>#REF!</v>
      </c>
      <c r="V40" s="416">
        <f t="shared" si="36"/>
        <v>7064</v>
      </c>
      <c r="X40" s="522" t="s">
        <v>532</v>
      </c>
      <c r="Y40" s="532" t="e">
        <f t="shared" si="37"/>
        <v>#REF!</v>
      </c>
      <c r="Z40" s="532">
        <f t="shared" si="37"/>
        <v>0</v>
      </c>
      <c r="AA40" s="532" t="e">
        <f t="shared" si="13"/>
        <v>#REF!</v>
      </c>
      <c r="AB40" s="532">
        <f t="shared" si="38"/>
        <v>58868</v>
      </c>
      <c r="AC40" s="532"/>
    </row>
    <row r="41" spans="1:29" x14ac:dyDescent="0.25">
      <c r="A41" s="493" t="s">
        <v>533</v>
      </c>
      <c r="B41" s="529">
        <f t="shared" si="14"/>
        <v>1.0120000000000001E-2</v>
      </c>
      <c r="C41" s="533" t="e">
        <f>#REF!</f>
        <v>#REF!</v>
      </c>
      <c r="D41" s="534">
        <f>+'May - Oct Capacity MSC by Class'!G35</f>
        <v>0.08</v>
      </c>
      <c r="E41" s="530">
        <f>+'Forecasted TOD kWh by Period'!B24</f>
        <v>506750</v>
      </c>
      <c r="F41" s="476">
        <f>+'Forecasted TOD kW by Period'!G22</f>
        <v>14059</v>
      </c>
      <c r="G41" s="476">
        <f>ROUND(E41*0.88,0)</f>
        <v>445940</v>
      </c>
      <c r="H41" s="476">
        <f>ROUND(F41*0.88,0)</f>
        <v>12372</v>
      </c>
      <c r="I41" s="416" t="e">
        <f t="shared" si="29"/>
        <v>#REF!</v>
      </c>
      <c r="J41" s="416">
        <f t="shared" si="29"/>
        <v>990</v>
      </c>
      <c r="K41" s="416" t="e">
        <f t="shared" si="30"/>
        <v>#REF!</v>
      </c>
      <c r="L41" s="416">
        <f t="shared" si="31"/>
        <v>4513</v>
      </c>
      <c r="M41" s="522"/>
      <c r="N41" s="529">
        <f t="shared" si="32"/>
        <v>1.0120000000000001E-2</v>
      </c>
      <c r="O41" s="533" t="e">
        <f>#REF!</f>
        <v>#REF!</v>
      </c>
      <c r="P41" s="534">
        <f>+'May - Oct Capacity MSC by Class'!H35</f>
        <v>0.08</v>
      </c>
      <c r="Q41" s="536">
        <f t="shared" si="33"/>
        <v>60810</v>
      </c>
      <c r="R41" s="536">
        <f t="shared" si="33"/>
        <v>1687</v>
      </c>
      <c r="S41" s="416" t="e">
        <f t="shared" si="34"/>
        <v>#REF!</v>
      </c>
      <c r="T41" s="416">
        <f t="shared" si="34"/>
        <v>135</v>
      </c>
      <c r="U41" s="416" t="e">
        <f t="shared" si="35"/>
        <v>#REF!</v>
      </c>
      <c r="V41" s="416">
        <f t="shared" si="36"/>
        <v>615</v>
      </c>
      <c r="X41" s="522" t="s">
        <v>533</v>
      </c>
      <c r="Y41" s="532" t="e">
        <f t="shared" si="37"/>
        <v>#REF!</v>
      </c>
      <c r="Z41" s="532">
        <f t="shared" si="37"/>
        <v>1125</v>
      </c>
      <c r="AA41" s="532" t="e">
        <f t="shared" si="13"/>
        <v>#REF!</v>
      </c>
      <c r="AB41" s="532">
        <f t="shared" si="38"/>
        <v>5128</v>
      </c>
      <c r="AC41" s="532"/>
    </row>
    <row r="42" spans="1:29" x14ac:dyDescent="0.25">
      <c r="A42" s="493" t="s">
        <v>534</v>
      </c>
      <c r="B42" s="529">
        <f t="shared" si="14"/>
        <v>1.0120000000000001E-2</v>
      </c>
      <c r="C42" s="533" t="e">
        <f>#REF!</f>
        <v>#REF!</v>
      </c>
      <c r="D42" s="522"/>
      <c r="E42" s="530">
        <f>+'Forecasted TOD kWh by Period'!B25</f>
        <v>575817</v>
      </c>
      <c r="F42" s="522"/>
      <c r="G42" s="476">
        <f>ROUND(E42*0.88,0)</f>
        <v>506719</v>
      </c>
      <c r="H42" s="476"/>
      <c r="I42" s="416" t="e">
        <f t="shared" si="29"/>
        <v>#REF!</v>
      </c>
      <c r="J42" s="416">
        <f t="shared" si="29"/>
        <v>0</v>
      </c>
      <c r="K42" s="416" t="e">
        <f t="shared" si="30"/>
        <v>#REF!</v>
      </c>
      <c r="L42" s="416">
        <f t="shared" si="31"/>
        <v>5128</v>
      </c>
      <c r="M42" s="522"/>
      <c r="N42" s="529">
        <f t="shared" si="32"/>
        <v>1.0120000000000001E-2</v>
      </c>
      <c r="O42" s="533" t="e">
        <f>#REF!</f>
        <v>#REF!</v>
      </c>
      <c r="P42" s="522"/>
      <c r="Q42" s="536">
        <f t="shared" si="33"/>
        <v>69098</v>
      </c>
      <c r="R42" s="434"/>
      <c r="S42" s="416" t="e">
        <f t="shared" si="34"/>
        <v>#REF!</v>
      </c>
      <c r="T42" s="416">
        <f t="shared" si="34"/>
        <v>0</v>
      </c>
      <c r="U42" s="416" t="e">
        <f t="shared" si="35"/>
        <v>#REF!</v>
      </c>
      <c r="V42" s="416">
        <f t="shared" si="36"/>
        <v>699</v>
      </c>
      <c r="X42" s="522" t="s">
        <v>534</v>
      </c>
      <c r="Y42" s="532" t="e">
        <f t="shared" si="37"/>
        <v>#REF!</v>
      </c>
      <c r="Z42" s="532">
        <f t="shared" si="37"/>
        <v>0</v>
      </c>
      <c r="AA42" s="532" t="e">
        <f t="shared" si="13"/>
        <v>#REF!</v>
      </c>
      <c r="AB42" s="532">
        <f t="shared" si="38"/>
        <v>5827</v>
      </c>
      <c r="AC42" s="532"/>
    </row>
    <row r="43" spans="1:29" x14ac:dyDescent="0.25">
      <c r="A43" s="493"/>
      <c r="B43" s="522"/>
      <c r="C43" s="522"/>
      <c r="D43" s="522"/>
      <c r="E43" s="522"/>
      <c r="F43" s="522"/>
      <c r="G43" s="522"/>
      <c r="H43" s="522"/>
      <c r="I43" s="522"/>
      <c r="J43" s="522"/>
      <c r="K43" s="522"/>
      <c r="L43" s="522"/>
      <c r="M43" s="522"/>
      <c r="O43" s="522"/>
      <c r="P43" s="522"/>
      <c r="S43" s="522"/>
      <c r="T43" s="522"/>
      <c r="U43" s="522"/>
      <c r="V43" s="522"/>
      <c r="X43" s="522"/>
      <c r="Y43" s="532"/>
      <c r="Z43" s="532"/>
      <c r="AA43" s="532"/>
      <c r="AB43" s="532"/>
      <c r="AC43" s="532"/>
    </row>
    <row r="44" spans="1:29" x14ac:dyDescent="0.25">
      <c r="A44" s="493" t="s">
        <v>162</v>
      </c>
      <c r="B44" s="522"/>
      <c r="C44" s="522"/>
      <c r="D44" s="522"/>
      <c r="E44" s="522"/>
      <c r="F44" s="522"/>
      <c r="G44" s="537">
        <f>SUM(G8:G19)+SUM(G21:G24)+SUM(G26:G31)+SUM(G33:G42)</f>
        <v>3799637023</v>
      </c>
      <c r="H44" s="522"/>
      <c r="I44" s="532" t="e">
        <f>SUM(I8:I43)</f>
        <v>#REF!</v>
      </c>
      <c r="J44" s="537">
        <f>SUM(J8:J19)+SUM(J21:J24)+SUM(J26:J31)+SUM(J33:J42)</f>
        <v>54086867</v>
      </c>
      <c r="K44" s="532" t="e">
        <f>SUM(K8:K43)</f>
        <v>#REF!</v>
      </c>
      <c r="L44" s="537">
        <f>SUM(L8:L19)+SUM(L21:L24)+SUM(L26:L31)+SUM(L33:L42)</f>
        <v>38452327</v>
      </c>
      <c r="M44" s="522"/>
      <c r="Q44" s="537">
        <f>SUM(Q8:Q19)+SUM(Q21:Q24)+SUM(Q26:Q31)+SUM(Q33:Q42)</f>
        <v>518132321</v>
      </c>
      <c r="S44" s="532" t="e">
        <f>SUM(S8:S43)</f>
        <v>#REF!</v>
      </c>
      <c r="T44" s="537">
        <f>SUM(T8:T19)+SUM(T21:T24)+SUM(T26:T31)+SUM(T33:T42)</f>
        <v>6033296</v>
      </c>
      <c r="U44" s="532" t="e">
        <f>SUM(U8:U43)</f>
        <v>#REF!</v>
      </c>
      <c r="V44" s="537">
        <f>SUM(V8:V19)+SUM(V21:V24)+SUM(V26:V31)+SUM(V33:V42)</f>
        <v>5243497</v>
      </c>
      <c r="X44" s="522" t="s">
        <v>162</v>
      </c>
      <c r="Y44" s="532" t="e">
        <f>I44+S44</f>
        <v>#REF!</v>
      </c>
      <c r="Z44" s="532">
        <f>J44+T44</f>
        <v>60120163</v>
      </c>
      <c r="AA44" s="532" t="e">
        <f t="shared" si="13"/>
        <v>#REF!</v>
      </c>
      <c r="AB44" s="532">
        <f>L44+V44</f>
        <v>43695824</v>
      </c>
      <c r="AC44" s="532"/>
    </row>
    <row r="45" spans="1:29" x14ac:dyDescent="0.25">
      <c r="A45" s="493"/>
      <c r="B45" s="522"/>
      <c r="C45" s="522"/>
      <c r="D45" s="522"/>
      <c r="E45" s="522"/>
      <c r="F45" s="522"/>
      <c r="G45" s="522"/>
      <c r="H45" s="522"/>
      <c r="I45" s="522"/>
      <c r="J45" s="522"/>
      <c r="K45" s="522"/>
      <c r="L45" s="522"/>
      <c r="M45" s="522"/>
      <c r="AB45" s="416"/>
    </row>
    <row r="46" spans="1:29" x14ac:dyDescent="0.25">
      <c r="A46" s="493"/>
      <c r="B46" s="522"/>
      <c r="C46" s="522"/>
      <c r="D46" s="522"/>
      <c r="E46" s="522"/>
      <c r="F46" s="522"/>
      <c r="G46" s="522"/>
      <c r="H46" s="522"/>
      <c r="I46" s="522"/>
      <c r="J46" s="522"/>
      <c r="K46" s="522"/>
      <c r="L46" s="522"/>
      <c r="M46" s="522"/>
    </row>
    <row r="47" spans="1:29" x14ac:dyDescent="0.25">
      <c r="A47" s="493"/>
      <c r="B47" s="522"/>
      <c r="C47" s="522"/>
      <c r="D47" s="522"/>
      <c r="E47" s="476"/>
      <c r="F47" s="522"/>
      <c r="G47" s="522"/>
      <c r="H47" s="522"/>
      <c r="I47" s="522"/>
      <c r="J47" s="522"/>
      <c r="K47" s="522"/>
      <c r="L47" s="522"/>
      <c r="M47" s="522"/>
    </row>
    <row r="48" spans="1:29" x14ac:dyDescent="0.25">
      <c r="A48" s="493"/>
      <c r="B48" s="522"/>
      <c r="C48" s="522"/>
      <c r="D48" s="522"/>
      <c r="E48" s="476"/>
      <c r="F48" s="522"/>
      <c r="G48" s="522"/>
      <c r="H48" s="522"/>
      <c r="I48" s="522"/>
      <c r="J48" s="522"/>
      <c r="K48" s="522"/>
      <c r="L48" s="522"/>
      <c r="M48" s="522"/>
    </row>
    <row r="49" spans="1:13" x14ac:dyDescent="0.25">
      <c r="A49" s="493"/>
      <c r="B49" s="522"/>
      <c r="C49" s="522"/>
      <c r="D49" s="522"/>
      <c r="E49" s="476"/>
      <c r="F49" s="522"/>
      <c r="G49" s="522"/>
      <c r="H49" s="522"/>
      <c r="I49" s="522"/>
      <c r="J49" s="522"/>
      <c r="K49" s="522"/>
      <c r="L49" s="522"/>
      <c r="M49" s="522"/>
    </row>
    <row r="50" spans="1:13" x14ac:dyDescent="0.25">
      <c r="A50" s="493"/>
      <c r="B50" s="522"/>
      <c r="C50" s="522"/>
      <c r="D50" s="522"/>
      <c r="E50" s="476"/>
      <c r="F50" s="522"/>
      <c r="G50" s="522"/>
      <c r="H50" s="522"/>
      <c r="I50" s="522"/>
      <c r="J50" s="522"/>
      <c r="K50" s="522"/>
      <c r="L50" s="522"/>
      <c r="M50" s="522"/>
    </row>
    <row r="51" spans="1:13" x14ac:dyDescent="0.25">
      <c r="A51" s="493"/>
      <c r="B51" s="522"/>
      <c r="C51" s="522"/>
      <c r="D51" s="522"/>
      <c r="E51" s="476"/>
      <c r="F51" s="522"/>
      <c r="G51" s="522"/>
      <c r="H51" s="522"/>
      <c r="I51" s="522"/>
      <c r="J51" s="522"/>
      <c r="K51" s="522"/>
      <c r="L51" s="522"/>
      <c r="M51" s="522"/>
    </row>
    <row r="52" spans="1:13" x14ac:dyDescent="0.25">
      <c r="A52" s="493"/>
      <c r="B52" s="522"/>
      <c r="C52" s="522"/>
      <c r="D52" s="522"/>
      <c r="E52" s="476"/>
      <c r="F52" s="522"/>
      <c r="G52" s="522"/>
      <c r="H52" s="522"/>
      <c r="I52" s="522"/>
      <c r="J52" s="522"/>
      <c r="K52" s="522"/>
      <c r="L52" s="522"/>
      <c r="M52" s="522"/>
    </row>
    <row r="53" spans="1:13" x14ac:dyDescent="0.25">
      <c r="A53" s="493"/>
      <c r="B53" s="522"/>
      <c r="C53" s="522"/>
      <c r="D53" s="522"/>
      <c r="E53" s="476"/>
      <c r="F53" s="522"/>
      <c r="G53" s="522"/>
      <c r="H53" s="522"/>
      <c r="I53" s="522"/>
      <c r="J53" s="522"/>
      <c r="K53" s="522"/>
      <c r="L53" s="522"/>
      <c r="M53" s="522"/>
    </row>
    <row r="54" spans="1:13" x14ac:dyDescent="0.25">
      <c r="A54" s="493"/>
      <c r="B54" s="522"/>
      <c r="C54" s="522"/>
      <c r="D54" s="522"/>
      <c r="E54" s="476"/>
      <c r="F54" s="522"/>
      <c r="G54" s="522"/>
      <c r="H54" s="522"/>
      <c r="I54" s="522"/>
      <c r="J54" s="522"/>
      <c r="K54" s="522"/>
      <c r="L54" s="522"/>
      <c r="M54" s="522"/>
    </row>
    <row r="55" spans="1:13" x14ac:dyDescent="0.25">
      <c r="A55" s="493"/>
      <c r="B55" s="522"/>
      <c r="C55" s="522"/>
      <c r="D55" s="522"/>
      <c r="E55" s="476"/>
      <c r="F55" s="522"/>
      <c r="G55" s="522"/>
      <c r="H55" s="522"/>
      <c r="I55" s="522"/>
      <c r="J55" s="522"/>
      <c r="K55" s="522"/>
      <c r="L55" s="522"/>
      <c r="M55" s="522"/>
    </row>
    <row r="56" spans="1:13" x14ac:dyDescent="0.25">
      <c r="A56" s="493"/>
      <c r="B56" s="522"/>
      <c r="C56" s="522"/>
      <c r="D56" s="522"/>
      <c r="E56" s="476"/>
      <c r="F56" s="522"/>
      <c r="G56" s="522"/>
      <c r="H56" s="522"/>
      <c r="I56" s="522"/>
      <c r="J56" s="522"/>
      <c r="K56" s="522"/>
      <c r="L56" s="522"/>
      <c r="M56" s="522"/>
    </row>
    <row r="57" spans="1:13" x14ac:dyDescent="0.25">
      <c r="A57" s="493"/>
      <c r="B57" s="522"/>
      <c r="C57" s="522"/>
      <c r="D57" s="522"/>
      <c r="E57" s="476"/>
      <c r="F57" s="522"/>
      <c r="G57" s="522"/>
      <c r="H57" s="522"/>
      <c r="I57" s="522"/>
      <c r="J57" s="522"/>
      <c r="K57" s="522"/>
      <c r="L57" s="522"/>
      <c r="M57" s="522"/>
    </row>
    <row r="58" spans="1:13" x14ac:dyDescent="0.25">
      <c r="A58" s="493"/>
      <c r="B58" s="522"/>
      <c r="C58" s="522"/>
      <c r="D58" s="522"/>
      <c r="E58" s="476"/>
      <c r="F58" s="522"/>
      <c r="G58" s="522"/>
      <c r="H58" s="522"/>
      <c r="I58" s="522"/>
      <c r="J58" s="522"/>
      <c r="K58" s="522"/>
      <c r="L58" s="522"/>
      <c r="M58" s="522"/>
    </row>
    <row r="59" spans="1:13" x14ac:dyDescent="0.25">
      <c r="A59" s="493"/>
      <c r="B59" s="522"/>
      <c r="C59" s="522"/>
      <c r="D59" s="522"/>
      <c r="E59" s="476"/>
      <c r="F59" s="522"/>
      <c r="G59" s="522"/>
      <c r="H59" s="522"/>
      <c r="I59" s="522"/>
      <c r="J59" s="522"/>
      <c r="K59" s="522"/>
      <c r="L59" s="522"/>
      <c r="M59" s="522"/>
    </row>
    <row r="60" spans="1:13" x14ac:dyDescent="0.25">
      <c r="A60" s="493"/>
      <c r="B60" s="522"/>
      <c r="C60" s="522"/>
      <c r="D60" s="522"/>
      <c r="E60" s="476"/>
      <c r="F60" s="522"/>
      <c r="G60" s="522"/>
      <c r="H60" s="522"/>
      <c r="I60" s="522"/>
      <c r="J60" s="522"/>
      <c r="K60" s="522"/>
      <c r="L60" s="522"/>
      <c r="M60" s="522"/>
    </row>
    <row r="61" spans="1:13" x14ac:dyDescent="0.25">
      <c r="A61" s="493"/>
      <c r="B61" s="522"/>
      <c r="C61" s="522"/>
      <c r="D61" s="522"/>
      <c r="E61" s="476"/>
      <c r="F61" s="522"/>
      <c r="G61" s="522"/>
      <c r="H61" s="522"/>
      <c r="I61" s="522"/>
      <c r="J61" s="522"/>
      <c r="K61" s="522"/>
      <c r="L61" s="522"/>
      <c r="M61" s="522"/>
    </row>
    <row r="62" spans="1:13" x14ac:dyDescent="0.25">
      <c r="A62" s="493"/>
      <c r="B62" s="522"/>
      <c r="C62" s="522"/>
      <c r="D62" s="522"/>
      <c r="E62" s="476"/>
      <c r="F62" s="522"/>
      <c r="G62" s="522"/>
      <c r="H62" s="522"/>
      <c r="I62" s="522"/>
      <c r="J62" s="522"/>
      <c r="K62" s="522"/>
      <c r="L62" s="522"/>
      <c r="M62" s="522"/>
    </row>
    <row r="63" spans="1:13" x14ac:dyDescent="0.25">
      <c r="A63" s="493"/>
      <c r="B63" s="522"/>
      <c r="C63" s="522"/>
      <c r="D63" s="522"/>
      <c r="E63" s="476"/>
      <c r="F63" s="522"/>
      <c r="G63" s="522"/>
      <c r="H63" s="522"/>
      <c r="I63" s="522"/>
      <c r="J63" s="522"/>
      <c r="K63" s="522"/>
      <c r="L63" s="522"/>
      <c r="M63" s="522"/>
    </row>
    <row r="64" spans="1:13" x14ac:dyDescent="0.25">
      <c r="A64" s="493"/>
      <c r="B64" s="522"/>
      <c r="C64" s="522"/>
      <c r="D64" s="522"/>
      <c r="E64" s="476"/>
      <c r="F64" s="522"/>
      <c r="G64" s="522"/>
      <c r="H64" s="522"/>
      <c r="I64" s="522"/>
      <c r="J64" s="522"/>
      <c r="K64" s="522"/>
      <c r="L64" s="522"/>
      <c r="M64" s="522"/>
    </row>
    <row r="65" spans="1:13" x14ac:dyDescent="0.25">
      <c r="A65" s="493"/>
      <c r="B65" s="522"/>
      <c r="C65" s="522"/>
      <c r="D65" s="522"/>
      <c r="E65" s="476"/>
      <c r="F65" s="522"/>
      <c r="G65" s="522"/>
      <c r="H65" s="522"/>
      <c r="I65" s="522"/>
      <c r="J65" s="522"/>
      <c r="K65" s="522"/>
      <c r="L65" s="522"/>
      <c r="M65" s="522"/>
    </row>
    <row r="66" spans="1:13" x14ac:dyDescent="0.25">
      <c r="A66" s="493"/>
      <c r="B66" s="522"/>
      <c r="C66" s="522"/>
      <c r="D66" s="522"/>
      <c r="E66" s="476"/>
      <c r="F66" s="522"/>
      <c r="G66" s="522"/>
      <c r="H66" s="522"/>
      <c r="I66" s="522"/>
      <c r="J66" s="522"/>
      <c r="K66" s="522"/>
      <c r="L66" s="522"/>
      <c r="M66" s="522"/>
    </row>
    <row r="67" spans="1:13" x14ac:dyDescent="0.25">
      <c r="A67" s="493"/>
      <c r="B67" s="522"/>
      <c r="C67" s="522"/>
      <c r="D67" s="522"/>
      <c r="E67" s="476"/>
      <c r="F67" s="522"/>
      <c r="G67" s="522"/>
      <c r="H67" s="522"/>
      <c r="I67" s="522"/>
      <c r="J67" s="522"/>
      <c r="K67" s="522"/>
      <c r="L67" s="522"/>
      <c r="M67" s="522"/>
    </row>
    <row r="68" spans="1:13" x14ac:dyDescent="0.25">
      <c r="A68" s="493"/>
      <c r="B68" s="522"/>
      <c r="C68" s="522"/>
      <c r="D68" s="522"/>
      <c r="E68" s="476"/>
      <c r="F68" s="522"/>
      <c r="G68" s="522"/>
      <c r="H68" s="522"/>
      <c r="I68" s="522"/>
      <c r="J68" s="522"/>
      <c r="K68" s="522"/>
      <c r="L68" s="522"/>
      <c r="M68" s="522"/>
    </row>
    <row r="69" spans="1:13" x14ac:dyDescent="0.25">
      <c r="A69" s="493"/>
      <c r="B69" s="522"/>
      <c r="C69" s="522"/>
      <c r="D69" s="522"/>
      <c r="E69" s="476"/>
      <c r="F69" s="522"/>
      <c r="G69" s="522"/>
      <c r="H69" s="522"/>
      <c r="I69" s="522"/>
      <c r="J69" s="522"/>
      <c r="K69" s="522"/>
      <c r="L69" s="522"/>
      <c r="M69" s="522"/>
    </row>
    <row r="70" spans="1:13" x14ac:dyDescent="0.25">
      <c r="A70" s="493"/>
      <c r="B70" s="522"/>
      <c r="C70" s="522"/>
      <c r="D70" s="522"/>
      <c r="E70" s="476"/>
      <c r="F70" s="522"/>
      <c r="G70" s="522"/>
      <c r="H70" s="522"/>
      <c r="I70" s="522"/>
      <c r="J70" s="522"/>
      <c r="K70" s="522"/>
      <c r="L70" s="522"/>
      <c r="M70" s="522"/>
    </row>
    <row r="71" spans="1:13" x14ac:dyDescent="0.25">
      <c r="A71" s="493"/>
      <c r="B71" s="522"/>
      <c r="C71" s="522"/>
      <c r="D71" s="522"/>
      <c r="E71" s="476"/>
      <c r="F71" s="522"/>
      <c r="G71" s="522"/>
      <c r="H71" s="522"/>
      <c r="I71" s="522"/>
      <c r="J71" s="522"/>
      <c r="K71" s="522"/>
      <c r="L71" s="522"/>
      <c r="M71" s="522"/>
    </row>
    <row r="72" spans="1:13" x14ac:dyDescent="0.25">
      <c r="A72" s="493"/>
      <c r="B72" s="522"/>
      <c r="C72" s="522"/>
      <c r="D72" s="522"/>
      <c r="E72" s="476"/>
      <c r="F72" s="522"/>
      <c r="G72" s="522"/>
      <c r="H72" s="522"/>
      <c r="I72" s="522"/>
      <c r="J72" s="522"/>
      <c r="K72" s="522"/>
      <c r="L72" s="522"/>
      <c r="M72" s="522"/>
    </row>
    <row r="73" spans="1:13" x14ac:dyDescent="0.25">
      <c r="A73" s="493"/>
      <c r="B73" s="522"/>
      <c r="C73" s="522"/>
      <c r="D73" s="522"/>
      <c r="E73" s="476"/>
      <c r="F73" s="522"/>
      <c r="G73" s="522"/>
      <c r="H73" s="522"/>
      <c r="I73" s="522"/>
      <c r="J73" s="522"/>
      <c r="K73" s="522"/>
      <c r="L73" s="522"/>
      <c r="M73" s="522"/>
    </row>
    <row r="74" spans="1:13" x14ac:dyDescent="0.25">
      <c r="A74" s="493"/>
      <c r="B74" s="522"/>
      <c r="C74" s="522"/>
      <c r="D74" s="522"/>
      <c r="E74" s="476"/>
      <c r="F74" s="522"/>
      <c r="G74" s="522"/>
      <c r="H74" s="522"/>
      <c r="I74" s="522"/>
      <c r="J74" s="522"/>
      <c r="K74" s="522"/>
      <c r="L74" s="522"/>
      <c r="M74" s="522"/>
    </row>
    <row r="75" spans="1:13" x14ac:dyDescent="0.25">
      <c r="A75" s="493"/>
      <c r="B75" s="522"/>
      <c r="C75" s="522"/>
      <c r="D75" s="522"/>
      <c r="E75" s="476"/>
      <c r="F75" s="522"/>
      <c r="G75" s="522"/>
      <c r="H75" s="522"/>
      <c r="I75" s="522"/>
      <c r="J75" s="522"/>
      <c r="K75" s="522"/>
      <c r="L75" s="522"/>
      <c r="M75" s="522"/>
    </row>
    <row r="76" spans="1:13" x14ac:dyDescent="0.25">
      <c r="A76" s="493"/>
      <c r="B76" s="522"/>
      <c r="C76" s="522"/>
      <c r="D76" s="522"/>
      <c r="E76" s="476"/>
      <c r="F76" s="522"/>
      <c r="G76" s="522"/>
      <c r="H76" s="522"/>
      <c r="I76" s="522"/>
      <c r="J76" s="522"/>
      <c r="K76" s="522"/>
      <c r="L76" s="522"/>
      <c r="M76" s="522"/>
    </row>
    <row r="77" spans="1:13" x14ac:dyDescent="0.25">
      <c r="A77" s="493"/>
      <c r="B77" s="522"/>
      <c r="C77" s="522"/>
      <c r="D77" s="522"/>
      <c r="E77" s="476"/>
      <c r="F77" s="522"/>
      <c r="G77" s="522"/>
      <c r="H77" s="522"/>
      <c r="I77" s="522"/>
      <c r="J77" s="522"/>
      <c r="K77" s="522"/>
      <c r="L77" s="522"/>
      <c r="M77" s="522"/>
    </row>
    <row r="78" spans="1:13" x14ac:dyDescent="0.25">
      <c r="A78" s="493"/>
      <c r="B78" s="522"/>
      <c r="C78" s="522"/>
      <c r="D78" s="522"/>
      <c r="E78" s="476"/>
      <c r="F78" s="522"/>
      <c r="G78" s="522"/>
      <c r="H78" s="522"/>
      <c r="I78" s="522"/>
      <c r="J78" s="522"/>
      <c r="K78" s="522"/>
      <c r="L78" s="522"/>
      <c r="M78" s="522"/>
    </row>
    <row r="79" spans="1:13" x14ac:dyDescent="0.25">
      <c r="A79" s="493"/>
      <c r="B79" s="522"/>
      <c r="C79" s="522"/>
      <c r="D79" s="522"/>
      <c r="E79" s="476"/>
      <c r="F79" s="522"/>
      <c r="G79" s="522"/>
      <c r="H79" s="522"/>
      <c r="I79" s="522"/>
      <c r="J79" s="522"/>
      <c r="K79" s="522"/>
      <c r="L79" s="522"/>
      <c r="M79" s="522"/>
    </row>
    <row r="80" spans="1:13" x14ac:dyDescent="0.25">
      <c r="A80" s="493"/>
      <c r="B80" s="522"/>
      <c r="C80" s="522"/>
      <c r="D80" s="522"/>
      <c r="E80" s="476"/>
      <c r="F80" s="522"/>
      <c r="G80" s="522"/>
      <c r="H80" s="522"/>
      <c r="I80" s="522"/>
      <c r="J80" s="522"/>
      <c r="K80" s="522"/>
      <c r="L80" s="522"/>
      <c r="M80" s="522"/>
    </row>
    <row r="81" spans="1:13" x14ac:dyDescent="0.25">
      <c r="A81" s="493"/>
      <c r="B81" s="522"/>
      <c r="C81" s="522"/>
      <c r="D81" s="522"/>
      <c r="E81" s="476"/>
      <c r="F81" s="522"/>
      <c r="G81" s="522"/>
      <c r="H81" s="522"/>
      <c r="I81" s="522"/>
      <c r="J81" s="522"/>
      <c r="K81" s="522"/>
      <c r="L81" s="522"/>
      <c r="M81" s="522"/>
    </row>
    <row r="82" spans="1:13" x14ac:dyDescent="0.25">
      <c r="A82" s="493"/>
      <c r="B82" s="522"/>
      <c r="C82" s="522"/>
      <c r="D82" s="522"/>
      <c r="E82" s="522"/>
      <c r="F82" s="522"/>
      <c r="G82" s="522"/>
      <c r="H82" s="522"/>
      <c r="I82" s="522"/>
      <c r="J82" s="522"/>
      <c r="K82" s="522"/>
      <c r="L82" s="522"/>
      <c r="M82" s="522"/>
    </row>
    <row r="83" spans="1:13" x14ac:dyDescent="0.25">
      <c r="A83" s="493"/>
      <c r="B83" s="522"/>
      <c r="C83" s="522"/>
      <c r="D83" s="522"/>
      <c r="E83" s="522"/>
      <c r="F83" s="522"/>
      <c r="G83" s="522"/>
      <c r="H83" s="522"/>
      <c r="I83" s="522"/>
      <c r="J83" s="522"/>
      <c r="K83" s="522"/>
      <c r="L83" s="522"/>
      <c r="M83" s="522"/>
    </row>
    <row r="84" spans="1:13" x14ac:dyDescent="0.25">
      <c r="A84" s="493"/>
      <c r="B84" s="522"/>
      <c r="C84" s="522"/>
      <c r="D84" s="522"/>
      <c r="E84" s="522"/>
      <c r="F84" s="522"/>
      <c r="G84" s="522"/>
      <c r="H84" s="522"/>
      <c r="I84" s="522"/>
      <c r="J84" s="522"/>
      <c r="K84" s="522"/>
      <c r="L84" s="522"/>
      <c r="M84" s="522"/>
    </row>
    <row r="85" spans="1:13" x14ac:dyDescent="0.25">
      <c r="A85" s="493"/>
      <c r="B85" s="522"/>
      <c r="C85" s="522"/>
      <c r="D85" s="522"/>
      <c r="E85" s="522"/>
      <c r="F85" s="522"/>
      <c r="G85" s="522"/>
      <c r="H85" s="522"/>
      <c r="I85" s="522"/>
      <c r="J85" s="522"/>
      <c r="K85" s="522"/>
      <c r="L85" s="522"/>
      <c r="M85" s="522"/>
    </row>
    <row r="86" spans="1:13" x14ac:dyDescent="0.25">
      <c r="A86" s="493"/>
      <c r="B86" s="522"/>
      <c r="C86" s="522"/>
      <c r="D86" s="522"/>
      <c r="E86" s="522"/>
      <c r="F86" s="522"/>
      <c r="G86" s="522"/>
      <c r="H86" s="522"/>
      <c r="I86" s="522"/>
      <c r="J86" s="522"/>
      <c r="K86" s="522"/>
      <c r="L86" s="522"/>
      <c r="M86" s="522"/>
    </row>
    <row r="87" spans="1:13" x14ac:dyDescent="0.25">
      <c r="A87" s="493"/>
      <c r="B87" s="522"/>
      <c r="C87" s="522"/>
      <c r="D87" s="522"/>
      <c r="E87" s="522"/>
      <c r="F87" s="522"/>
      <c r="G87" s="522"/>
      <c r="H87" s="522"/>
      <c r="I87" s="522"/>
      <c r="J87" s="522"/>
      <c r="K87" s="522"/>
      <c r="L87" s="522"/>
      <c r="M87" s="522"/>
    </row>
    <row r="88" spans="1:13" x14ac:dyDescent="0.25">
      <c r="A88" s="493"/>
      <c r="B88" s="522"/>
      <c r="C88" s="522"/>
      <c r="D88" s="522"/>
      <c r="E88" s="522"/>
      <c r="F88" s="522"/>
      <c r="G88" s="522"/>
      <c r="H88" s="522"/>
      <c r="I88" s="522"/>
      <c r="J88" s="522"/>
      <c r="K88" s="522"/>
      <c r="L88" s="522"/>
      <c r="M88" s="522"/>
    </row>
    <row r="89" spans="1:13" x14ac:dyDescent="0.25">
      <c r="A89" s="493"/>
      <c r="B89" s="522"/>
      <c r="C89" s="522"/>
      <c r="D89" s="522"/>
      <c r="E89" s="522"/>
      <c r="F89" s="522"/>
      <c r="G89" s="522"/>
      <c r="H89" s="522"/>
      <c r="I89" s="522"/>
      <c r="J89" s="522"/>
      <c r="K89" s="522"/>
      <c r="L89" s="522"/>
      <c r="M89" s="522"/>
    </row>
    <row r="90" spans="1:13" x14ac:dyDescent="0.25">
      <c r="A90" s="493"/>
      <c r="B90" s="522"/>
      <c r="C90" s="522"/>
      <c r="D90" s="522"/>
      <c r="E90" s="522"/>
      <c r="F90" s="522"/>
      <c r="G90" s="522"/>
      <c r="H90" s="522"/>
      <c r="I90" s="522"/>
      <c r="J90" s="522"/>
      <c r="K90" s="522"/>
      <c r="L90" s="522"/>
      <c r="M90" s="522"/>
    </row>
    <row r="91" spans="1:13" x14ac:dyDescent="0.25">
      <c r="A91" s="493"/>
      <c r="B91" s="522"/>
      <c r="C91" s="522"/>
      <c r="D91" s="522"/>
      <c r="E91" s="522"/>
      <c r="F91" s="522"/>
      <c r="G91" s="522"/>
      <c r="H91" s="522"/>
      <c r="I91" s="522"/>
      <c r="J91" s="522"/>
      <c r="K91" s="522"/>
      <c r="L91" s="522"/>
      <c r="M91" s="522"/>
    </row>
    <row r="92" spans="1:13" x14ac:dyDescent="0.25">
      <c r="A92" s="493"/>
      <c r="B92" s="522"/>
      <c r="C92" s="522"/>
      <c r="D92" s="522"/>
      <c r="E92" s="522"/>
      <c r="F92" s="522"/>
      <c r="G92" s="522"/>
      <c r="H92" s="522"/>
      <c r="I92" s="522"/>
      <c r="J92" s="522"/>
      <c r="K92" s="522"/>
      <c r="L92" s="522"/>
      <c r="M92" s="522"/>
    </row>
    <row r="93" spans="1:13" x14ac:dyDescent="0.25">
      <c r="A93" s="493"/>
      <c r="B93" s="522"/>
      <c r="C93" s="522"/>
      <c r="D93" s="522"/>
      <c r="E93" s="522"/>
      <c r="F93" s="522"/>
      <c r="G93" s="522"/>
      <c r="H93" s="522"/>
      <c r="I93" s="522"/>
      <c r="J93" s="522"/>
      <c r="K93" s="522"/>
      <c r="L93" s="522"/>
      <c r="M93" s="522"/>
    </row>
    <row r="94" spans="1:13" x14ac:dyDescent="0.25">
      <c r="A94" s="493"/>
      <c r="B94" s="522"/>
      <c r="C94" s="522"/>
      <c r="D94" s="522"/>
      <c r="E94" s="522"/>
      <c r="F94" s="522"/>
      <c r="G94" s="522"/>
      <c r="H94" s="522"/>
      <c r="I94" s="522"/>
      <c r="J94" s="522"/>
      <c r="K94" s="522"/>
      <c r="L94" s="522"/>
      <c r="M94" s="522"/>
    </row>
    <row r="95" spans="1:13" x14ac:dyDescent="0.25">
      <c r="A95" s="493"/>
      <c r="B95" s="522"/>
      <c r="C95" s="522"/>
      <c r="D95" s="522"/>
      <c r="E95" s="522"/>
      <c r="F95" s="522"/>
      <c r="G95" s="522"/>
      <c r="H95" s="522"/>
      <c r="I95" s="522"/>
      <c r="J95" s="522"/>
      <c r="K95" s="522"/>
      <c r="L95" s="522"/>
      <c r="M95" s="522"/>
    </row>
    <row r="96" spans="1:13" x14ac:dyDescent="0.25">
      <c r="A96" s="493"/>
      <c r="B96" s="522"/>
      <c r="C96" s="522"/>
      <c r="D96" s="522"/>
      <c r="E96" s="522"/>
      <c r="F96" s="522"/>
      <c r="G96" s="522"/>
      <c r="H96" s="522"/>
      <c r="I96" s="522"/>
      <c r="J96" s="522"/>
      <c r="K96" s="522"/>
      <c r="L96" s="522"/>
      <c r="M96" s="522"/>
    </row>
    <row r="97" spans="1:13" x14ac:dyDescent="0.25">
      <c r="A97" s="493"/>
      <c r="B97" s="522"/>
      <c r="C97" s="522"/>
      <c r="D97" s="522"/>
      <c r="E97" s="522"/>
      <c r="F97" s="522"/>
      <c r="G97" s="522"/>
      <c r="H97" s="522"/>
      <c r="I97" s="522"/>
      <c r="J97" s="522"/>
      <c r="K97" s="522"/>
      <c r="L97" s="522"/>
      <c r="M97" s="522"/>
    </row>
    <row r="98" spans="1:13" x14ac:dyDescent="0.25">
      <c r="A98" s="493"/>
      <c r="B98" s="522"/>
      <c r="C98" s="522"/>
      <c r="D98" s="522"/>
      <c r="E98" s="522"/>
      <c r="F98" s="522"/>
      <c r="G98" s="522"/>
      <c r="H98" s="522"/>
      <c r="I98" s="522"/>
      <c r="J98" s="522"/>
      <c r="K98" s="522"/>
      <c r="L98" s="522"/>
      <c r="M98" s="522"/>
    </row>
    <row r="99" spans="1:13" x14ac:dyDescent="0.25">
      <c r="A99" s="493"/>
      <c r="B99" s="522"/>
      <c r="C99" s="522"/>
      <c r="D99" s="522"/>
      <c r="E99" s="522"/>
      <c r="F99" s="522"/>
      <c r="G99" s="522"/>
      <c r="H99" s="522"/>
      <c r="I99" s="522"/>
      <c r="J99" s="522"/>
      <c r="K99" s="522"/>
      <c r="L99" s="522"/>
      <c r="M99" s="522"/>
    </row>
    <row r="100" spans="1:13" x14ac:dyDescent="0.25">
      <c r="A100" s="493"/>
      <c r="B100" s="522"/>
      <c r="C100" s="522"/>
      <c r="D100" s="522"/>
      <c r="E100" s="522"/>
      <c r="F100" s="522"/>
      <c r="G100" s="522"/>
      <c r="H100" s="522"/>
      <c r="I100" s="522"/>
      <c r="J100" s="522"/>
      <c r="K100" s="522"/>
      <c r="L100" s="522"/>
      <c r="M100" s="522"/>
    </row>
    <row r="101" spans="1:13" x14ac:dyDescent="0.25">
      <c r="A101" s="493"/>
      <c r="B101" s="522"/>
      <c r="C101" s="522"/>
      <c r="D101" s="522"/>
      <c r="E101" s="522"/>
      <c r="F101" s="522"/>
      <c r="G101" s="522"/>
      <c r="H101" s="522"/>
      <c r="I101" s="522"/>
      <c r="J101" s="522"/>
      <c r="K101" s="522"/>
      <c r="L101" s="522"/>
      <c r="M101" s="522"/>
    </row>
    <row r="102" spans="1:13" x14ac:dyDescent="0.25">
      <c r="A102" s="493"/>
      <c r="B102" s="522"/>
      <c r="C102" s="522"/>
      <c r="D102" s="522"/>
      <c r="E102" s="522"/>
      <c r="F102" s="522"/>
      <c r="G102" s="522"/>
      <c r="H102" s="522"/>
      <c r="I102" s="522"/>
      <c r="J102" s="522"/>
      <c r="K102" s="522"/>
      <c r="L102" s="522"/>
      <c r="M102" s="522"/>
    </row>
    <row r="103" spans="1:13" x14ac:dyDescent="0.25">
      <c r="A103" s="493"/>
      <c r="B103" s="522"/>
      <c r="C103" s="522"/>
      <c r="D103" s="522"/>
      <c r="E103" s="522"/>
      <c r="F103" s="522"/>
      <c r="G103" s="522"/>
      <c r="H103" s="522"/>
      <c r="I103" s="522"/>
      <c r="J103" s="522"/>
      <c r="K103" s="522"/>
      <c r="L103" s="522"/>
      <c r="M103" s="522"/>
    </row>
    <row r="104" spans="1:13" x14ac:dyDescent="0.25">
      <c r="A104" s="493"/>
      <c r="B104" s="522"/>
      <c r="C104" s="522"/>
      <c r="D104" s="522"/>
      <c r="E104" s="522"/>
      <c r="F104" s="522"/>
      <c r="G104" s="522"/>
      <c r="H104" s="522"/>
      <c r="I104" s="522"/>
      <c r="J104" s="522"/>
      <c r="K104" s="522"/>
      <c r="L104" s="522"/>
      <c r="M104" s="522"/>
    </row>
    <row r="105" spans="1:13" x14ac:dyDescent="0.25">
      <c r="A105" s="493"/>
      <c r="B105" s="522"/>
      <c r="C105" s="522"/>
      <c r="D105" s="522"/>
      <c r="E105" s="522"/>
      <c r="F105" s="522"/>
      <c r="G105" s="522"/>
      <c r="H105" s="522"/>
      <c r="I105" s="522"/>
      <c r="J105" s="522"/>
      <c r="K105" s="522"/>
      <c r="L105" s="522"/>
      <c r="M105" s="522"/>
    </row>
    <row r="106" spans="1:13" x14ac:dyDescent="0.25">
      <c r="A106" s="493"/>
      <c r="B106" s="522"/>
      <c r="C106" s="522"/>
      <c r="D106" s="522"/>
      <c r="E106" s="522"/>
      <c r="F106" s="522"/>
      <c r="G106" s="522"/>
      <c r="H106" s="522"/>
      <c r="I106" s="522"/>
      <c r="J106" s="522"/>
      <c r="K106" s="522"/>
      <c r="L106" s="522"/>
      <c r="M106" s="522"/>
    </row>
    <row r="107" spans="1:13" x14ac:dyDescent="0.25">
      <c r="A107" s="493"/>
      <c r="B107" s="522"/>
      <c r="C107" s="522"/>
      <c r="D107" s="522"/>
      <c r="E107" s="522"/>
      <c r="F107" s="522"/>
      <c r="G107" s="522"/>
      <c r="H107" s="522"/>
      <c r="I107" s="522"/>
      <c r="J107" s="522"/>
      <c r="K107" s="522"/>
      <c r="L107" s="522"/>
      <c r="M107" s="522"/>
    </row>
    <row r="108" spans="1:13" x14ac:dyDescent="0.25">
      <c r="A108" s="493"/>
      <c r="B108" s="522"/>
      <c r="C108" s="522"/>
      <c r="D108" s="522"/>
      <c r="E108" s="522"/>
      <c r="F108" s="522"/>
      <c r="G108" s="522"/>
      <c r="H108" s="522"/>
      <c r="I108" s="522"/>
      <c r="J108" s="522"/>
      <c r="K108" s="522"/>
      <c r="L108" s="522"/>
      <c r="M108" s="522"/>
    </row>
    <row r="109" spans="1:13" x14ac:dyDescent="0.25">
      <c r="A109" s="493"/>
      <c r="B109" s="522"/>
      <c r="C109" s="522"/>
      <c r="D109" s="522"/>
      <c r="E109" s="522"/>
      <c r="F109" s="522"/>
      <c r="G109" s="522"/>
      <c r="H109" s="522"/>
      <c r="I109" s="522"/>
      <c r="J109" s="522"/>
      <c r="K109" s="522"/>
      <c r="L109" s="522"/>
      <c r="M109" s="522"/>
    </row>
    <row r="110" spans="1:13" x14ac:dyDescent="0.25">
      <c r="A110" s="493"/>
      <c r="B110" s="522"/>
      <c r="C110" s="522"/>
      <c r="D110" s="522"/>
      <c r="E110" s="522"/>
      <c r="F110" s="522"/>
      <c r="G110" s="522"/>
      <c r="H110" s="522"/>
      <c r="I110" s="522"/>
      <c r="J110" s="522"/>
      <c r="K110" s="522"/>
      <c r="L110" s="522"/>
      <c r="M110" s="522"/>
    </row>
    <row r="111" spans="1:13" x14ac:dyDescent="0.25">
      <c r="A111" s="493"/>
      <c r="B111" s="522"/>
      <c r="C111" s="522"/>
      <c r="D111" s="522"/>
      <c r="E111" s="522"/>
      <c r="F111" s="522"/>
      <c r="G111" s="522"/>
      <c r="H111" s="522"/>
      <c r="I111" s="522"/>
      <c r="J111" s="522"/>
      <c r="K111" s="522"/>
      <c r="L111" s="522"/>
      <c r="M111" s="522"/>
    </row>
    <row r="112" spans="1:13" x14ac:dyDescent="0.25">
      <c r="A112" s="493"/>
      <c r="B112" s="522"/>
      <c r="C112" s="522"/>
      <c r="D112" s="522"/>
      <c r="E112" s="522"/>
      <c r="F112" s="522"/>
      <c r="G112" s="522"/>
      <c r="H112" s="522"/>
      <c r="I112" s="522"/>
      <c r="J112" s="522"/>
      <c r="K112" s="522"/>
      <c r="L112" s="522"/>
      <c r="M112" s="522"/>
    </row>
    <row r="113" spans="1:13" x14ac:dyDescent="0.25">
      <c r="A113" s="493"/>
      <c r="B113" s="522"/>
      <c r="C113" s="522"/>
      <c r="D113" s="522"/>
      <c r="E113" s="522"/>
      <c r="F113" s="522"/>
      <c r="G113" s="522"/>
      <c r="H113" s="522"/>
      <c r="I113" s="522"/>
      <c r="J113" s="522"/>
      <c r="K113" s="522"/>
      <c r="L113" s="522"/>
      <c r="M113" s="522"/>
    </row>
    <row r="114" spans="1:13" x14ac:dyDescent="0.25">
      <c r="A114" s="493"/>
      <c r="B114" s="522"/>
      <c r="C114" s="522"/>
      <c r="D114" s="522"/>
      <c r="E114" s="522"/>
      <c r="F114" s="522"/>
      <c r="G114" s="522"/>
      <c r="H114" s="522"/>
      <c r="I114" s="522"/>
      <c r="J114" s="522"/>
      <c r="K114" s="522"/>
      <c r="L114" s="522"/>
      <c r="M114" s="522"/>
    </row>
    <row r="115" spans="1:13" x14ac:dyDescent="0.25">
      <c r="A115" s="493"/>
      <c r="B115" s="522"/>
      <c r="C115" s="522"/>
      <c r="D115" s="522"/>
      <c r="E115" s="522"/>
      <c r="F115" s="522"/>
      <c r="G115" s="522"/>
      <c r="H115" s="522"/>
      <c r="I115" s="522"/>
      <c r="J115" s="522"/>
      <c r="K115" s="522"/>
      <c r="L115" s="522"/>
      <c r="M115" s="522"/>
    </row>
    <row r="116" spans="1:13" x14ac:dyDescent="0.25">
      <c r="A116" s="493"/>
      <c r="B116" s="522"/>
      <c r="C116" s="522"/>
      <c r="D116" s="522"/>
      <c r="E116" s="522"/>
      <c r="F116" s="522"/>
      <c r="G116" s="522"/>
      <c r="H116" s="522"/>
      <c r="I116" s="522"/>
      <c r="J116" s="522"/>
      <c r="K116" s="522"/>
      <c r="L116" s="522"/>
      <c r="M116" s="522"/>
    </row>
    <row r="117" spans="1:13" x14ac:dyDescent="0.25">
      <c r="A117" s="493"/>
      <c r="B117" s="522"/>
      <c r="C117" s="522"/>
      <c r="D117" s="522"/>
      <c r="E117" s="522"/>
      <c r="F117" s="522"/>
      <c r="G117" s="522"/>
      <c r="H117" s="522"/>
      <c r="I117" s="522"/>
      <c r="J117" s="522"/>
      <c r="K117" s="522"/>
      <c r="L117" s="522"/>
      <c r="M117" s="522"/>
    </row>
    <row r="118" spans="1:13" x14ac:dyDescent="0.25">
      <c r="A118" s="493"/>
      <c r="B118" s="522"/>
      <c r="C118" s="522"/>
      <c r="D118" s="522"/>
      <c r="E118" s="522"/>
      <c r="F118" s="522"/>
      <c r="G118" s="522"/>
      <c r="H118" s="522"/>
      <c r="I118" s="522"/>
      <c r="J118" s="522"/>
      <c r="K118" s="522"/>
      <c r="L118" s="522"/>
      <c r="M118" s="522"/>
    </row>
    <row r="119" spans="1:13" x14ac:dyDescent="0.25">
      <c r="A119" s="493"/>
      <c r="B119" s="522"/>
      <c r="C119" s="522"/>
      <c r="D119" s="522"/>
      <c r="E119" s="522"/>
      <c r="F119" s="522"/>
      <c r="G119" s="522"/>
      <c r="H119" s="522"/>
      <c r="I119" s="522"/>
      <c r="J119" s="522"/>
      <c r="K119" s="522"/>
      <c r="L119" s="522"/>
      <c r="M119" s="522"/>
    </row>
    <row r="120" spans="1:13" x14ac:dyDescent="0.25">
      <c r="A120" s="493"/>
      <c r="B120" s="522"/>
      <c r="C120" s="522"/>
      <c r="D120" s="522"/>
      <c r="E120" s="522"/>
      <c r="F120" s="522"/>
      <c r="G120" s="522"/>
      <c r="H120" s="522"/>
      <c r="I120" s="522"/>
      <c r="J120" s="522"/>
      <c r="K120" s="522"/>
      <c r="L120" s="522"/>
      <c r="M120" s="522"/>
    </row>
    <row r="121" spans="1:13" x14ac:dyDescent="0.25">
      <c r="A121" s="493"/>
      <c r="B121" s="522"/>
      <c r="C121" s="522"/>
      <c r="D121" s="522"/>
      <c r="E121" s="522"/>
      <c r="F121" s="522"/>
      <c r="G121" s="522"/>
      <c r="H121" s="522"/>
      <c r="I121" s="522"/>
      <c r="J121" s="522"/>
      <c r="K121" s="522"/>
      <c r="L121" s="522"/>
      <c r="M121" s="522"/>
    </row>
    <row r="122" spans="1:13" x14ac:dyDescent="0.25">
      <c r="A122" s="493"/>
      <c r="B122" s="522"/>
      <c r="C122" s="522"/>
      <c r="D122" s="522"/>
      <c r="E122" s="522"/>
      <c r="F122" s="522"/>
      <c r="G122" s="522"/>
      <c r="H122" s="522"/>
      <c r="I122" s="522"/>
      <c r="J122" s="522"/>
      <c r="K122" s="522"/>
      <c r="L122" s="522"/>
      <c r="M122" s="522"/>
    </row>
    <row r="123" spans="1:13" x14ac:dyDescent="0.25">
      <c r="A123" s="493"/>
      <c r="B123" s="522"/>
      <c r="C123" s="522"/>
      <c r="D123" s="522"/>
      <c r="E123" s="522"/>
      <c r="F123" s="522"/>
      <c r="G123" s="522"/>
      <c r="H123" s="522"/>
      <c r="I123" s="522"/>
      <c r="J123" s="522"/>
      <c r="K123" s="522"/>
      <c r="L123" s="522"/>
      <c r="M123" s="522"/>
    </row>
    <row r="124" spans="1:13" x14ac:dyDescent="0.25">
      <c r="A124" s="493"/>
      <c r="B124" s="522"/>
      <c r="C124" s="522"/>
      <c r="D124" s="522"/>
      <c r="E124" s="522"/>
      <c r="F124" s="522"/>
      <c r="G124" s="522"/>
      <c r="H124" s="522"/>
      <c r="I124" s="522"/>
      <c r="J124" s="522"/>
      <c r="K124" s="522"/>
      <c r="L124" s="522"/>
      <c r="M124" s="522"/>
    </row>
    <row r="125" spans="1:13" x14ac:dyDescent="0.25">
      <c r="A125" s="493"/>
      <c r="B125" s="522"/>
      <c r="C125" s="522"/>
      <c r="D125" s="522"/>
      <c r="E125" s="522"/>
      <c r="F125" s="522"/>
      <c r="G125" s="522"/>
      <c r="H125" s="522"/>
      <c r="I125" s="522"/>
      <c r="J125" s="522"/>
      <c r="K125" s="522"/>
      <c r="L125" s="522"/>
      <c r="M125" s="522"/>
    </row>
    <row r="126" spans="1:13" x14ac:dyDescent="0.25">
      <c r="A126" s="493"/>
      <c r="B126" s="522"/>
      <c r="C126" s="522"/>
      <c r="D126" s="522"/>
      <c r="E126" s="522"/>
      <c r="F126" s="522"/>
      <c r="G126" s="522"/>
      <c r="H126" s="522"/>
      <c r="I126" s="522"/>
      <c r="J126" s="522"/>
      <c r="K126" s="522"/>
      <c r="L126" s="522"/>
      <c r="M126" s="522"/>
    </row>
    <row r="127" spans="1:13" x14ac:dyDescent="0.25">
      <c r="A127" s="493"/>
      <c r="B127" s="522"/>
      <c r="C127" s="522"/>
      <c r="D127" s="522"/>
      <c r="E127" s="522"/>
      <c r="F127" s="522"/>
      <c r="G127" s="522"/>
      <c r="H127" s="522"/>
      <c r="I127" s="522"/>
      <c r="J127" s="522"/>
      <c r="K127" s="522"/>
      <c r="L127" s="522"/>
      <c r="M127" s="522"/>
    </row>
    <row r="128" spans="1:13" x14ac:dyDescent="0.25">
      <c r="A128" s="493"/>
      <c r="B128" s="522"/>
      <c r="C128" s="522"/>
      <c r="D128" s="522"/>
      <c r="E128" s="522"/>
      <c r="F128" s="522"/>
      <c r="G128" s="522"/>
      <c r="H128" s="522"/>
      <c r="I128" s="522"/>
      <c r="J128" s="522"/>
      <c r="K128" s="522"/>
      <c r="L128" s="522"/>
      <c r="M128" s="522"/>
    </row>
    <row r="129" spans="1:13" x14ac:dyDescent="0.25">
      <c r="A129" s="493"/>
      <c r="B129" s="522"/>
      <c r="C129" s="522"/>
      <c r="D129" s="522"/>
      <c r="E129" s="522"/>
      <c r="F129" s="522"/>
      <c r="G129" s="522"/>
      <c r="H129" s="522"/>
      <c r="I129" s="522"/>
      <c r="J129" s="522"/>
      <c r="K129" s="522"/>
      <c r="L129" s="522"/>
      <c r="M129" s="522"/>
    </row>
    <row r="130" spans="1:13" x14ac:dyDescent="0.25">
      <c r="A130" s="493"/>
      <c r="B130" s="522"/>
      <c r="C130" s="522"/>
      <c r="D130" s="522"/>
      <c r="E130" s="522"/>
      <c r="F130" s="522"/>
      <c r="G130" s="522"/>
      <c r="H130" s="522"/>
      <c r="I130" s="522"/>
      <c r="J130" s="522"/>
      <c r="K130" s="522"/>
      <c r="L130" s="522"/>
      <c r="M130" s="522"/>
    </row>
    <row r="131" spans="1:13" x14ac:dyDescent="0.25">
      <c r="A131" s="493"/>
      <c r="B131" s="522"/>
      <c r="C131" s="522"/>
      <c r="D131" s="522"/>
      <c r="E131" s="522"/>
      <c r="F131" s="522"/>
      <c r="G131" s="522"/>
      <c r="H131" s="522"/>
      <c r="I131" s="522"/>
      <c r="J131" s="522"/>
      <c r="K131" s="522"/>
      <c r="L131" s="522"/>
      <c r="M131" s="522"/>
    </row>
    <row r="132" spans="1:13" x14ac:dyDescent="0.25">
      <c r="A132" s="493"/>
      <c r="B132" s="522"/>
      <c r="C132" s="522"/>
      <c r="D132" s="522"/>
      <c r="E132" s="522"/>
      <c r="F132" s="522"/>
      <c r="G132" s="522"/>
      <c r="H132" s="522"/>
      <c r="I132" s="522"/>
      <c r="J132" s="522"/>
      <c r="K132" s="522"/>
      <c r="L132" s="522"/>
      <c r="M132" s="522"/>
    </row>
    <row r="133" spans="1:13" x14ac:dyDescent="0.25">
      <c r="A133" s="493"/>
      <c r="B133" s="522"/>
      <c r="C133" s="522"/>
      <c r="D133" s="522"/>
      <c r="E133" s="522"/>
      <c r="F133" s="522"/>
      <c r="G133" s="522"/>
      <c r="H133" s="522"/>
      <c r="I133" s="522"/>
      <c r="J133" s="522"/>
      <c r="K133" s="522"/>
      <c r="L133" s="522"/>
      <c r="M133" s="522"/>
    </row>
    <row r="134" spans="1:13" x14ac:dyDescent="0.25">
      <c r="A134" s="493"/>
      <c r="B134" s="522"/>
      <c r="C134" s="522"/>
      <c r="D134" s="522"/>
      <c r="E134" s="522"/>
      <c r="F134" s="522"/>
      <c r="G134" s="522"/>
      <c r="H134" s="522"/>
      <c r="I134" s="522"/>
      <c r="J134" s="522"/>
      <c r="K134" s="522"/>
      <c r="L134" s="522"/>
      <c r="M134" s="522"/>
    </row>
    <row r="135" spans="1:13" x14ac:dyDescent="0.25">
      <c r="A135" s="493"/>
      <c r="B135" s="522"/>
      <c r="C135" s="522"/>
      <c r="D135" s="522"/>
      <c r="E135" s="522"/>
      <c r="F135" s="522"/>
      <c r="G135" s="522"/>
      <c r="H135" s="522"/>
      <c r="I135" s="522"/>
      <c r="J135" s="522"/>
      <c r="K135" s="522"/>
      <c r="L135" s="522"/>
      <c r="M135" s="522"/>
    </row>
    <row r="136" spans="1:13" x14ac:dyDescent="0.25">
      <c r="A136" s="493"/>
      <c r="B136" s="522"/>
      <c r="C136" s="522"/>
      <c r="D136" s="522"/>
      <c r="E136" s="522"/>
      <c r="F136" s="522"/>
      <c r="G136" s="522"/>
      <c r="H136" s="522"/>
      <c r="I136" s="522"/>
      <c r="J136" s="522"/>
      <c r="K136" s="522"/>
      <c r="L136" s="522"/>
      <c r="M136" s="522"/>
    </row>
    <row r="137" spans="1:13" x14ac:dyDescent="0.25">
      <c r="A137" s="493"/>
      <c r="B137" s="522"/>
      <c r="C137" s="522"/>
      <c r="D137" s="522"/>
      <c r="E137" s="522"/>
      <c r="F137" s="522"/>
      <c r="G137" s="522"/>
      <c r="H137" s="522"/>
      <c r="I137" s="522"/>
      <c r="J137" s="522"/>
      <c r="K137" s="522"/>
      <c r="L137" s="522"/>
      <c r="M137" s="522"/>
    </row>
    <row r="138" spans="1:13" x14ac:dyDescent="0.25">
      <c r="A138" s="493"/>
      <c r="B138" s="522"/>
      <c r="C138" s="522"/>
      <c r="D138" s="522"/>
      <c r="E138" s="522"/>
      <c r="F138" s="522"/>
      <c r="G138" s="522"/>
      <c r="H138" s="522"/>
      <c r="I138" s="522"/>
      <c r="J138" s="522"/>
      <c r="K138" s="522"/>
      <c r="L138" s="522"/>
      <c r="M138" s="522"/>
    </row>
    <row r="139" spans="1:13" x14ac:dyDescent="0.25">
      <c r="A139" s="493"/>
      <c r="B139" s="522"/>
      <c r="C139" s="522"/>
      <c r="D139" s="522"/>
      <c r="E139" s="522"/>
      <c r="F139" s="522"/>
      <c r="G139" s="522"/>
      <c r="H139" s="522"/>
      <c r="I139" s="522"/>
      <c r="J139" s="522"/>
      <c r="K139" s="522"/>
      <c r="L139" s="522"/>
      <c r="M139" s="522"/>
    </row>
    <row r="140" spans="1:13" x14ac:dyDescent="0.25">
      <c r="A140" s="493"/>
      <c r="B140" s="522"/>
      <c r="C140" s="522"/>
      <c r="D140" s="522"/>
      <c r="E140" s="522"/>
      <c r="F140" s="522"/>
      <c r="G140" s="522"/>
      <c r="H140" s="522"/>
      <c r="I140" s="522"/>
      <c r="J140" s="522"/>
      <c r="K140" s="522"/>
      <c r="L140" s="522"/>
      <c r="M140" s="522"/>
    </row>
    <row r="141" spans="1:13" x14ac:dyDescent="0.25">
      <c r="A141" s="493"/>
      <c r="B141" s="522"/>
      <c r="C141" s="522"/>
      <c r="D141" s="522"/>
      <c r="E141" s="522"/>
      <c r="F141" s="522"/>
      <c r="G141" s="522"/>
      <c r="H141" s="522"/>
      <c r="I141" s="522"/>
      <c r="J141" s="522"/>
      <c r="K141" s="522"/>
      <c r="L141" s="522"/>
      <c r="M141" s="522"/>
    </row>
    <row r="142" spans="1:13" x14ac:dyDescent="0.25">
      <c r="A142" s="493"/>
      <c r="B142" s="522"/>
      <c r="C142" s="522"/>
      <c r="D142" s="522"/>
      <c r="E142" s="522"/>
      <c r="F142" s="522"/>
      <c r="G142" s="522"/>
      <c r="H142" s="522"/>
      <c r="I142" s="522"/>
      <c r="J142" s="522"/>
      <c r="K142" s="522"/>
      <c r="L142" s="522"/>
      <c r="M142" s="522"/>
    </row>
    <row r="143" spans="1:13" x14ac:dyDescent="0.25">
      <c r="A143" s="493"/>
      <c r="B143" s="522"/>
      <c r="C143" s="522"/>
      <c r="D143" s="522"/>
      <c r="E143" s="522"/>
      <c r="F143" s="522"/>
      <c r="G143" s="522"/>
      <c r="H143" s="522"/>
      <c r="I143" s="522"/>
      <c r="J143" s="522"/>
      <c r="K143" s="522"/>
      <c r="L143" s="522"/>
      <c r="M143" s="522"/>
    </row>
    <row r="144" spans="1:13" x14ac:dyDescent="0.25">
      <c r="A144" s="493"/>
      <c r="B144" s="522"/>
      <c r="C144" s="522"/>
      <c r="D144" s="522"/>
      <c r="E144" s="522"/>
      <c r="F144" s="522"/>
      <c r="G144" s="522"/>
      <c r="H144" s="522"/>
      <c r="I144" s="522"/>
      <c r="J144" s="522"/>
      <c r="K144" s="522"/>
      <c r="L144" s="522"/>
      <c r="M144" s="522"/>
    </row>
    <row r="145" spans="1:13" x14ac:dyDescent="0.25">
      <c r="A145" s="493"/>
      <c r="B145" s="522"/>
      <c r="C145" s="522"/>
      <c r="D145" s="522"/>
      <c r="E145" s="522"/>
      <c r="F145" s="522"/>
      <c r="G145" s="522"/>
      <c r="H145" s="522"/>
      <c r="I145" s="522"/>
      <c r="J145" s="522"/>
      <c r="K145" s="522"/>
      <c r="L145" s="522"/>
      <c r="M145" s="522"/>
    </row>
    <row r="146" spans="1:13" x14ac:dyDescent="0.25">
      <c r="A146" s="493"/>
      <c r="B146" s="522"/>
      <c r="C146" s="522"/>
      <c r="D146" s="522"/>
      <c r="E146" s="522"/>
      <c r="F146" s="522"/>
      <c r="G146" s="522"/>
      <c r="H146" s="522"/>
      <c r="I146" s="522"/>
      <c r="J146" s="522"/>
      <c r="K146" s="522"/>
      <c r="L146" s="522"/>
      <c r="M146" s="522"/>
    </row>
    <row r="147" spans="1:13" x14ac:dyDescent="0.25">
      <c r="A147" s="493"/>
      <c r="B147" s="522"/>
      <c r="C147" s="522"/>
      <c r="D147" s="522"/>
      <c r="E147" s="522"/>
      <c r="F147" s="522"/>
      <c r="G147" s="522"/>
      <c r="H147" s="522"/>
      <c r="I147" s="522"/>
      <c r="J147" s="522"/>
      <c r="K147" s="522"/>
      <c r="L147" s="522"/>
      <c r="M147" s="522"/>
    </row>
    <row r="148" spans="1:13" x14ac:dyDescent="0.25">
      <c r="A148" s="493"/>
      <c r="B148" s="522"/>
      <c r="C148" s="522"/>
      <c r="D148" s="522"/>
      <c r="E148" s="522"/>
      <c r="F148" s="522"/>
      <c r="G148" s="522"/>
      <c r="H148" s="522"/>
      <c r="I148" s="522"/>
      <c r="J148" s="522"/>
      <c r="K148" s="522"/>
      <c r="L148" s="522"/>
      <c r="M148" s="522"/>
    </row>
    <row r="149" spans="1:13" x14ac:dyDescent="0.25">
      <c r="A149" s="493"/>
      <c r="B149" s="522"/>
      <c r="C149" s="522"/>
      <c r="D149" s="522"/>
      <c r="E149" s="522"/>
      <c r="F149" s="522"/>
      <c r="G149" s="522"/>
      <c r="H149" s="522"/>
      <c r="I149" s="522"/>
      <c r="J149" s="522"/>
      <c r="K149" s="522"/>
      <c r="L149" s="522"/>
      <c r="M149" s="522"/>
    </row>
    <row r="150" spans="1:13" x14ac:dyDescent="0.25">
      <c r="A150" s="493"/>
      <c r="B150" s="522"/>
      <c r="C150" s="522"/>
      <c r="D150" s="522"/>
      <c r="E150" s="522"/>
      <c r="F150" s="522"/>
      <c r="G150" s="522"/>
      <c r="H150" s="522"/>
      <c r="I150" s="522"/>
      <c r="J150" s="522"/>
      <c r="K150" s="522"/>
      <c r="L150" s="522"/>
      <c r="M150" s="522"/>
    </row>
    <row r="151" spans="1:13" x14ac:dyDescent="0.25">
      <c r="A151" s="493"/>
      <c r="B151" s="522"/>
      <c r="C151" s="522"/>
      <c r="D151" s="522"/>
      <c r="E151" s="522"/>
      <c r="F151" s="522"/>
      <c r="G151" s="522"/>
      <c r="H151" s="522"/>
      <c r="I151" s="522"/>
      <c r="J151" s="522"/>
      <c r="K151" s="522"/>
      <c r="L151" s="522"/>
      <c r="M151" s="522"/>
    </row>
    <row r="152" spans="1:13" x14ac:dyDescent="0.25">
      <c r="A152" s="493"/>
      <c r="B152" s="522"/>
      <c r="C152" s="522"/>
      <c r="D152" s="522"/>
      <c r="E152" s="522"/>
      <c r="F152" s="522"/>
      <c r="G152" s="522"/>
      <c r="H152" s="522"/>
      <c r="I152" s="522"/>
      <c r="J152" s="522"/>
      <c r="K152" s="522"/>
      <c r="L152" s="522"/>
      <c r="M152" s="522"/>
    </row>
    <row r="153" spans="1:13" x14ac:dyDescent="0.25">
      <c r="A153" s="493"/>
      <c r="B153" s="522"/>
      <c r="C153" s="522"/>
      <c r="D153" s="522"/>
      <c r="E153" s="522"/>
      <c r="F153" s="522"/>
      <c r="G153" s="522"/>
      <c r="H153" s="522"/>
      <c r="I153" s="522"/>
      <c r="J153" s="522"/>
      <c r="K153" s="522"/>
      <c r="L153" s="522"/>
      <c r="M153" s="522"/>
    </row>
    <row r="154" spans="1:13" x14ac:dyDescent="0.25">
      <c r="A154" s="493"/>
      <c r="B154" s="522"/>
      <c r="C154" s="522"/>
      <c r="D154" s="522"/>
      <c r="E154" s="522"/>
      <c r="F154" s="522"/>
      <c r="G154" s="522"/>
      <c r="H154" s="522"/>
      <c r="I154" s="522"/>
      <c r="J154" s="522"/>
      <c r="K154" s="522"/>
      <c r="L154" s="522"/>
      <c r="M154" s="522"/>
    </row>
    <row r="155" spans="1:13" x14ac:dyDescent="0.25">
      <c r="A155" s="493"/>
      <c r="B155" s="522"/>
      <c r="C155" s="522"/>
      <c r="D155" s="522"/>
      <c r="E155" s="522"/>
      <c r="F155" s="522"/>
      <c r="G155" s="522"/>
      <c r="H155" s="522"/>
      <c r="I155" s="522"/>
      <c r="J155" s="522"/>
      <c r="K155" s="522"/>
      <c r="L155" s="522"/>
      <c r="M155" s="522"/>
    </row>
    <row r="156" spans="1:13" x14ac:dyDescent="0.25">
      <c r="A156" s="493"/>
      <c r="B156" s="522"/>
      <c r="C156" s="522"/>
      <c r="D156" s="522"/>
      <c r="E156" s="522"/>
      <c r="F156" s="522"/>
      <c r="G156" s="522"/>
      <c r="H156" s="522"/>
      <c r="I156" s="522"/>
      <c r="J156" s="522"/>
      <c r="K156" s="522"/>
      <c r="L156" s="522"/>
      <c r="M156" s="522"/>
    </row>
    <row r="157" spans="1:13" x14ac:dyDescent="0.25">
      <c r="A157" s="493"/>
      <c r="B157" s="522"/>
      <c r="C157" s="522"/>
      <c r="D157" s="522"/>
      <c r="E157" s="522"/>
      <c r="F157" s="522"/>
      <c r="G157" s="522"/>
      <c r="H157" s="522"/>
      <c r="I157" s="522"/>
      <c r="J157" s="522"/>
      <c r="K157" s="522"/>
      <c r="L157" s="522"/>
      <c r="M157" s="522"/>
    </row>
    <row r="158" spans="1:13" x14ac:dyDescent="0.25">
      <c r="A158" s="493"/>
      <c r="B158" s="522"/>
      <c r="C158" s="522"/>
      <c r="D158" s="522"/>
      <c r="E158" s="522"/>
      <c r="F158" s="522"/>
      <c r="G158" s="522"/>
      <c r="H158" s="522"/>
      <c r="I158" s="522"/>
      <c r="J158" s="522"/>
      <c r="K158" s="522"/>
      <c r="L158" s="522"/>
      <c r="M158" s="522"/>
    </row>
    <row r="159" spans="1:13" x14ac:dyDescent="0.25">
      <c r="A159" s="493"/>
      <c r="B159" s="522"/>
      <c r="C159" s="522"/>
      <c r="D159" s="522"/>
      <c r="E159" s="522"/>
      <c r="F159" s="522"/>
      <c r="G159" s="522"/>
      <c r="H159" s="522"/>
      <c r="I159" s="522"/>
      <c r="J159" s="522"/>
      <c r="K159" s="522"/>
      <c r="L159" s="522"/>
      <c r="M159" s="522"/>
    </row>
    <row r="160" spans="1:13" x14ac:dyDescent="0.25">
      <c r="A160" s="493"/>
      <c r="B160" s="522"/>
      <c r="C160" s="522"/>
      <c r="D160" s="522"/>
      <c r="E160" s="522"/>
      <c r="F160" s="522"/>
      <c r="G160" s="522"/>
      <c r="H160" s="522"/>
      <c r="I160" s="522"/>
      <c r="J160" s="522"/>
      <c r="K160" s="522"/>
      <c r="L160" s="522"/>
      <c r="M160" s="522"/>
    </row>
    <row r="161" spans="1:13" x14ac:dyDescent="0.25">
      <c r="A161" s="493"/>
      <c r="B161" s="522"/>
      <c r="C161" s="522"/>
      <c r="D161" s="522"/>
      <c r="E161" s="522"/>
      <c r="F161" s="522"/>
      <c r="G161" s="522"/>
      <c r="H161" s="522"/>
      <c r="I161" s="522"/>
      <c r="J161" s="522"/>
      <c r="K161" s="522"/>
      <c r="L161" s="522"/>
      <c r="M161" s="522"/>
    </row>
    <row r="162" spans="1:13" x14ac:dyDescent="0.25">
      <c r="A162" s="493"/>
      <c r="B162" s="522"/>
      <c r="C162" s="522"/>
      <c r="D162" s="522"/>
      <c r="E162" s="522"/>
      <c r="F162" s="522"/>
      <c r="G162" s="522"/>
      <c r="H162" s="522"/>
      <c r="I162" s="522"/>
      <c r="J162" s="522"/>
      <c r="K162" s="522"/>
      <c r="L162" s="522"/>
      <c r="M162" s="522"/>
    </row>
    <row r="163" spans="1:13" x14ac:dyDescent="0.25">
      <c r="A163" s="493"/>
      <c r="B163" s="522"/>
      <c r="C163" s="522"/>
      <c r="D163" s="522"/>
      <c r="E163" s="522"/>
      <c r="F163" s="522"/>
      <c r="G163" s="522"/>
      <c r="H163" s="522"/>
      <c r="I163" s="522"/>
      <c r="J163" s="522"/>
      <c r="K163" s="522"/>
      <c r="L163" s="522"/>
      <c r="M163" s="522"/>
    </row>
    <row r="164" spans="1:13" x14ac:dyDescent="0.25">
      <c r="A164" s="493"/>
      <c r="B164" s="522"/>
      <c r="C164" s="522"/>
      <c r="D164" s="522"/>
      <c r="E164" s="522"/>
      <c r="F164" s="522"/>
      <c r="G164" s="522"/>
      <c r="H164" s="522"/>
      <c r="I164" s="522"/>
      <c r="J164" s="522"/>
      <c r="K164" s="522"/>
      <c r="L164" s="522"/>
      <c r="M164" s="522"/>
    </row>
    <row r="165" spans="1:13" x14ac:dyDescent="0.25">
      <c r="A165" s="493"/>
      <c r="B165" s="522"/>
      <c r="C165" s="522"/>
      <c r="D165" s="522"/>
      <c r="E165" s="522"/>
      <c r="F165" s="522"/>
      <c r="G165" s="522"/>
      <c r="H165" s="522"/>
      <c r="I165" s="522"/>
      <c r="J165" s="522"/>
      <c r="K165" s="522"/>
      <c r="L165" s="522"/>
      <c r="M165" s="522"/>
    </row>
    <row r="166" spans="1:13" x14ac:dyDescent="0.25">
      <c r="A166" s="493"/>
      <c r="B166" s="522"/>
      <c r="C166" s="522"/>
      <c r="D166" s="522"/>
      <c r="E166" s="522"/>
      <c r="F166" s="522"/>
      <c r="G166" s="522"/>
      <c r="H166" s="522"/>
      <c r="I166" s="522"/>
      <c r="J166" s="522"/>
      <c r="K166" s="522"/>
      <c r="L166" s="522"/>
      <c r="M166" s="522"/>
    </row>
    <row r="167" spans="1:13" x14ac:dyDescent="0.25">
      <c r="A167" s="493"/>
      <c r="B167" s="522"/>
      <c r="C167" s="522"/>
      <c r="D167" s="522"/>
      <c r="E167" s="522"/>
      <c r="F167" s="522"/>
      <c r="G167" s="522"/>
      <c r="H167" s="522"/>
      <c r="I167" s="522"/>
      <c r="J167" s="522"/>
      <c r="K167" s="522"/>
      <c r="L167" s="522"/>
      <c r="M167" s="522"/>
    </row>
    <row r="168" spans="1:13" x14ac:dyDescent="0.25">
      <c r="A168" s="493"/>
      <c r="B168" s="522"/>
      <c r="C168" s="522"/>
      <c r="D168" s="522"/>
      <c r="E168" s="522"/>
      <c r="F168" s="522"/>
      <c r="G168" s="522"/>
      <c r="H168" s="522"/>
      <c r="I168" s="522"/>
      <c r="J168" s="522"/>
      <c r="K168" s="522"/>
      <c r="L168" s="522"/>
      <c r="M168" s="522"/>
    </row>
    <row r="169" spans="1:13" x14ac:dyDescent="0.25">
      <c r="A169" s="493"/>
      <c r="B169" s="522"/>
      <c r="C169" s="522"/>
      <c r="D169" s="522"/>
      <c r="E169" s="522"/>
      <c r="F169" s="522"/>
      <c r="G169" s="522"/>
      <c r="H169" s="522"/>
      <c r="I169" s="522"/>
      <c r="J169" s="522"/>
      <c r="K169" s="522"/>
      <c r="L169" s="522"/>
      <c r="M169" s="522"/>
    </row>
    <row r="170" spans="1:13" x14ac:dyDescent="0.25">
      <c r="A170" s="493"/>
      <c r="B170" s="522"/>
      <c r="C170" s="522"/>
      <c r="D170" s="522"/>
      <c r="E170" s="522"/>
      <c r="F170" s="522"/>
      <c r="G170" s="522"/>
      <c r="H170" s="522"/>
      <c r="I170" s="522"/>
      <c r="J170" s="522"/>
      <c r="K170" s="522"/>
      <c r="L170" s="522"/>
      <c r="M170" s="522"/>
    </row>
    <row r="171" spans="1:13" x14ac:dyDescent="0.25">
      <c r="A171" s="493"/>
      <c r="B171" s="522"/>
      <c r="C171" s="522"/>
      <c r="D171" s="522"/>
      <c r="E171" s="522"/>
      <c r="F171" s="522"/>
      <c r="G171" s="522"/>
      <c r="H171" s="522"/>
      <c r="I171" s="522"/>
      <c r="J171" s="522"/>
      <c r="K171" s="522"/>
      <c r="L171" s="522"/>
      <c r="M171" s="522"/>
    </row>
    <row r="172" spans="1:13" x14ac:dyDescent="0.25">
      <c r="A172" s="493"/>
      <c r="B172" s="522"/>
      <c r="C172" s="522"/>
      <c r="D172" s="522"/>
      <c r="E172" s="522"/>
      <c r="F172" s="522"/>
      <c r="G172" s="522"/>
      <c r="H172" s="522"/>
      <c r="I172" s="522"/>
      <c r="J172" s="522"/>
      <c r="K172" s="522"/>
      <c r="L172" s="522"/>
      <c r="M172" s="522"/>
    </row>
    <row r="173" spans="1:13" x14ac:dyDescent="0.25">
      <c r="A173" s="493"/>
      <c r="B173" s="522"/>
      <c r="C173" s="522"/>
      <c r="D173" s="522"/>
      <c r="E173" s="522"/>
      <c r="F173" s="522"/>
      <c r="G173" s="522"/>
      <c r="H173" s="522"/>
      <c r="I173" s="522"/>
      <c r="J173" s="522"/>
      <c r="K173" s="522"/>
      <c r="L173" s="522"/>
      <c r="M173" s="522"/>
    </row>
    <row r="174" spans="1:13" x14ac:dyDescent="0.25">
      <c r="A174" s="493"/>
      <c r="B174" s="522"/>
      <c r="C174" s="522"/>
      <c r="D174" s="522"/>
      <c r="E174" s="522"/>
      <c r="F174" s="522"/>
      <c r="G174" s="522"/>
      <c r="H174" s="522"/>
      <c r="I174" s="522"/>
      <c r="J174" s="522"/>
      <c r="K174" s="522"/>
      <c r="L174" s="522"/>
      <c r="M174" s="522"/>
    </row>
    <row r="175" spans="1:13" x14ac:dyDescent="0.25">
      <c r="A175" s="493"/>
      <c r="B175" s="522"/>
      <c r="C175" s="522"/>
      <c r="D175" s="522"/>
      <c r="E175" s="522"/>
      <c r="F175" s="522"/>
      <c r="G175" s="522"/>
      <c r="H175" s="522"/>
      <c r="I175" s="522"/>
      <c r="J175" s="522"/>
      <c r="K175" s="522"/>
      <c r="L175" s="522"/>
      <c r="M175" s="522"/>
    </row>
    <row r="176" spans="1:13" x14ac:dyDescent="0.25">
      <c r="A176" s="493"/>
      <c r="B176" s="522"/>
      <c r="C176" s="522"/>
      <c r="D176" s="522"/>
      <c r="E176" s="522"/>
      <c r="F176" s="522"/>
      <c r="G176" s="522"/>
      <c r="H176" s="522"/>
      <c r="I176" s="522"/>
      <c r="J176" s="522"/>
      <c r="K176" s="522"/>
      <c r="L176" s="522"/>
      <c r="M176" s="522"/>
    </row>
    <row r="177" spans="1:13" x14ac:dyDescent="0.25">
      <c r="A177" s="493"/>
      <c r="B177" s="522"/>
      <c r="C177" s="522"/>
      <c r="D177" s="522"/>
      <c r="E177" s="522"/>
      <c r="F177" s="522"/>
      <c r="G177" s="522"/>
      <c r="H177" s="522"/>
      <c r="I177" s="522"/>
      <c r="J177" s="522"/>
      <c r="K177" s="522"/>
      <c r="L177" s="522"/>
      <c r="M177" s="522"/>
    </row>
    <row r="178" spans="1:13" x14ac:dyDescent="0.25">
      <c r="A178" s="493"/>
      <c r="B178" s="522"/>
      <c r="C178" s="522"/>
      <c r="D178" s="522"/>
      <c r="E178" s="522"/>
      <c r="F178" s="522"/>
      <c r="G178" s="522"/>
      <c r="H178" s="522"/>
      <c r="I178" s="522"/>
      <c r="J178" s="522"/>
      <c r="K178" s="522"/>
      <c r="L178" s="522"/>
      <c r="M178" s="522"/>
    </row>
    <row r="179" spans="1:13" x14ac:dyDescent="0.25">
      <c r="A179" s="493"/>
      <c r="B179" s="522"/>
      <c r="C179" s="522"/>
      <c r="D179" s="522"/>
      <c r="E179" s="522"/>
      <c r="F179" s="522"/>
      <c r="G179" s="522"/>
      <c r="H179" s="522"/>
      <c r="I179" s="522"/>
      <c r="J179" s="522"/>
      <c r="K179" s="522"/>
      <c r="L179" s="522"/>
      <c r="M179" s="522"/>
    </row>
    <row r="180" spans="1:13" x14ac:dyDescent="0.25">
      <c r="A180" s="493"/>
      <c r="B180" s="522"/>
      <c r="C180" s="522"/>
      <c r="D180" s="522"/>
      <c r="E180" s="522"/>
      <c r="F180" s="522"/>
      <c r="G180" s="522"/>
      <c r="H180" s="522"/>
      <c r="I180" s="522"/>
      <c r="J180" s="522"/>
      <c r="K180" s="522"/>
      <c r="L180" s="522"/>
      <c r="M180" s="522"/>
    </row>
    <row r="181" spans="1:13" x14ac:dyDescent="0.25">
      <c r="A181" s="493"/>
      <c r="B181" s="522"/>
      <c r="C181" s="522"/>
      <c r="D181" s="522"/>
      <c r="E181" s="522"/>
      <c r="F181" s="522"/>
      <c r="G181" s="522"/>
      <c r="H181" s="522"/>
      <c r="I181" s="522"/>
      <c r="J181" s="522"/>
      <c r="K181" s="522"/>
      <c r="L181" s="522"/>
      <c r="M181" s="522"/>
    </row>
    <row r="182" spans="1:13" x14ac:dyDescent="0.25">
      <c r="A182" s="493"/>
      <c r="B182" s="522"/>
      <c r="C182" s="522"/>
      <c r="D182" s="522"/>
      <c r="E182" s="522"/>
      <c r="F182" s="522"/>
      <c r="G182" s="522"/>
      <c r="H182" s="522"/>
      <c r="I182" s="522"/>
      <c r="J182" s="522"/>
      <c r="K182" s="522"/>
      <c r="L182" s="522"/>
      <c r="M182" s="522"/>
    </row>
    <row r="183" spans="1:13" x14ac:dyDescent="0.25">
      <c r="A183" s="493"/>
      <c r="B183" s="522"/>
      <c r="C183" s="522"/>
      <c r="D183" s="522"/>
      <c r="E183" s="522"/>
      <c r="F183" s="522"/>
      <c r="G183" s="522"/>
      <c r="H183" s="522"/>
      <c r="I183" s="522"/>
      <c r="J183" s="522"/>
      <c r="K183" s="522"/>
      <c r="L183" s="522"/>
      <c r="M183" s="522"/>
    </row>
    <row r="184" spans="1:13" x14ac:dyDescent="0.25">
      <c r="A184" s="493"/>
      <c r="B184" s="522"/>
      <c r="C184" s="522"/>
      <c r="D184" s="522"/>
      <c r="E184" s="522"/>
      <c r="F184" s="522"/>
      <c r="G184" s="522"/>
      <c r="H184" s="522"/>
      <c r="I184" s="522"/>
      <c r="J184" s="522"/>
      <c r="K184" s="522"/>
      <c r="L184" s="522"/>
      <c r="M184" s="522"/>
    </row>
    <row r="185" spans="1:13" x14ac:dyDescent="0.25">
      <c r="A185" s="493"/>
      <c r="B185" s="522"/>
      <c r="C185" s="522"/>
      <c r="D185" s="522"/>
      <c r="E185" s="522"/>
      <c r="F185" s="522"/>
      <c r="G185" s="522"/>
      <c r="H185" s="522"/>
      <c r="I185" s="522"/>
      <c r="J185" s="522"/>
      <c r="K185" s="522"/>
      <c r="L185" s="522"/>
      <c r="M185" s="522"/>
    </row>
    <row r="186" spans="1:13" x14ac:dyDescent="0.25">
      <c r="A186" s="493"/>
      <c r="B186" s="522"/>
      <c r="C186" s="522"/>
      <c r="D186" s="522"/>
      <c r="E186" s="522"/>
      <c r="F186" s="522"/>
      <c r="G186" s="522"/>
      <c r="H186" s="522"/>
      <c r="I186" s="522"/>
      <c r="J186" s="522"/>
      <c r="K186" s="522"/>
      <c r="L186" s="522"/>
      <c r="M186" s="522"/>
    </row>
    <row r="187" spans="1:13" x14ac:dyDescent="0.25">
      <c r="A187" s="493"/>
      <c r="B187" s="522"/>
      <c r="C187" s="522"/>
      <c r="D187" s="522"/>
      <c r="E187" s="522"/>
      <c r="F187" s="522"/>
      <c r="G187" s="522"/>
      <c r="H187" s="522"/>
      <c r="I187" s="522"/>
      <c r="J187" s="522"/>
      <c r="K187" s="522"/>
      <c r="L187" s="522"/>
      <c r="M187" s="522"/>
    </row>
    <row r="188" spans="1:13" x14ac:dyDescent="0.25">
      <c r="A188" s="493"/>
      <c r="B188" s="522"/>
      <c r="C188" s="522"/>
      <c r="D188" s="522"/>
      <c r="E188" s="522"/>
      <c r="F188" s="522"/>
      <c r="G188" s="522"/>
      <c r="H188" s="522"/>
      <c r="I188" s="522"/>
      <c r="J188" s="522"/>
      <c r="K188" s="522"/>
      <c r="L188" s="522"/>
      <c r="M188" s="522"/>
    </row>
    <row r="189" spans="1:13" x14ac:dyDescent="0.25">
      <c r="A189" s="493"/>
      <c r="B189" s="522"/>
      <c r="C189" s="522"/>
      <c r="D189" s="522"/>
      <c r="E189" s="522"/>
      <c r="F189" s="522"/>
      <c r="G189" s="522"/>
      <c r="H189" s="522"/>
      <c r="I189" s="522"/>
      <c r="J189" s="522"/>
      <c r="K189" s="522"/>
      <c r="L189" s="522"/>
      <c r="M189" s="522"/>
    </row>
    <row r="190" spans="1:13" x14ac:dyDescent="0.25">
      <c r="A190" s="493"/>
      <c r="B190" s="522"/>
      <c r="C190" s="522"/>
      <c r="D190" s="522"/>
      <c r="E190" s="522"/>
      <c r="F190" s="522"/>
      <c r="G190" s="522"/>
      <c r="H190" s="522"/>
      <c r="I190" s="522"/>
      <c r="J190" s="522"/>
      <c r="K190" s="522"/>
      <c r="L190" s="522"/>
      <c r="M190" s="522"/>
    </row>
    <row r="191" spans="1:13" x14ac:dyDescent="0.25">
      <c r="A191" s="493"/>
      <c r="B191" s="522"/>
      <c r="C191" s="522"/>
      <c r="D191" s="522"/>
      <c r="E191" s="522"/>
      <c r="F191" s="522"/>
      <c r="G191" s="522"/>
      <c r="H191" s="522"/>
      <c r="I191" s="522"/>
      <c r="J191" s="522"/>
      <c r="K191" s="522"/>
      <c r="L191" s="522"/>
      <c r="M191" s="522"/>
    </row>
    <row r="192" spans="1:13" x14ac:dyDescent="0.25">
      <c r="A192" s="493"/>
      <c r="B192" s="522"/>
      <c r="C192" s="522"/>
      <c r="D192" s="522"/>
      <c r="E192" s="522"/>
      <c r="F192" s="522"/>
      <c r="G192" s="522"/>
      <c r="H192" s="522"/>
      <c r="I192" s="522"/>
      <c r="J192" s="522"/>
      <c r="K192" s="522"/>
      <c r="L192" s="522"/>
      <c r="M192" s="522"/>
    </row>
    <row r="193" spans="1:13" x14ac:dyDescent="0.25">
      <c r="A193" s="493"/>
      <c r="B193" s="522"/>
      <c r="C193" s="522"/>
      <c r="D193" s="522"/>
      <c r="E193" s="522"/>
      <c r="F193" s="522"/>
      <c r="G193" s="522"/>
      <c r="H193" s="522"/>
      <c r="I193" s="522"/>
      <c r="J193" s="522"/>
      <c r="K193" s="522"/>
      <c r="L193" s="522"/>
      <c r="M193" s="522"/>
    </row>
    <row r="194" spans="1:13" x14ac:dyDescent="0.25">
      <c r="A194" s="493"/>
      <c r="B194" s="522"/>
      <c r="C194" s="522"/>
      <c r="D194" s="522"/>
      <c r="E194" s="522"/>
      <c r="F194" s="522"/>
      <c r="G194" s="522"/>
      <c r="H194" s="522"/>
      <c r="I194" s="522"/>
      <c r="J194" s="522"/>
      <c r="K194" s="522"/>
      <c r="L194" s="522"/>
      <c r="M194" s="522"/>
    </row>
  </sheetData>
  <mergeCells count="12">
    <mergeCell ref="B5:C5"/>
    <mergeCell ref="I5:K5"/>
    <mergeCell ref="N5:O5"/>
    <mergeCell ref="S5:U5"/>
    <mergeCell ref="Y5:AA5"/>
    <mergeCell ref="A1:W1"/>
    <mergeCell ref="Y1:AB1"/>
    <mergeCell ref="A2:V2"/>
    <mergeCell ref="Y2:AB2"/>
    <mergeCell ref="B4:L4"/>
    <mergeCell ref="N4:V4"/>
    <mergeCell ref="Y4:AB4"/>
  </mergeCells>
  <pageMargins left="0.75" right="0.75" top="1" bottom="1" header="0.5" footer="0.5"/>
  <pageSetup paperSize="5" scale="70" orientation="landscape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39">
    <pageSetUpPr fitToPage="1"/>
  </sheetPr>
  <dimension ref="A1:AD194"/>
  <sheetViews>
    <sheetView zoomScaleNormal="100" workbookViewId="0">
      <selection activeCell="B8" sqref="B8"/>
    </sheetView>
  </sheetViews>
  <sheetFormatPr defaultColWidth="9.1796875" defaultRowHeight="12.5" x14ac:dyDescent="0.25"/>
  <cols>
    <col min="1" max="1" width="13" style="492" customWidth="1"/>
    <col min="2" max="2" width="7.54296875" style="492" customWidth="1"/>
    <col min="3" max="3" width="7" style="492" hidden="1" customWidth="1"/>
    <col min="4" max="4" width="8.54296875" style="492" bestFit="1" customWidth="1"/>
    <col min="5" max="5" width="11.453125" style="492" customWidth="1"/>
    <col min="6" max="6" width="11.1796875" style="492" customWidth="1"/>
    <col min="7" max="7" width="12" style="492" bestFit="1" customWidth="1"/>
    <col min="8" max="8" width="11.1796875" style="492" customWidth="1"/>
    <col min="9" max="9" width="11.54296875" style="492" hidden="1" customWidth="1"/>
    <col min="10" max="10" width="11.54296875" style="492" bestFit="1" customWidth="1"/>
    <col min="11" max="11" width="4.81640625" style="492" hidden="1" customWidth="1"/>
    <col min="12" max="12" width="12.54296875" style="492" customWidth="1"/>
    <col min="13" max="13" width="2.54296875" style="492" customWidth="1"/>
    <col min="14" max="14" width="7" style="492" customWidth="1"/>
    <col min="15" max="15" width="4.81640625" style="492" hidden="1" customWidth="1"/>
    <col min="16" max="16" width="8.54296875" style="538" bestFit="1" customWidth="1"/>
    <col min="17" max="17" width="10.7265625" style="492" bestFit="1" customWidth="1"/>
    <col min="18" max="18" width="9.81640625" style="492" bestFit="1" customWidth="1"/>
    <col min="19" max="19" width="10.7265625" style="492" hidden="1" customWidth="1"/>
    <col min="20" max="20" width="12" style="492" bestFit="1" customWidth="1"/>
    <col min="21" max="21" width="4.81640625" style="492" hidden="1" customWidth="1"/>
    <col min="22" max="22" width="12" style="492" bestFit="1" customWidth="1"/>
    <col min="23" max="23" width="2.7265625" style="492" customWidth="1"/>
    <col min="24" max="24" width="13.81640625" style="492" bestFit="1" customWidth="1"/>
    <col min="25" max="25" width="12.81640625" style="492" hidden="1" customWidth="1"/>
    <col min="26" max="26" width="11.54296875" style="492" bestFit="1" customWidth="1"/>
    <col min="27" max="27" width="4.81640625" style="492" hidden="1" customWidth="1"/>
    <col min="28" max="28" width="10.453125" style="492" bestFit="1" customWidth="1"/>
    <col min="29" max="29" width="11.81640625" style="492" customWidth="1"/>
    <col min="30" max="30" width="9.7265625" style="492" bestFit="1" customWidth="1"/>
    <col min="31" max="16384" width="9.1796875" style="492"/>
  </cols>
  <sheetData>
    <row r="1" spans="1:30" ht="13" x14ac:dyDescent="0.3">
      <c r="A1" s="813" t="s">
        <v>497</v>
      </c>
      <c r="B1" s="813"/>
      <c r="C1" s="813"/>
      <c r="D1" s="813"/>
      <c r="E1" s="813"/>
      <c r="F1" s="813"/>
      <c r="G1" s="813"/>
      <c r="H1" s="813"/>
      <c r="I1" s="813"/>
      <c r="J1" s="813"/>
      <c r="K1" s="813"/>
      <c r="L1" s="813"/>
      <c r="M1" s="813"/>
      <c r="N1" s="813"/>
      <c r="O1" s="813"/>
      <c r="P1" s="813"/>
      <c r="Q1" s="813"/>
      <c r="R1" s="813"/>
      <c r="S1" s="813"/>
      <c r="T1" s="813"/>
      <c r="U1" s="813"/>
      <c r="V1" s="813"/>
      <c r="W1" s="813"/>
      <c r="X1" s="491"/>
      <c r="Y1" s="823"/>
      <c r="Z1" s="823"/>
      <c r="AA1" s="823"/>
      <c r="AB1" s="823"/>
    </row>
    <row r="2" spans="1:30" ht="13" x14ac:dyDescent="0.3">
      <c r="A2" s="815">
        <f>'[100]Sales Forecast'!C6</f>
        <v>43983</v>
      </c>
      <c r="B2" s="815"/>
      <c r="C2" s="815"/>
      <c r="D2" s="815"/>
      <c r="E2" s="815"/>
      <c r="F2" s="815"/>
      <c r="G2" s="815"/>
      <c r="H2" s="815"/>
      <c r="I2" s="815"/>
      <c r="J2" s="815"/>
      <c r="K2" s="815"/>
      <c r="L2" s="815"/>
      <c r="M2" s="815"/>
      <c r="N2" s="815"/>
      <c r="O2" s="815"/>
      <c r="P2" s="815"/>
      <c r="Q2" s="815"/>
      <c r="R2" s="815"/>
      <c r="S2" s="815"/>
      <c r="T2" s="815"/>
      <c r="U2" s="815"/>
      <c r="V2" s="815"/>
      <c r="Y2" s="824"/>
      <c r="Z2" s="824"/>
      <c r="AA2" s="824"/>
      <c r="AB2" s="824"/>
    </row>
    <row r="3" spans="1:30" ht="13" thickBot="1" x14ac:dyDescent="0.3">
      <c r="A3" s="493"/>
      <c r="B3" s="493"/>
      <c r="C3" s="493"/>
      <c r="D3" s="493"/>
      <c r="E3" s="493"/>
      <c r="F3" s="493"/>
      <c r="G3" s="493"/>
      <c r="H3" s="493"/>
      <c r="I3" s="493"/>
      <c r="J3" s="493"/>
      <c r="K3" s="493"/>
      <c r="L3" s="493"/>
      <c r="M3" s="493"/>
    </row>
    <row r="4" spans="1:30" ht="13.5" thickBot="1" x14ac:dyDescent="0.35">
      <c r="A4" s="493"/>
      <c r="B4" s="825" t="s">
        <v>498</v>
      </c>
      <c r="C4" s="826"/>
      <c r="D4" s="826"/>
      <c r="E4" s="826"/>
      <c r="F4" s="826"/>
      <c r="G4" s="826"/>
      <c r="H4" s="826"/>
      <c r="I4" s="826"/>
      <c r="J4" s="826"/>
      <c r="K4" s="826"/>
      <c r="L4" s="826"/>
      <c r="M4" s="493"/>
      <c r="N4" s="825" t="s">
        <v>499</v>
      </c>
      <c r="O4" s="826"/>
      <c r="P4" s="826"/>
      <c r="Q4" s="826"/>
      <c r="R4" s="826"/>
      <c r="S4" s="826"/>
      <c r="T4" s="826"/>
      <c r="U4" s="826"/>
      <c r="V4" s="826"/>
      <c r="Y4" s="827" t="s">
        <v>500</v>
      </c>
      <c r="Z4" s="828"/>
      <c r="AA4" s="828"/>
      <c r="AB4" s="828"/>
      <c r="AC4" s="494"/>
    </row>
    <row r="5" spans="1:30" x14ac:dyDescent="0.25">
      <c r="A5" s="493"/>
      <c r="B5" s="829" t="s">
        <v>501</v>
      </c>
      <c r="C5" s="829"/>
      <c r="D5" s="495" t="s">
        <v>284</v>
      </c>
      <c r="E5" s="495" t="s">
        <v>162</v>
      </c>
      <c r="F5" s="495" t="s">
        <v>162</v>
      </c>
      <c r="G5" s="495" t="s">
        <v>283</v>
      </c>
      <c r="H5" s="495" t="s">
        <v>283</v>
      </c>
      <c r="I5" s="829" t="s">
        <v>502</v>
      </c>
      <c r="J5" s="829"/>
      <c r="K5" s="829"/>
      <c r="L5" s="496" t="s">
        <v>503</v>
      </c>
      <c r="M5" s="493"/>
      <c r="N5" s="829" t="s">
        <v>501</v>
      </c>
      <c r="O5" s="829"/>
      <c r="P5" s="539" t="str">
        <f>D5</f>
        <v>Capacity</v>
      </c>
      <c r="Q5" s="495" t="s">
        <v>260</v>
      </c>
      <c r="R5" s="495" t="s">
        <v>260</v>
      </c>
      <c r="S5" s="829" t="s">
        <v>504</v>
      </c>
      <c r="T5" s="829"/>
      <c r="U5" s="829"/>
      <c r="V5" s="496" t="s">
        <v>505</v>
      </c>
      <c r="Y5" s="830" t="s">
        <v>506</v>
      </c>
      <c r="Z5" s="830"/>
      <c r="AA5" s="830"/>
      <c r="AB5" s="496" t="s">
        <v>507</v>
      </c>
      <c r="AC5" s="497"/>
    </row>
    <row r="6" spans="1:30" x14ac:dyDescent="0.25">
      <c r="A6" s="493" t="s">
        <v>508</v>
      </c>
      <c r="B6" s="498" t="s">
        <v>368</v>
      </c>
      <c r="C6" s="498" t="s">
        <v>366</v>
      </c>
      <c r="D6" s="498" t="s">
        <v>366</v>
      </c>
      <c r="E6" s="498" t="s">
        <v>509</v>
      </c>
      <c r="F6" s="498" t="s">
        <v>135</v>
      </c>
      <c r="G6" s="498" t="s">
        <v>509</v>
      </c>
      <c r="H6" s="498" t="s">
        <v>135</v>
      </c>
      <c r="I6" s="498" t="s">
        <v>510</v>
      </c>
      <c r="J6" s="498" t="str">
        <f>D5</f>
        <v>Capacity</v>
      </c>
      <c r="K6" s="498" t="s">
        <v>162</v>
      </c>
      <c r="L6" s="498" t="s">
        <v>162</v>
      </c>
      <c r="M6" s="499"/>
      <c r="N6" s="498" t="s">
        <v>368</v>
      </c>
      <c r="O6" s="498" t="s">
        <v>366</v>
      </c>
      <c r="P6" s="540" t="s">
        <v>366</v>
      </c>
      <c r="Q6" s="498" t="s">
        <v>509</v>
      </c>
      <c r="R6" s="498" t="s">
        <v>135</v>
      </c>
      <c r="S6" s="498" t="s">
        <v>510</v>
      </c>
      <c r="T6" s="498" t="str">
        <f>J6</f>
        <v>Capacity</v>
      </c>
      <c r="U6" s="498" t="s">
        <v>162</v>
      </c>
      <c r="V6" s="498" t="s">
        <v>162</v>
      </c>
      <c r="X6" s="498" t="s">
        <v>508</v>
      </c>
      <c r="Y6" s="498" t="s">
        <v>510</v>
      </c>
      <c r="Z6" s="498" t="str">
        <f>T6</f>
        <v>Capacity</v>
      </c>
      <c r="AA6" s="498" t="s">
        <v>162</v>
      </c>
      <c r="AB6" s="498" t="s">
        <v>162</v>
      </c>
      <c r="AC6" s="498"/>
    </row>
    <row r="7" spans="1:30" x14ac:dyDescent="0.25">
      <c r="A7" s="493"/>
      <c r="B7" s="493"/>
      <c r="C7" s="493"/>
      <c r="D7" s="493"/>
      <c r="E7" s="493"/>
      <c r="F7" s="493"/>
      <c r="G7" s="493"/>
      <c r="H7" s="493"/>
      <c r="I7" s="493"/>
      <c r="J7" s="493"/>
      <c r="K7" s="493"/>
      <c r="L7" s="493"/>
      <c r="M7" s="493"/>
      <c r="N7" s="493"/>
      <c r="O7" s="493"/>
      <c r="P7" s="541"/>
      <c r="Q7" s="493"/>
      <c r="R7" s="493"/>
      <c r="S7" s="493"/>
      <c r="T7" s="493"/>
      <c r="U7" s="493"/>
      <c r="V7" s="493"/>
    </row>
    <row r="8" spans="1:30" x14ac:dyDescent="0.25">
      <c r="A8" s="500">
        <v>1</v>
      </c>
      <c r="B8" s="529">
        <f>'Forecast MAC Total'!R19</f>
        <v>1.12E-2</v>
      </c>
      <c r="C8" s="522" t="e">
        <f>#REF!</f>
        <v>#REF!</v>
      </c>
      <c r="D8" s="522">
        <f>+'May - Oct Capacity MSC by Class'!G20</f>
        <v>3.4700000000000002E-2</v>
      </c>
      <c r="E8" s="530">
        <f>+'Adj Sales Forecast'!C10</f>
        <v>1080621042</v>
      </c>
      <c r="F8" s="493">
        <v>0</v>
      </c>
      <c r="G8" s="8">
        <f>ROUND(E8*0.88,0)</f>
        <v>950946517</v>
      </c>
      <c r="H8" s="8">
        <f>ROUND(F8*0.88,0)</f>
        <v>0</v>
      </c>
      <c r="I8" s="169" t="e">
        <f>ROUND(C8*G8,0)</f>
        <v>#REF!</v>
      </c>
      <c r="J8" s="169">
        <f>ROUND(D8*G8,0)</f>
        <v>32997844</v>
      </c>
      <c r="K8" s="169" t="e">
        <f t="shared" ref="K8:K19" si="0">I8+J8</f>
        <v>#REF!</v>
      </c>
      <c r="L8" s="169">
        <f t="shared" ref="L8:L19" si="1">ROUND(B8*G8,0)</f>
        <v>10650601</v>
      </c>
      <c r="M8" s="493"/>
      <c r="N8" s="501">
        <f t="shared" ref="N8:N19" si="2">$B$8</f>
        <v>1.12E-2</v>
      </c>
      <c r="O8" s="493" t="e">
        <f>#REF!</f>
        <v>#REF!</v>
      </c>
      <c r="P8" s="541">
        <f>'May Price Out'!P8</f>
        <v>2.4369999999999999E-2</v>
      </c>
      <c r="Q8" s="502">
        <f>E8-G8</f>
        <v>129674525</v>
      </c>
      <c r="R8" s="502">
        <f>F8-H8</f>
        <v>0</v>
      </c>
      <c r="S8" s="169" t="e">
        <f t="shared" ref="S8:S19" si="3">ROUND(O8*Q8,0)</f>
        <v>#REF!</v>
      </c>
      <c r="T8" s="169">
        <f>ROUND(P8*Q8,0)</f>
        <v>3160168</v>
      </c>
      <c r="U8" s="169" t="e">
        <f t="shared" ref="U8:U19" si="4">S8+T8</f>
        <v>#REF!</v>
      </c>
      <c r="V8" s="169">
        <f t="shared" ref="V8:V19" si="5">ROUND(N8*Q8,0)</f>
        <v>1452355</v>
      </c>
      <c r="X8" s="500">
        <v>1</v>
      </c>
      <c r="Y8" s="503" t="e">
        <f t="shared" ref="Y8:Z19" si="6">I8+S8</f>
        <v>#REF!</v>
      </c>
      <c r="Z8" s="503">
        <f t="shared" si="6"/>
        <v>36158012</v>
      </c>
      <c r="AA8" s="503" t="e">
        <f t="shared" ref="AA8:AA19" si="7">Y8+Z8</f>
        <v>#REF!</v>
      </c>
      <c r="AB8" s="503">
        <f t="shared" ref="AB8:AB19" si="8">L8+V8</f>
        <v>12102956</v>
      </c>
    </row>
    <row r="9" spans="1:30" x14ac:dyDescent="0.25">
      <c r="A9" s="500" t="s">
        <v>511</v>
      </c>
      <c r="B9" s="529">
        <f>$B$8</f>
        <v>1.12E-2</v>
      </c>
      <c r="C9" s="522" t="e">
        <f>#REF!</f>
        <v>#REF!</v>
      </c>
      <c r="D9" s="522">
        <f>+'May - Oct Capacity MSC by Class'!G40</f>
        <v>7.7899999999999997E-2</v>
      </c>
      <c r="E9" s="530">
        <f>+'Adj Sales Forecast'!C37</f>
        <v>2121246</v>
      </c>
      <c r="F9" s="493">
        <v>0</v>
      </c>
      <c r="G9" s="8">
        <f>ROUND(E9*0.88,0)</f>
        <v>1866696</v>
      </c>
      <c r="H9" s="8">
        <f>ROUND(F9*0.88,0)</f>
        <v>0</v>
      </c>
      <c r="I9" s="169" t="e">
        <f t="shared" ref="I9:I19" si="9">ROUND(C9*G9,0)</f>
        <v>#REF!</v>
      </c>
      <c r="J9" s="169">
        <f t="shared" ref="J9:J19" si="10">ROUND(D9*G9,0)</f>
        <v>145416</v>
      </c>
      <c r="K9" s="169" t="e">
        <f t="shared" si="0"/>
        <v>#REF!</v>
      </c>
      <c r="L9" s="169">
        <f t="shared" si="1"/>
        <v>20907</v>
      </c>
      <c r="M9" s="493"/>
      <c r="N9" s="501">
        <f t="shared" si="2"/>
        <v>1.12E-2</v>
      </c>
      <c r="O9" s="493" t="e">
        <f>#REF!</f>
        <v>#REF!</v>
      </c>
      <c r="P9" s="541">
        <f>'May Price Out'!P9</f>
        <v>5.4699999999999999E-2</v>
      </c>
      <c r="Q9" s="502">
        <f>E9-G9</f>
        <v>254550</v>
      </c>
      <c r="R9" s="502">
        <f>F9-H9</f>
        <v>0</v>
      </c>
      <c r="S9" s="169" t="e">
        <f t="shared" si="3"/>
        <v>#REF!</v>
      </c>
      <c r="T9" s="169">
        <f t="shared" ref="T9:T19" si="11">ROUND(P9*Q9,0)</f>
        <v>13924</v>
      </c>
      <c r="U9" s="169" t="e">
        <f t="shared" si="4"/>
        <v>#REF!</v>
      </c>
      <c r="V9" s="169">
        <f t="shared" si="5"/>
        <v>2851</v>
      </c>
      <c r="X9" s="500" t="s">
        <v>511</v>
      </c>
      <c r="Y9" s="503" t="e">
        <f t="shared" si="6"/>
        <v>#REF!</v>
      </c>
      <c r="Z9" s="503">
        <f t="shared" si="6"/>
        <v>159340</v>
      </c>
      <c r="AA9" s="503" t="e">
        <f t="shared" si="7"/>
        <v>#REF!</v>
      </c>
      <c r="AB9" s="503">
        <f t="shared" si="8"/>
        <v>23758</v>
      </c>
      <c r="AD9" s="503"/>
    </row>
    <row r="10" spans="1:30" x14ac:dyDescent="0.25">
      <c r="A10" s="500" t="s">
        <v>512</v>
      </c>
      <c r="B10" s="529">
        <f t="shared" ref="B10:B42" si="12">$B$8</f>
        <v>1.12E-2</v>
      </c>
      <c r="C10" s="533" t="e">
        <f>#REF!</f>
        <v>#REF!</v>
      </c>
      <c r="D10" s="522">
        <v>0</v>
      </c>
      <c r="E10" s="530">
        <f>+'Adj Sales Forecast'!C38</f>
        <v>3257712</v>
      </c>
      <c r="F10" s="493">
        <v>0</v>
      </c>
      <c r="G10" s="8">
        <f t="shared" ref="G10:H19" si="13">ROUND(E10*0.88,0)</f>
        <v>2866787</v>
      </c>
      <c r="H10" s="8">
        <f>ROUND(F10*0.88,0)</f>
        <v>0</v>
      </c>
      <c r="I10" s="169" t="e">
        <f t="shared" si="9"/>
        <v>#REF!</v>
      </c>
      <c r="J10" s="169">
        <f t="shared" si="10"/>
        <v>0</v>
      </c>
      <c r="K10" s="169" t="e">
        <f t="shared" si="0"/>
        <v>#REF!</v>
      </c>
      <c r="L10" s="169">
        <f t="shared" si="1"/>
        <v>32108</v>
      </c>
      <c r="M10" s="493"/>
      <c r="N10" s="501">
        <f t="shared" si="2"/>
        <v>1.12E-2</v>
      </c>
      <c r="O10" s="504" t="e">
        <f>#REF!</f>
        <v>#REF!</v>
      </c>
      <c r="P10" s="541">
        <f>'May Price Out'!P10</f>
        <v>0</v>
      </c>
      <c r="Q10" s="502">
        <f t="shared" ref="Q10:R19" si="14">E10-G10</f>
        <v>390925</v>
      </c>
      <c r="R10" s="502">
        <f>F10-H10</f>
        <v>0</v>
      </c>
      <c r="S10" s="169" t="e">
        <f t="shared" si="3"/>
        <v>#REF!</v>
      </c>
      <c r="T10" s="169">
        <f t="shared" si="11"/>
        <v>0</v>
      </c>
      <c r="U10" s="169" t="e">
        <f t="shared" si="4"/>
        <v>#REF!</v>
      </c>
      <c r="V10" s="169">
        <f t="shared" si="5"/>
        <v>4378</v>
      </c>
      <c r="X10" s="500" t="s">
        <v>512</v>
      </c>
      <c r="Y10" s="503" t="e">
        <f t="shared" si="6"/>
        <v>#REF!</v>
      </c>
      <c r="Z10" s="503">
        <f t="shared" si="6"/>
        <v>0</v>
      </c>
      <c r="AA10" s="503" t="e">
        <f t="shared" si="7"/>
        <v>#REF!</v>
      </c>
      <c r="AB10" s="503">
        <f t="shared" si="8"/>
        <v>36486</v>
      </c>
    </row>
    <row r="11" spans="1:30" x14ac:dyDescent="0.25">
      <c r="A11" s="500">
        <v>2</v>
      </c>
      <c r="B11" s="529">
        <f t="shared" si="12"/>
        <v>1.12E-2</v>
      </c>
      <c r="C11" s="533" t="e">
        <f>#REF!</f>
        <v>#REF!</v>
      </c>
      <c r="D11" s="522">
        <f>+'May - Oct Capacity MSC by Class'!G21</f>
        <v>0.02</v>
      </c>
      <c r="E11" s="530">
        <f>+'Adj Sales Forecast'!C15</f>
        <v>182123848</v>
      </c>
      <c r="F11" s="493">
        <v>0</v>
      </c>
      <c r="G11" s="8">
        <f t="shared" si="13"/>
        <v>160268986</v>
      </c>
      <c r="H11" s="8">
        <f t="shared" si="13"/>
        <v>0</v>
      </c>
      <c r="I11" s="169" t="e">
        <f t="shared" si="9"/>
        <v>#REF!</v>
      </c>
      <c r="J11" s="169">
        <f t="shared" si="10"/>
        <v>3205380</v>
      </c>
      <c r="K11" s="169" t="e">
        <f t="shared" si="0"/>
        <v>#REF!</v>
      </c>
      <c r="L11" s="169">
        <f t="shared" si="1"/>
        <v>1795013</v>
      </c>
      <c r="M11" s="493"/>
      <c r="N11" s="501">
        <f t="shared" si="2"/>
        <v>1.12E-2</v>
      </c>
      <c r="O11" s="504" t="e">
        <f>#REF!</f>
        <v>#REF!</v>
      </c>
      <c r="P11" s="541">
        <f>'May Price Out'!P11</f>
        <v>1.8599999999999998E-2</v>
      </c>
      <c r="Q11" s="502">
        <f t="shared" si="14"/>
        <v>21854862</v>
      </c>
      <c r="R11" s="502">
        <f t="shared" si="14"/>
        <v>0</v>
      </c>
      <c r="S11" s="169" t="e">
        <f t="shared" si="3"/>
        <v>#REF!</v>
      </c>
      <c r="T11" s="169">
        <f t="shared" si="11"/>
        <v>406500</v>
      </c>
      <c r="U11" s="169" t="e">
        <f t="shared" si="4"/>
        <v>#REF!</v>
      </c>
      <c r="V11" s="169">
        <f t="shared" si="5"/>
        <v>244774</v>
      </c>
      <c r="X11" s="500">
        <v>2</v>
      </c>
      <c r="Y11" s="503" t="e">
        <f t="shared" si="6"/>
        <v>#REF!</v>
      </c>
      <c r="Z11" s="503">
        <f t="shared" si="6"/>
        <v>3611880</v>
      </c>
      <c r="AA11" s="503" t="e">
        <f t="shared" si="7"/>
        <v>#REF!</v>
      </c>
      <c r="AB11" s="503">
        <f t="shared" si="8"/>
        <v>2039787</v>
      </c>
    </row>
    <row r="12" spans="1:30" x14ac:dyDescent="0.25">
      <c r="A12" s="500" t="s">
        <v>513</v>
      </c>
      <c r="B12" s="529">
        <f>$B$8</f>
        <v>1.12E-2</v>
      </c>
      <c r="C12" s="522" t="e">
        <f>#REF!</f>
        <v>#REF!</v>
      </c>
      <c r="D12" s="522">
        <f>+'May - Oct Capacity MSC by Class'!G43</f>
        <v>4.1200000000000001E-2</v>
      </c>
      <c r="E12" s="530">
        <f>+'Adj Sales Forecast'!C40</f>
        <v>3819630</v>
      </c>
      <c r="F12" s="493">
        <v>0</v>
      </c>
      <c r="G12" s="8">
        <f t="shared" si="13"/>
        <v>3361274</v>
      </c>
      <c r="H12" s="8">
        <f t="shared" si="13"/>
        <v>0</v>
      </c>
      <c r="I12" s="169" t="e">
        <f t="shared" si="9"/>
        <v>#REF!</v>
      </c>
      <c r="J12" s="169">
        <f t="shared" si="10"/>
        <v>138484</v>
      </c>
      <c r="K12" s="169" t="e">
        <f t="shared" si="0"/>
        <v>#REF!</v>
      </c>
      <c r="L12" s="169">
        <f t="shared" si="1"/>
        <v>37646</v>
      </c>
      <c r="M12" s="493"/>
      <c r="N12" s="501">
        <f t="shared" si="2"/>
        <v>1.12E-2</v>
      </c>
      <c r="O12" s="493" t="e">
        <f>#REF!</f>
        <v>#REF!</v>
      </c>
      <c r="P12" s="541">
        <f>'May Price Out'!P12</f>
        <v>3.8199999999999998E-2</v>
      </c>
      <c r="Q12" s="502">
        <f t="shared" si="14"/>
        <v>458356</v>
      </c>
      <c r="R12" s="502">
        <f t="shared" si="14"/>
        <v>0</v>
      </c>
      <c r="S12" s="169" t="e">
        <f t="shared" si="3"/>
        <v>#REF!</v>
      </c>
      <c r="T12" s="169">
        <f t="shared" si="11"/>
        <v>17509</v>
      </c>
      <c r="U12" s="169" t="e">
        <f t="shared" si="4"/>
        <v>#REF!</v>
      </c>
      <c r="V12" s="169">
        <f t="shared" si="5"/>
        <v>5134</v>
      </c>
      <c r="X12" s="500" t="s">
        <v>513</v>
      </c>
      <c r="Y12" s="503" t="e">
        <f t="shared" si="6"/>
        <v>#REF!</v>
      </c>
      <c r="Z12" s="503">
        <f t="shared" si="6"/>
        <v>155993</v>
      </c>
      <c r="AA12" s="503" t="e">
        <f t="shared" si="7"/>
        <v>#REF!</v>
      </c>
      <c r="AB12" s="503">
        <f t="shared" si="8"/>
        <v>42780</v>
      </c>
    </row>
    <row r="13" spans="1:30" x14ac:dyDescent="0.25">
      <c r="A13" s="500" t="s">
        <v>514</v>
      </c>
      <c r="B13" s="529">
        <f t="shared" si="12"/>
        <v>1.12E-2</v>
      </c>
      <c r="C13" s="533" t="e">
        <f>#REF!</f>
        <v>#REF!</v>
      </c>
      <c r="D13" s="522">
        <v>0</v>
      </c>
      <c r="E13" s="530">
        <f>+'Adj Sales Forecast'!C41</f>
        <v>5056522</v>
      </c>
      <c r="F13" s="493">
        <v>0</v>
      </c>
      <c r="G13" s="8">
        <f t="shared" si="13"/>
        <v>4449739</v>
      </c>
      <c r="H13" s="8">
        <f t="shared" si="13"/>
        <v>0</v>
      </c>
      <c r="I13" s="169" t="e">
        <f t="shared" si="9"/>
        <v>#REF!</v>
      </c>
      <c r="J13" s="169">
        <f t="shared" si="10"/>
        <v>0</v>
      </c>
      <c r="K13" s="169" t="e">
        <f t="shared" si="0"/>
        <v>#REF!</v>
      </c>
      <c r="L13" s="169">
        <f t="shared" si="1"/>
        <v>49837</v>
      </c>
      <c r="M13" s="493"/>
      <c r="N13" s="501">
        <f t="shared" si="2"/>
        <v>1.12E-2</v>
      </c>
      <c r="O13" s="504" t="e">
        <f>#REF!</f>
        <v>#REF!</v>
      </c>
      <c r="P13" s="541">
        <f>'May Price Out'!P13</f>
        <v>0</v>
      </c>
      <c r="Q13" s="502">
        <f t="shared" si="14"/>
        <v>606783</v>
      </c>
      <c r="R13" s="502">
        <f t="shared" si="14"/>
        <v>0</v>
      </c>
      <c r="S13" s="169" t="e">
        <f t="shared" si="3"/>
        <v>#REF!</v>
      </c>
      <c r="T13" s="169">
        <f t="shared" si="11"/>
        <v>0</v>
      </c>
      <c r="U13" s="169" t="e">
        <f t="shared" si="4"/>
        <v>#REF!</v>
      </c>
      <c r="V13" s="169">
        <f t="shared" si="5"/>
        <v>6796</v>
      </c>
      <c r="X13" s="500" t="s">
        <v>514</v>
      </c>
      <c r="Y13" s="503" t="e">
        <f t="shared" si="6"/>
        <v>#REF!</v>
      </c>
      <c r="Z13" s="503">
        <f t="shared" si="6"/>
        <v>0</v>
      </c>
      <c r="AA13" s="503" t="e">
        <f t="shared" si="7"/>
        <v>#REF!</v>
      </c>
      <c r="AB13" s="503">
        <f t="shared" si="8"/>
        <v>56633</v>
      </c>
    </row>
    <row r="14" spans="1:30" x14ac:dyDescent="0.25">
      <c r="A14" s="500">
        <v>6</v>
      </c>
      <c r="B14" s="529">
        <f t="shared" si="12"/>
        <v>1.12E-2</v>
      </c>
      <c r="C14" s="522" t="e">
        <f>#REF!</f>
        <v>#REF!</v>
      </c>
      <c r="D14" s="522">
        <f>+'May - Oct Capacity MSC by Class'!G25</f>
        <v>4.0000000000000002E-4</v>
      </c>
      <c r="E14" s="530">
        <f>+'Adj Sales Forecast'!C18</f>
        <v>565481</v>
      </c>
      <c r="F14" s="493">
        <v>0</v>
      </c>
      <c r="G14" s="8">
        <f t="shared" si="13"/>
        <v>497623</v>
      </c>
      <c r="H14" s="8">
        <f t="shared" si="13"/>
        <v>0</v>
      </c>
      <c r="I14" s="169" t="e">
        <f t="shared" si="9"/>
        <v>#REF!</v>
      </c>
      <c r="J14" s="169">
        <f t="shared" si="10"/>
        <v>199</v>
      </c>
      <c r="K14" s="169" t="e">
        <f t="shared" si="0"/>
        <v>#REF!</v>
      </c>
      <c r="L14" s="169">
        <f t="shared" si="1"/>
        <v>5573</v>
      </c>
      <c r="M14" s="493"/>
      <c r="N14" s="501">
        <f t="shared" si="2"/>
        <v>1.12E-2</v>
      </c>
      <c r="O14" s="493" t="e">
        <f>#REF!</f>
        <v>#REF!</v>
      </c>
      <c r="P14" s="541">
        <f>'May Price Out'!P14</f>
        <v>4.0000000000000002E-4</v>
      </c>
      <c r="Q14" s="502">
        <f t="shared" si="14"/>
        <v>67858</v>
      </c>
      <c r="R14" s="502">
        <f t="shared" si="14"/>
        <v>0</v>
      </c>
      <c r="S14" s="169" t="e">
        <f t="shared" si="3"/>
        <v>#REF!</v>
      </c>
      <c r="T14" s="169">
        <f t="shared" si="11"/>
        <v>27</v>
      </c>
      <c r="U14" s="169" t="e">
        <f t="shared" si="4"/>
        <v>#REF!</v>
      </c>
      <c r="V14" s="169">
        <f t="shared" si="5"/>
        <v>760</v>
      </c>
      <c r="X14" s="500">
        <v>6</v>
      </c>
      <c r="Y14" s="503" t="e">
        <f t="shared" si="6"/>
        <v>#REF!</v>
      </c>
      <c r="Z14" s="503">
        <f t="shared" si="6"/>
        <v>226</v>
      </c>
      <c r="AA14" s="503" t="e">
        <f t="shared" si="7"/>
        <v>#REF!</v>
      </c>
      <c r="AB14" s="503">
        <f t="shared" si="8"/>
        <v>6333</v>
      </c>
    </row>
    <row r="15" spans="1:30" hidden="1" x14ac:dyDescent="0.25">
      <c r="A15" s="500">
        <v>7</v>
      </c>
      <c r="B15" s="529">
        <f t="shared" si="12"/>
        <v>1.12E-2</v>
      </c>
      <c r="C15" s="522" t="e">
        <f>#REF!</f>
        <v>#REF!</v>
      </c>
      <c r="D15" s="522"/>
      <c r="E15" s="530"/>
      <c r="F15" s="493"/>
      <c r="G15" s="8"/>
      <c r="H15" s="8"/>
      <c r="I15" s="169"/>
      <c r="J15" s="169"/>
      <c r="K15" s="169"/>
      <c r="L15" s="169"/>
      <c r="M15" s="493"/>
      <c r="N15" s="501">
        <f t="shared" si="2"/>
        <v>1.12E-2</v>
      </c>
      <c r="O15" s="493" t="e">
        <f>#REF!</f>
        <v>#REF!</v>
      </c>
      <c r="P15" s="541">
        <f>'May Price Out'!P15</f>
        <v>0</v>
      </c>
      <c r="Q15" s="502">
        <f t="shared" si="14"/>
        <v>0</v>
      </c>
      <c r="R15" s="502">
        <f t="shared" si="14"/>
        <v>0</v>
      </c>
      <c r="S15" s="169" t="e">
        <f t="shared" si="3"/>
        <v>#REF!</v>
      </c>
      <c r="T15" s="169">
        <f t="shared" si="11"/>
        <v>0</v>
      </c>
      <c r="U15" s="169" t="e">
        <f t="shared" si="4"/>
        <v>#REF!</v>
      </c>
      <c r="V15" s="169">
        <f t="shared" si="5"/>
        <v>0</v>
      </c>
      <c r="X15" s="500">
        <v>7</v>
      </c>
      <c r="Y15" s="503" t="e">
        <f t="shared" si="6"/>
        <v>#REF!</v>
      </c>
      <c r="Z15" s="503">
        <f t="shared" si="6"/>
        <v>0</v>
      </c>
      <c r="AA15" s="503" t="e">
        <f t="shared" si="7"/>
        <v>#REF!</v>
      </c>
      <c r="AB15" s="503">
        <f t="shared" si="8"/>
        <v>0</v>
      </c>
    </row>
    <row r="16" spans="1:30" hidden="1" x14ac:dyDescent="0.25">
      <c r="A16" s="500" t="s">
        <v>515</v>
      </c>
      <c r="B16" s="529">
        <f t="shared" si="12"/>
        <v>1.12E-2</v>
      </c>
      <c r="C16" s="522" t="e">
        <f>#REF!</f>
        <v>#REF!</v>
      </c>
      <c r="D16" s="522"/>
      <c r="E16" s="530"/>
      <c r="F16" s="493"/>
      <c r="G16" s="8"/>
      <c r="H16" s="8"/>
      <c r="I16" s="169"/>
      <c r="J16" s="169"/>
      <c r="K16" s="169"/>
      <c r="L16" s="169"/>
      <c r="M16" s="493"/>
      <c r="N16" s="501">
        <f t="shared" si="2"/>
        <v>1.12E-2</v>
      </c>
      <c r="O16" s="493" t="e">
        <f>#REF!</f>
        <v>#REF!</v>
      </c>
      <c r="P16" s="541">
        <f>'May Price Out'!P16</f>
        <v>0</v>
      </c>
      <c r="Q16" s="502">
        <f t="shared" si="14"/>
        <v>0</v>
      </c>
      <c r="R16" s="502">
        <f t="shared" si="14"/>
        <v>0</v>
      </c>
      <c r="S16" s="169" t="e">
        <f t="shared" si="3"/>
        <v>#REF!</v>
      </c>
      <c r="T16" s="169">
        <f t="shared" si="11"/>
        <v>0</v>
      </c>
      <c r="U16" s="169" t="e">
        <f t="shared" si="4"/>
        <v>#REF!</v>
      </c>
      <c r="V16" s="169">
        <f t="shared" si="5"/>
        <v>0</v>
      </c>
      <c r="X16" s="500" t="s">
        <v>515</v>
      </c>
      <c r="Y16" s="503" t="e">
        <f t="shared" si="6"/>
        <v>#REF!</v>
      </c>
      <c r="Z16" s="503">
        <f t="shared" si="6"/>
        <v>0</v>
      </c>
      <c r="AA16" s="503" t="e">
        <f t="shared" si="7"/>
        <v>#REF!</v>
      </c>
      <c r="AB16" s="503">
        <f t="shared" si="8"/>
        <v>0</v>
      </c>
    </row>
    <row r="17" spans="1:28" hidden="1" x14ac:dyDescent="0.25">
      <c r="A17" s="500" t="s">
        <v>516</v>
      </c>
      <c r="B17" s="529">
        <f t="shared" si="12"/>
        <v>1.12E-2</v>
      </c>
      <c r="C17" s="533" t="e">
        <f>#REF!</f>
        <v>#REF!</v>
      </c>
      <c r="D17" s="522"/>
      <c r="E17" s="530"/>
      <c r="F17" s="493"/>
      <c r="G17" s="8"/>
      <c r="H17" s="8"/>
      <c r="I17" s="169"/>
      <c r="J17" s="169"/>
      <c r="K17" s="169"/>
      <c r="L17" s="169"/>
      <c r="M17" s="493"/>
      <c r="N17" s="501">
        <f t="shared" si="2"/>
        <v>1.12E-2</v>
      </c>
      <c r="O17" s="504" t="e">
        <f>#REF!</f>
        <v>#REF!</v>
      </c>
      <c r="P17" s="541">
        <f>'May Price Out'!P17</f>
        <v>0</v>
      </c>
      <c r="Q17" s="502">
        <f t="shared" si="14"/>
        <v>0</v>
      </c>
      <c r="R17" s="502">
        <f t="shared" si="14"/>
        <v>0</v>
      </c>
      <c r="S17" s="169" t="e">
        <f t="shared" si="3"/>
        <v>#REF!</v>
      </c>
      <c r="T17" s="169">
        <f t="shared" si="11"/>
        <v>0</v>
      </c>
      <c r="U17" s="169" t="e">
        <f t="shared" si="4"/>
        <v>#REF!</v>
      </c>
      <c r="V17" s="169">
        <f t="shared" si="5"/>
        <v>0</v>
      </c>
      <c r="X17" s="500" t="s">
        <v>516</v>
      </c>
      <c r="Y17" s="503" t="e">
        <f t="shared" si="6"/>
        <v>#REF!</v>
      </c>
      <c r="Z17" s="503">
        <f t="shared" si="6"/>
        <v>0</v>
      </c>
      <c r="AA17" s="503" t="e">
        <f t="shared" si="7"/>
        <v>#REF!</v>
      </c>
      <c r="AB17" s="503">
        <f t="shared" si="8"/>
        <v>0</v>
      </c>
    </row>
    <row r="18" spans="1:28" x14ac:dyDescent="0.25">
      <c r="A18" s="500" t="s">
        <v>56</v>
      </c>
      <c r="B18" s="529">
        <f t="shared" si="12"/>
        <v>1.12E-2</v>
      </c>
      <c r="C18" s="522" t="e">
        <f>#REF!</f>
        <v>#REF!</v>
      </c>
      <c r="D18" s="522">
        <f>+'May - Oct Capacity MSC by Class'!G30</f>
        <v>0</v>
      </c>
      <c r="E18" s="530">
        <f>+'Adj Sales Forecast'!C26</f>
        <v>0</v>
      </c>
      <c r="F18" s="493">
        <v>0</v>
      </c>
      <c r="G18" s="8">
        <f t="shared" si="13"/>
        <v>0</v>
      </c>
      <c r="H18" s="8">
        <f t="shared" si="13"/>
        <v>0</v>
      </c>
      <c r="I18" s="169" t="e">
        <f t="shared" si="9"/>
        <v>#REF!</v>
      </c>
      <c r="J18" s="169">
        <f t="shared" si="10"/>
        <v>0</v>
      </c>
      <c r="K18" s="169" t="e">
        <f t="shared" si="0"/>
        <v>#REF!</v>
      </c>
      <c r="L18" s="169">
        <f t="shared" si="1"/>
        <v>0</v>
      </c>
      <c r="M18" s="493"/>
      <c r="N18" s="501">
        <f t="shared" si="2"/>
        <v>1.12E-2</v>
      </c>
      <c r="O18" s="493" t="e">
        <f>#REF!</f>
        <v>#REF!</v>
      </c>
      <c r="P18" s="541">
        <f>'May Price Out'!P18</f>
        <v>0</v>
      </c>
      <c r="Q18" s="502">
        <f t="shared" si="14"/>
        <v>0</v>
      </c>
      <c r="R18" s="502">
        <f t="shared" si="14"/>
        <v>0</v>
      </c>
      <c r="S18" s="169" t="e">
        <f t="shared" si="3"/>
        <v>#REF!</v>
      </c>
      <c r="T18" s="169">
        <f t="shared" si="11"/>
        <v>0</v>
      </c>
      <c r="U18" s="169" t="e">
        <f t="shared" si="4"/>
        <v>#REF!</v>
      </c>
      <c r="V18" s="169">
        <f t="shared" si="5"/>
        <v>0</v>
      </c>
      <c r="X18" s="500" t="s">
        <v>56</v>
      </c>
      <c r="Y18" s="503" t="e">
        <f t="shared" si="6"/>
        <v>#REF!</v>
      </c>
      <c r="Z18" s="503">
        <f t="shared" si="6"/>
        <v>0</v>
      </c>
      <c r="AA18" s="503" t="e">
        <f t="shared" si="7"/>
        <v>#REF!</v>
      </c>
      <c r="AB18" s="503">
        <f t="shared" si="8"/>
        <v>0</v>
      </c>
    </row>
    <row r="19" spans="1:28" x14ac:dyDescent="0.25">
      <c r="A19" s="500" t="s">
        <v>517</v>
      </c>
      <c r="B19" s="529">
        <f t="shared" si="12"/>
        <v>1.12E-2</v>
      </c>
      <c r="C19" s="522" t="e">
        <f>#REF!</f>
        <v>#REF!</v>
      </c>
      <c r="D19" s="522">
        <f>+'May - Oct Capacity MSC by Class'!G32</f>
        <v>1.7100000000000001E-2</v>
      </c>
      <c r="E19" s="530">
        <f>+'Adj Sales Forecast'!C31</f>
        <v>65889</v>
      </c>
      <c r="F19" s="493">
        <v>0</v>
      </c>
      <c r="G19" s="8">
        <f t="shared" si="13"/>
        <v>57982</v>
      </c>
      <c r="H19" s="8">
        <f t="shared" si="13"/>
        <v>0</v>
      </c>
      <c r="I19" s="169" t="e">
        <f t="shared" si="9"/>
        <v>#REF!</v>
      </c>
      <c r="J19" s="169">
        <f t="shared" si="10"/>
        <v>991</v>
      </c>
      <c r="K19" s="169" t="e">
        <f t="shared" si="0"/>
        <v>#REF!</v>
      </c>
      <c r="L19" s="169">
        <f t="shared" si="1"/>
        <v>649</v>
      </c>
      <c r="M19" s="493"/>
      <c r="N19" s="501">
        <f t="shared" si="2"/>
        <v>1.12E-2</v>
      </c>
      <c r="O19" s="493" t="e">
        <f>#REF!</f>
        <v>#REF!</v>
      </c>
      <c r="P19" s="541">
        <f>'May Price Out'!P19</f>
        <v>1.5900000000000001E-2</v>
      </c>
      <c r="Q19" s="502">
        <f t="shared" si="14"/>
        <v>7907</v>
      </c>
      <c r="R19" s="502">
        <f t="shared" si="14"/>
        <v>0</v>
      </c>
      <c r="S19" s="169" t="e">
        <f t="shared" si="3"/>
        <v>#REF!</v>
      </c>
      <c r="T19" s="169">
        <f t="shared" si="11"/>
        <v>126</v>
      </c>
      <c r="U19" s="169" t="e">
        <f t="shared" si="4"/>
        <v>#REF!</v>
      </c>
      <c r="V19" s="169">
        <f t="shared" si="5"/>
        <v>89</v>
      </c>
      <c r="X19" s="500" t="s">
        <v>517</v>
      </c>
      <c r="Y19" s="503" t="e">
        <f t="shared" si="6"/>
        <v>#REF!</v>
      </c>
      <c r="Z19" s="503">
        <f t="shared" si="6"/>
        <v>1117</v>
      </c>
      <c r="AA19" s="503" t="e">
        <f t="shared" si="7"/>
        <v>#REF!</v>
      </c>
      <c r="AB19" s="503">
        <f t="shared" si="8"/>
        <v>738</v>
      </c>
    </row>
    <row r="20" spans="1:28" x14ac:dyDescent="0.25">
      <c r="A20" s="493"/>
      <c r="B20" s="522"/>
      <c r="C20" s="522"/>
      <c r="D20" s="522"/>
      <c r="E20" s="522"/>
      <c r="F20" s="493"/>
      <c r="G20" s="493"/>
      <c r="H20" s="493"/>
      <c r="I20" s="493"/>
      <c r="J20" s="493"/>
      <c r="K20" s="493"/>
      <c r="L20" s="493"/>
      <c r="M20" s="493"/>
      <c r="N20" s="501"/>
      <c r="O20" s="493"/>
      <c r="P20" s="541"/>
      <c r="Q20" s="493"/>
      <c r="R20" s="493"/>
      <c r="S20" s="493"/>
      <c r="T20" s="493"/>
      <c r="U20" s="493"/>
      <c r="V20" s="493"/>
      <c r="X20" s="493"/>
      <c r="Y20" s="503"/>
      <c r="Z20" s="503"/>
      <c r="AA20" s="503"/>
      <c r="AB20" s="503"/>
    </row>
    <row r="21" spans="1:28" x14ac:dyDescent="0.25">
      <c r="A21" s="493" t="s">
        <v>518</v>
      </c>
      <c r="B21" s="529">
        <f t="shared" si="12"/>
        <v>1.12E-2</v>
      </c>
      <c r="C21" s="522" t="e">
        <f>#REF!</f>
        <v>#REF!</v>
      </c>
      <c r="D21" s="534">
        <f>+'May - Oct Capacity MSC by Class'!G24</f>
        <v>5.9</v>
      </c>
      <c r="E21" s="530">
        <f>+'Adj Sales Forecast'!C16</f>
        <v>53106</v>
      </c>
      <c r="F21" s="8">
        <f>'[100]Adj Demand Forecast '!C6</f>
        <v>123</v>
      </c>
      <c r="G21" s="8">
        <f t="shared" ref="G21:H24" si="15">ROUND(E21*0.88,0)</f>
        <v>46733</v>
      </c>
      <c r="H21" s="8">
        <f t="shared" si="15"/>
        <v>108</v>
      </c>
      <c r="I21" s="169" t="e">
        <f t="shared" ref="I21:J24" si="16">ROUND(C21*G21,0)</f>
        <v>#REF!</v>
      </c>
      <c r="J21" s="169">
        <f t="shared" si="16"/>
        <v>637</v>
      </c>
      <c r="K21" s="169" t="e">
        <f>I21+J21</f>
        <v>#REF!</v>
      </c>
      <c r="L21" s="169">
        <f>ROUND(B21*G21,0)</f>
        <v>523</v>
      </c>
      <c r="M21" s="493"/>
      <c r="N21" s="501">
        <f>$B$8</f>
        <v>1.12E-2</v>
      </c>
      <c r="O21" s="493" t="e">
        <f>#REF!</f>
        <v>#REF!</v>
      </c>
      <c r="P21" s="541">
        <f>'May Price Out'!P21</f>
        <v>5.46</v>
      </c>
      <c r="Q21" s="502">
        <f t="shared" ref="Q21:R24" si="17">E21-G21</f>
        <v>6373</v>
      </c>
      <c r="R21" s="502">
        <f t="shared" si="17"/>
        <v>15</v>
      </c>
      <c r="S21" s="169" t="e">
        <f t="shared" ref="S21:T24" si="18">ROUND(O21*Q21,0)</f>
        <v>#REF!</v>
      </c>
      <c r="T21" s="169">
        <f t="shared" si="18"/>
        <v>82</v>
      </c>
      <c r="U21" s="169" t="e">
        <f>S21+T21</f>
        <v>#REF!</v>
      </c>
      <c r="V21" s="169">
        <f>ROUND(N21*Q21,0)</f>
        <v>71</v>
      </c>
      <c r="X21" s="493" t="s">
        <v>518</v>
      </c>
      <c r="Y21" s="503" t="e">
        <f t="shared" ref="Y21:Z24" si="19">I21+S21</f>
        <v>#REF!</v>
      </c>
      <c r="Z21" s="503">
        <f t="shared" si="19"/>
        <v>719</v>
      </c>
      <c r="AA21" s="503" t="e">
        <f>Y21+Z21</f>
        <v>#REF!</v>
      </c>
      <c r="AB21" s="503">
        <f>L21+V21</f>
        <v>594</v>
      </c>
    </row>
    <row r="22" spans="1:28" x14ac:dyDescent="0.25">
      <c r="A22" s="493" t="s">
        <v>303</v>
      </c>
      <c r="B22" s="529">
        <f t="shared" si="12"/>
        <v>1.12E-2</v>
      </c>
      <c r="C22" s="522" t="e">
        <f>#REF!</f>
        <v>#REF!</v>
      </c>
      <c r="D22" s="534">
        <f>+'May - Oct Capacity MSC by Class'!G27</f>
        <v>7.48</v>
      </c>
      <c r="E22" s="530">
        <f>+'Adj Sales Forecast'!C22</f>
        <v>121000000</v>
      </c>
      <c r="F22" s="8">
        <f>'[100]Adj Demand Forecast '!C8</f>
        <v>327040</v>
      </c>
      <c r="G22" s="8">
        <f t="shared" si="15"/>
        <v>106480000</v>
      </c>
      <c r="H22" s="8">
        <f t="shared" si="15"/>
        <v>287795</v>
      </c>
      <c r="I22" s="169" t="e">
        <f t="shared" si="16"/>
        <v>#REF!</v>
      </c>
      <c r="J22" s="169">
        <f t="shared" si="16"/>
        <v>2152707</v>
      </c>
      <c r="K22" s="169" t="e">
        <f>I22+J22</f>
        <v>#REF!</v>
      </c>
      <c r="L22" s="169">
        <f>ROUND(B22*G22,0)</f>
        <v>1192576</v>
      </c>
      <c r="M22" s="493"/>
      <c r="N22" s="501">
        <f>$B$8</f>
        <v>1.12E-2</v>
      </c>
      <c r="O22" s="493" t="e">
        <f>#REF!</f>
        <v>#REF!</v>
      </c>
      <c r="P22" s="541">
        <f>'May Price Out'!P22</f>
        <v>6.92</v>
      </c>
      <c r="Q22" s="502">
        <f t="shared" si="17"/>
        <v>14520000</v>
      </c>
      <c r="R22" s="502">
        <f t="shared" si="17"/>
        <v>39245</v>
      </c>
      <c r="S22" s="169" t="e">
        <f t="shared" si="18"/>
        <v>#REF!</v>
      </c>
      <c r="T22" s="169">
        <f t="shared" si="18"/>
        <v>271575</v>
      </c>
      <c r="U22" s="169" t="e">
        <f>S22+T22</f>
        <v>#REF!</v>
      </c>
      <c r="V22" s="169">
        <f>ROUND(N22*Q22,0)</f>
        <v>162624</v>
      </c>
      <c r="X22" s="493" t="s">
        <v>303</v>
      </c>
      <c r="Y22" s="503" t="e">
        <f t="shared" si="19"/>
        <v>#REF!</v>
      </c>
      <c r="Z22" s="503">
        <f t="shared" si="19"/>
        <v>2424282</v>
      </c>
      <c r="AA22" s="503" t="e">
        <f>Y22+Z22</f>
        <v>#REF!</v>
      </c>
      <c r="AB22" s="503">
        <f>L22+V22</f>
        <v>1355200</v>
      </c>
    </row>
    <row r="23" spans="1:28" x14ac:dyDescent="0.25">
      <c r="A23" s="493" t="s">
        <v>305</v>
      </c>
      <c r="B23" s="529">
        <f t="shared" si="12"/>
        <v>1.12E-2</v>
      </c>
      <c r="C23" s="522" t="e">
        <f>#REF!</f>
        <v>#REF!</v>
      </c>
      <c r="D23" s="534">
        <f>+'May - Oct Capacity MSC by Class'!G29</f>
        <v>4.9400000000000004</v>
      </c>
      <c r="E23" s="530">
        <f>+'Adj Sales Forecast'!C27</f>
        <v>1386000000</v>
      </c>
      <c r="F23" s="8">
        <f>'[100]Adj Demand Forecast '!C14</f>
        <v>4526411.2</v>
      </c>
      <c r="G23" s="8">
        <f t="shared" si="15"/>
        <v>1219680000</v>
      </c>
      <c r="H23" s="8">
        <f t="shared" si="15"/>
        <v>3983242</v>
      </c>
      <c r="I23" s="169" t="e">
        <f t="shared" si="16"/>
        <v>#REF!</v>
      </c>
      <c r="J23" s="169">
        <f t="shared" si="16"/>
        <v>19677215</v>
      </c>
      <c r="K23" s="169" t="e">
        <f>I23+J23</f>
        <v>#REF!</v>
      </c>
      <c r="L23" s="169">
        <f>ROUND(B23*G23,0)</f>
        <v>13660416</v>
      </c>
      <c r="M23" s="493"/>
      <c r="N23" s="501">
        <f>$B$8</f>
        <v>1.12E-2</v>
      </c>
      <c r="O23" s="493" t="e">
        <f>#REF!</f>
        <v>#REF!</v>
      </c>
      <c r="P23" s="541">
        <f>'May Price Out'!P23</f>
        <v>4.57</v>
      </c>
      <c r="Q23" s="502">
        <f t="shared" si="17"/>
        <v>166320000</v>
      </c>
      <c r="R23" s="502">
        <f t="shared" si="17"/>
        <v>543169.20000000019</v>
      </c>
      <c r="S23" s="169" t="e">
        <f t="shared" si="18"/>
        <v>#REF!</v>
      </c>
      <c r="T23" s="169">
        <f t="shared" si="18"/>
        <v>2482283</v>
      </c>
      <c r="U23" s="169" t="e">
        <f>S23+T23</f>
        <v>#REF!</v>
      </c>
      <c r="V23" s="169">
        <f>ROUND(N23*Q23,0)</f>
        <v>1862784</v>
      </c>
      <c r="X23" s="493" t="s">
        <v>305</v>
      </c>
      <c r="Y23" s="503" t="e">
        <f t="shared" si="19"/>
        <v>#REF!</v>
      </c>
      <c r="Z23" s="503">
        <f t="shared" si="19"/>
        <v>22159498</v>
      </c>
      <c r="AA23" s="503" t="e">
        <f>Y23+Z23</f>
        <v>#REF!</v>
      </c>
      <c r="AB23" s="503">
        <f>L23+V23</f>
        <v>15523200</v>
      </c>
    </row>
    <row r="24" spans="1:28" x14ac:dyDescent="0.25">
      <c r="A24" s="493" t="s">
        <v>310</v>
      </c>
      <c r="B24" s="529">
        <f t="shared" si="12"/>
        <v>1.12E-2</v>
      </c>
      <c r="C24" s="522" t="e">
        <f>#REF!</f>
        <v>#REF!</v>
      </c>
      <c r="D24" s="534">
        <f>+'May - Oct Capacity MSC by Class'!G33</f>
        <v>7.23</v>
      </c>
      <c r="E24" s="530">
        <f>+'Adj Sales Forecast'!C32</f>
        <v>8934111</v>
      </c>
      <c r="F24" s="8">
        <f>'[100]Adj Demand Forecast '!C20</f>
        <v>19000</v>
      </c>
      <c r="G24" s="8">
        <f t="shared" si="15"/>
        <v>7862018</v>
      </c>
      <c r="H24" s="8">
        <f t="shared" si="15"/>
        <v>16720</v>
      </c>
      <c r="I24" s="169" t="e">
        <f t="shared" si="16"/>
        <v>#REF!</v>
      </c>
      <c r="J24" s="169">
        <f t="shared" si="16"/>
        <v>120886</v>
      </c>
      <c r="K24" s="169" t="e">
        <f>I24+J24</f>
        <v>#REF!</v>
      </c>
      <c r="L24" s="169">
        <f>ROUND(B24*G24,0)</f>
        <v>88055</v>
      </c>
      <c r="M24" s="493"/>
      <c r="N24" s="501">
        <f>$B$8</f>
        <v>1.12E-2</v>
      </c>
      <c r="O24" s="493" t="e">
        <f>#REF!</f>
        <v>#REF!</v>
      </c>
      <c r="P24" s="541">
        <f>'May Price Out'!P24</f>
        <v>6.69</v>
      </c>
      <c r="Q24" s="502">
        <f t="shared" si="17"/>
        <v>1072093</v>
      </c>
      <c r="R24" s="502">
        <f t="shared" si="17"/>
        <v>2280</v>
      </c>
      <c r="S24" s="169" t="e">
        <f t="shared" si="18"/>
        <v>#REF!</v>
      </c>
      <c r="T24" s="169">
        <f t="shared" si="18"/>
        <v>15253</v>
      </c>
      <c r="U24" s="169" t="e">
        <f>S24+T24</f>
        <v>#REF!</v>
      </c>
      <c r="V24" s="169">
        <f>ROUND(N24*Q24,0)</f>
        <v>12007</v>
      </c>
      <c r="X24" s="493" t="s">
        <v>310</v>
      </c>
      <c r="Y24" s="503" t="e">
        <f t="shared" si="19"/>
        <v>#REF!</v>
      </c>
      <c r="Z24" s="503">
        <f t="shared" si="19"/>
        <v>136139</v>
      </c>
      <c r="AA24" s="503" t="e">
        <f>Y24+Z24</f>
        <v>#REF!</v>
      </c>
      <c r="AB24" s="503">
        <f>L24+V24</f>
        <v>100062</v>
      </c>
    </row>
    <row r="25" spans="1:28" x14ac:dyDescent="0.25">
      <c r="A25" s="493"/>
      <c r="B25" s="522"/>
      <c r="C25" s="522"/>
      <c r="D25" s="522"/>
      <c r="E25" s="522"/>
      <c r="F25" s="8"/>
      <c r="G25" s="8"/>
      <c r="H25" s="8"/>
      <c r="I25" s="493"/>
      <c r="J25" s="493"/>
      <c r="K25" s="493"/>
      <c r="L25" s="493"/>
      <c r="M25" s="493"/>
      <c r="N25" s="501"/>
      <c r="O25" s="493"/>
      <c r="P25" s="541"/>
      <c r="Q25" s="493"/>
      <c r="R25" s="8"/>
      <c r="S25" s="169"/>
      <c r="T25" s="169"/>
      <c r="U25" s="169"/>
      <c r="V25" s="169"/>
      <c r="X25" s="493"/>
      <c r="Y25" s="503"/>
      <c r="Z25" s="503"/>
      <c r="AA25" s="503"/>
      <c r="AB25" s="503"/>
    </row>
    <row r="26" spans="1:28" x14ac:dyDescent="0.25">
      <c r="A26" s="493" t="s">
        <v>519</v>
      </c>
      <c r="B26" s="529">
        <f t="shared" si="12"/>
        <v>1.12E-2</v>
      </c>
      <c r="C26" s="533" t="e">
        <f>#REF!</f>
        <v>#REF!</v>
      </c>
      <c r="D26" s="534">
        <f>+'May - Oct Capacity MSC by Class'!G45</f>
        <v>8.15</v>
      </c>
      <c r="E26" s="476">
        <f>+'Forecasted TOD kWh by Period'!C35</f>
        <v>57123500</v>
      </c>
      <c r="F26" s="8">
        <f>'[100]Forecasted TOD kW by Period'!H25</f>
        <v>24087</v>
      </c>
      <c r="G26" s="8">
        <f t="shared" ref="G26:G31" si="20">ROUND(E26*0.88,0)</f>
        <v>50268680</v>
      </c>
      <c r="H26" s="8">
        <f>ROUND(F26*0.88,0)</f>
        <v>21197</v>
      </c>
      <c r="I26" s="169" t="e">
        <f t="shared" ref="I26:J31" si="21">ROUND(C26*G26,0)</f>
        <v>#REF!</v>
      </c>
      <c r="J26" s="169">
        <f t="shared" si="21"/>
        <v>172756</v>
      </c>
      <c r="K26" s="169" t="e">
        <f>I26+J26</f>
        <v>#REF!</v>
      </c>
      <c r="L26" s="169">
        <f>ROUND(B26*G26,0)</f>
        <v>563009</v>
      </c>
      <c r="M26" s="493"/>
      <c r="N26" s="501">
        <f t="shared" ref="N26:N31" si="22">$B$8</f>
        <v>1.12E-2</v>
      </c>
      <c r="O26" s="504" t="e">
        <f>#REF!</f>
        <v>#REF!</v>
      </c>
      <c r="P26" s="541">
        <f>'May Price Out'!P26</f>
        <v>7.54</v>
      </c>
      <c r="Q26" s="502">
        <f>E26-G26</f>
        <v>6854820</v>
      </c>
      <c r="R26" s="502">
        <f>F26-H26</f>
        <v>2890</v>
      </c>
      <c r="S26" s="169" t="e">
        <f t="shared" ref="S26:T31" si="23">ROUND(O26*Q26,0)</f>
        <v>#REF!</v>
      </c>
      <c r="T26" s="169">
        <f t="shared" si="23"/>
        <v>21791</v>
      </c>
      <c r="U26" s="169" t="e">
        <f t="shared" ref="U26:U31" si="24">S26+T26</f>
        <v>#REF!</v>
      </c>
      <c r="V26" s="169">
        <f t="shared" ref="V26:V31" si="25">ROUND(N26*Q26,0)</f>
        <v>76774</v>
      </c>
      <c r="X26" s="493" t="s">
        <v>519</v>
      </c>
      <c r="Y26" s="503" t="e">
        <f t="shared" ref="Y26:Z31" si="26">I26+S26</f>
        <v>#REF!</v>
      </c>
      <c r="Z26" s="503">
        <f t="shared" si="26"/>
        <v>194547</v>
      </c>
      <c r="AA26" s="503" t="e">
        <f t="shared" ref="AA26:AA31" si="27">Y26+Z26</f>
        <v>#REF!</v>
      </c>
      <c r="AB26" s="503">
        <f t="shared" ref="AB26:AB31" si="28">L26+V26</f>
        <v>639783</v>
      </c>
    </row>
    <row r="27" spans="1:28" x14ac:dyDescent="0.25">
      <c r="A27" s="493" t="s">
        <v>520</v>
      </c>
      <c r="B27" s="529">
        <f t="shared" si="12"/>
        <v>1.12E-2</v>
      </c>
      <c r="C27" s="533" t="e">
        <f>#REF!</f>
        <v>#REF!</v>
      </c>
      <c r="D27" s="522"/>
      <c r="E27" s="476">
        <f>+'Forecasted TOD kWh by Period'!C36</f>
        <v>75876500</v>
      </c>
      <c r="F27" s="8"/>
      <c r="G27" s="8">
        <f t="shared" si="20"/>
        <v>66771320</v>
      </c>
      <c r="H27" s="8"/>
      <c r="I27" s="169" t="e">
        <f t="shared" si="21"/>
        <v>#REF!</v>
      </c>
      <c r="J27" s="169">
        <f t="shared" si="21"/>
        <v>0</v>
      </c>
      <c r="K27" s="169" t="e">
        <f>I27+J27</f>
        <v>#REF!</v>
      </c>
      <c r="L27" s="169">
        <f>ROUND(B27*G27,0)</f>
        <v>747839</v>
      </c>
      <c r="M27" s="493"/>
      <c r="N27" s="501">
        <f t="shared" si="22"/>
        <v>1.12E-2</v>
      </c>
      <c r="O27" s="504" t="e">
        <f>#REF!</f>
        <v>#REF!</v>
      </c>
      <c r="P27" s="541">
        <f>'May Price Out'!P27</f>
        <v>0</v>
      </c>
      <c r="Q27" s="502">
        <f>E27-G27</f>
        <v>9105180</v>
      </c>
      <c r="R27" s="502"/>
      <c r="S27" s="169" t="e">
        <f t="shared" si="23"/>
        <v>#REF!</v>
      </c>
      <c r="T27" s="169">
        <f t="shared" si="23"/>
        <v>0</v>
      </c>
      <c r="U27" s="169" t="e">
        <f t="shared" si="24"/>
        <v>#REF!</v>
      </c>
      <c r="V27" s="169">
        <f t="shared" si="25"/>
        <v>101978</v>
      </c>
      <c r="X27" s="493" t="s">
        <v>520</v>
      </c>
      <c r="Y27" s="503" t="e">
        <f t="shared" si="26"/>
        <v>#REF!</v>
      </c>
      <c r="Z27" s="503">
        <f t="shared" si="26"/>
        <v>0</v>
      </c>
      <c r="AA27" s="503" t="e">
        <f t="shared" si="27"/>
        <v>#REF!</v>
      </c>
      <c r="AB27" s="503">
        <f t="shared" si="28"/>
        <v>849817</v>
      </c>
    </row>
    <row r="28" spans="1:28" x14ac:dyDescent="0.25">
      <c r="A28" s="493" t="s">
        <v>521</v>
      </c>
      <c r="B28" s="529">
        <f t="shared" si="12"/>
        <v>1.12E-2</v>
      </c>
      <c r="C28" s="533" t="e">
        <f>#REF!</f>
        <v>#REF!</v>
      </c>
      <c r="D28" s="534">
        <f>+'May - Oct Capacity MSC by Class'!G46</f>
        <v>5.05</v>
      </c>
      <c r="E28" s="530">
        <f>+'Forecasted TOD kWh by Period'!C39</f>
        <v>716530500</v>
      </c>
      <c r="F28" s="8">
        <f>'[100]Forecasted TOD kW by Period'!H29</f>
        <v>231150</v>
      </c>
      <c r="G28" s="8">
        <f t="shared" si="20"/>
        <v>630546840</v>
      </c>
      <c r="H28" s="8">
        <f>ROUND(F28*0.88,0)</f>
        <v>203412</v>
      </c>
      <c r="I28" s="169" t="e">
        <f t="shared" si="21"/>
        <v>#REF!</v>
      </c>
      <c r="J28" s="169">
        <f t="shared" si="21"/>
        <v>1027231</v>
      </c>
      <c r="K28" s="169" t="e">
        <f>I28+J28</f>
        <v>#REF!</v>
      </c>
      <c r="L28" s="169">
        <f>ROUND(B28*G28,0)</f>
        <v>7062125</v>
      </c>
      <c r="M28" s="493"/>
      <c r="N28" s="501">
        <f t="shared" si="22"/>
        <v>1.12E-2</v>
      </c>
      <c r="O28" s="504" t="e">
        <f>#REF!</f>
        <v>#REF!</v>
      </c>
      <c r="P28" s="541">
        <f>'May Price Out'!P28</f>
        <v>4.68</v>
      </c>
      <c r="Q28" s="502">
        <f>E28-G28</f>
        <v>85983660</v>
      </c>
      <c r="R28" s="502">
        <f>F28-H28</f>
        <v>27738</v>
      </c>
      <c r="S28" s="169" t="e">
        <f t="shared" si="23"/>
        <v>#REF!</v>
      </c>
      <c r="T28" s="169">
        <f t="shared" si="23"/>
        <v>129814</v>
      </c>
      <c r="U28" s="169" t="e">
        <f t="shared" si="24"/>
        <v>#REF!</v>
      </c>
      <c r="V28" s="169">
        <f t="shared" si="25"/>
        <v>963017</v>
      </c>
      <c r="X28" s="493" t="s">
        <v>521</v>
      </c>
      <c r="Y28" s="503" t="e">
        <f t="shared" si="26"/>
        <v>#REF!</v>
      </c>
      <c r="Z28" s="503">
        <f t="shared" si="26"/>
        <v>1157045</v>
      </c>
      <c r="AA28" s="503" t="e">
        <f t="shared" si="27"/>
        <v>#REF!</v>
      </c>
      <c r="AB28" s="503">
        <f t="shared" si="28"/>
        <v>8025142</v>
      </c>
    </row>
    <row r="29" spans="1:28" x14ac:dyDescent="0.25">
      <c r="A29" s="493" t="s">
        <v>522</v>
      </c>
      <c r="B29" s="529">
        <f t="shared" si="12"/>
        <v>1.12E-2</v>
      </c>
      <c r="C29" s="533" t="e">
        <f>#REF!</f>
        <v>#REF!</v>
      </c>
      <c r="D29" s="522"/>
      <c r="E29" s="530">
        <f>+'Forecasted TOD kWh by Period'!C40</f>
        <v>788469500</v>
      </c>
      <c r="F29" s="8"/>
      <c r="G29" s="8">
        <f t="shared" si="20"/>
        <v>693853160</v>
      </c>
      <c r="H29" s="8"/>
      <c r="I29" s="169" t="e">
        <f t="shared" si="21"/>
        <v>#REF!</v>
      </c>
      <c r="J29" s="169">
        <f t="shared" si="21"/>
        <v>0</v>
      </c>
      <c r="K29" s="169" t="e">
        <f>I29+J29</f>
        <v>#REF!</v>
      </c>
      <c r="L29" s="169">
        <f>ROUND(B29*G29,0)</f>
        <v>7771155</v>
      </c>
      <c r="M29" s="493"/>
      <c r="N29" s="501">
        <f t="shared" si="22"/>
        <v>1.12E-2</v>
      </c>
      <c r="O29" s="504" t="e">
        <f>#REF!</f>
        <v>#REF!</v>
      </c>
      <c r="P29" s="541">
        <f>'May Price Out'!P29</f>
        <v>0</v>
      </c>
      <c r="Q29" s="502">
        <f>E29-G29</f>
        <v>94616340</v>
      </c>
      <c r="R29" s="502"/>
      <c r="S29" s="169" t="e">
        <f t="shared" si="23"/>
        <v>#REF!</v>
      </c>
      <c r="T29" s="169">
        <f t="shared" si="23"/>
        <v>0</v>
      </c>
      <c r="U29" s="169" t="e">
        <f t="shared" si="24"/>
        <v>#REF!</v>
      </c>
      <c r="V29" s="169">
        <f t="shared" si="25"/>
        <v>1059703</v>
      </c>
      <c r="X29" s="493" t="s">
        <v>522</v>
      </c>
      <c r="Y29" s="503" t="e">
        <f t="shared" si="26"/>
        <v>#REF!</v>
      </c>
      <c r="Z29" s="503">
        <f t="shared" si="26"/>
        <v>0</v>
      </c>
      <c r="AA29" s="503" t="e">
        <f t="shared" si="27"/>
        <v>#REF!</v>
      </c>
      <c r="AB29" s="503">
        <f t="shared" si="28"/>
        <v>8830858</v>
      </c>
    </row>
    <row r="30" spans="1:28" x14ac:dyDescent="0.25">
      <c r="A30" s="493" t="s">
        <v>523</v>
      </c>
      <c r="B30" s="529">
        <f t="shared" si="12"/>
        <v>1.12E-2</v>
      </c>
      <c r="C30" s="533" t="e">
        <f>#REF!</f>
        <v>#REF!</v>
      </c>
      <c r="D30" s="534">
        <f>+'May - Oct Capacity MSC by Class'!G47</f>
        <v>7.69</v>
      </c>
      <c r="E30" s="476">
        <f>+'Adj Sales Forecast'!C33</f>
        <v>0</v>
      </c>
      <c r="F30" s="8">
        <f>'[100]Adj Demand Forecast '!B21</f>
        <v>0</v>
      </c>
      <c r="G30" s="8">
        <f t="shared" si="20"/>
        <v>0</v>
      </c>
      <c r="H30" s="8">
        <f>ROUND(F30*0.88,0)</f>
        <v>0</v>
      </c>
      <c r="I30" s="169" t="e">
        <f t="shared" si="21"/>
        <v>#REF!</v>
      </c>
      <c r="J30" s="169">
        <f t="shared" si="21"/>
        <v>0</v>
      </c>
      <c r="K30" s="169" t="e">
        <f>I30+J30</f>
        <v>#REF!</v>
      </c>
      <c r="L30" s="169">
        <f>ROUND(B30*G30,0)</f>
        <v>0</v>
      </c>
      <c r="M30" s="493"/>
      <c r="N30" s="501">
        <f t="shared" si="22"/>
        <v>1.12E-2</v>
      </c>
      <c r="O30" s="504" t="e">
        <f>#REF!</f>
        <v>#REF!</v>
      </c>
      <c r="P30" s="541">
        <f>'May Price Out'!P30</f>
        <v>7.12</v>
      </c>
      <c r="Q30" s="65">
        <f>E30-G30</f>
        <v>0</v>
      </c>
      <c r="R30" s="65">
        <f>F30-H30</f>
        <v>0</v>
      </c>
      <c r="S30" s="169" t="e">
        <f t="shared" si="23"/>
        <v>#REF!</v>
      </c>
      <c r="T30" s="169">
        <f t="shared" si="23"/>
        <v>0</v>
      </c>
      <c r="U30" s="169" t="e">
        <f t="shared" si="24"/>
        <v>#REF!</v>
      </c>
      <c r="V30" s="169">
        <f t="shared" si="25"/>
        <v>0</v>
      </c>
      <c r="X30" s="493" t="s">
        <v>523</v>
      </c>
      <c r="Y30" s="503" t="e">
        <f t="shared" si="26"/>
        <v>#REF!</v>
      </c>
      <c r="Z30" s="503">
        <f t="shared" si="26"/>
        <v>0</v>
      </c>
      <c r="AA30" s="503" t="e">
        <f t="shared" si="27"/>
        <v>#REF!</v>
      </c>
      <c r="AB30" s="503">
        <f t="shared" si="28"/>
        <v>0</v>
      </c>
    </row>
    <row r="31" spans="1:28" x14ac:dyDescent="0.25">
      <c r="A31" s="493" t="s">
        <v>524</v>
      </c>
      <c r="B31" s="529">
        <f t="shared" si="12"/>
        <v>1.12E-2</v>
      </c>
      <c r="C31" s="533" t="e">
        <f>#REF!</f>
        <v>#REF!</v>
      </c>
      <c r="D31" s="522"/>
      <c r="E31" s="535">
        <v>0</v>
      </c>
      <c r="F31" s="8"/>
      <c r="G31" s="8">
        <f t="shared" si="20"/>
        <v>0</v>
      </c>
      <c r="H31" s="8"/>
      <c r="I31" s="169" t="e">
        <f t="shared" si="21"/>
        <v>#REF!</v>
      </c>
      <c r="J31" s="169">
        <f t="shared" si="21"/>
        <v>0</v>
      </c>
      <c r="K31" s="169" t="e">
        <f>ROUND(D31*I31,0)</f>
        <v>#REF!</v>
      </c>
      <c r="L31" s="169">
        <f>ROUND(E31*J31,0)</f>
        <v>0</v>
      </c>
      <c r="M31" s="493"/>
      <c r="N31" s="501">
        <f t="shared" si="22"/>
        <v>1.12E-2</v>
      </c>
      <c r="O31" s="504" t="e">
        <f>#REF!</f>
        <v>#REF!</v>
      </c>
      <c r="P31" s="541">
        <f>'May Price Out'!P31</f>
        <v>0</v>
      </c>
      <c r="Q31" s="65">
        <v>0</v>
      </c>
      <c r="R31" s="65">
        <v>0</v>
      </c>
      <c r="S31" s="169" t="e">
        <f t="shared" si="23"/>
        <v>#REF!</v>
      </c>
      <c r="T31" s="169">
        <f t="shared" si="23"/>
        <v>0</v>
      </c>
      <c r="U31" s="169" t="e">
        <f t="shared" si="24"/>
        <v>#REF!</v>
      </c>
      <c r="V31" s="169">
        <f t="shared" si="25"/>
        <v>0</v>
      </c>
      <c r="X31" s="493" t="s">
        <v>524</v>
      </c>
      <c r="Y31" s="503" t="e">
        <f t="shared" si="26"/>
        <v>#REF!</v>
      </c>
      <c r="Z31" s="503">
        <f t="shared" si="26"/>
        <v>0</v>
      </c>
      <c r="AA31" s="503" t="e">
        <f t="shared" si="27"/>
        <v>#REF!</v>
      </c>
      <c r="AB31" s="503">
        <f t="shared" si="28"/>
        <v>0</v>
      </c>
    </row>
    <row r="32" spans="1:28" x14ac:dyDescent="0.25">
      <c r="A32" s="493"/>
      <c r="B32" s="533"/>
      <c r="C32" s="533"/>
      <c r="D32" s="522"/>
      <c r="E32" s="522"/>
      <c r="F32" s="8"/>
      <c r="G32" s="8"/>
      <c r="H32" s="8"/>
      <c r="I32" s="493"/>
      <c r="J32" s="493"/>
      <c r="K32" s="493"/>
      <c r="L32" s="493"/>
      <c r="M32" s="493"/>
      <c r="N32" s="501"/>
      <c r="O32" s="504"/>
      <c r="P32" s="541"/>
      <c r="Q32" s="493"/>
      <c r="R32" s="8"/>
      <c r="S32" s="493"/>
      <c r="T32" s="493"/>
      <c r="U32" s="493"/>
      <c r="V32" s="493"/>
      <c r="X32" s="493"/>
      <c r="Y32" s="503"/>
      <c r="Z32" s="503"/>
      <c r="AA32" s="503"/>
      <c r="AB32" s="503"/>
    </row>
    <row r="33" spans="1:29" x14ac:dyDescent="0.25">
      <c r="A33" s="493" t="s">
        <v>525</v>
      </c>
      <c r="B33" s="529">
        <f t="shared" si="12"/>
        <v>1.12E-2</v>
      </c>
      <c r="C33" s="533" t="e">
        <f>#REF!</f>
        <v>#REF!</v>
      </c>
      <c r="D33" s="534">
        <f>+'May - Oct Capacity MSC by Class'!G24</f>
        <v>5.9</v>
      </c>
      <c r="E33" s="530">
        <f>+'Forecasted TOD kWh by Period'!C8</f>
        <v>3484000</v>
      </c>
      <c r="F33" s="8">
        <f>'[100]Forecasted TOD kW by Period'!H5</f>
        <v>17512</v>
      </c>
      <c r="G33" s="8">
        <f t="shared" ref="G33:G40" si="29">ROUND(E33*0.88,0)</f>
        <v>3065920</v>
      </c>
      <c r="H33" s="8">
        <f>ROUND(F33*0.88,0)</f>
        <v>15411</v>
      </c>
      <c r="I33" s="169" t="e">
        <f t="shared" ref="I33:J42" si="30">ROUND(C33*G33,0)</f>
        <v>#REF!</v>
      </c>
      <c r="J33" s="169">
        <f t="shared" si="30"/>
        <v>90925</v>
      </c>
      <c r="K33" s="169" t="e">
        <f t="shared" ref="K33:K42" si="31">I33+J33</f>
        <v>#REF!</v>
      </c>
      <c r="L33" s="169">
        <f t="shared" ref="L33:L42" si="32">ROUND(B33*G33,0)</f>
        <v>34338</v>
      </c>
      <c r="M33" s="493"/>
      <c r="N33" s="501">
        <f t="shared" ref="N33:N42" si="33">$B$8</f>
        <v>1.12E-2</v>
      </c>
      <c r="O33" s="504" t="e">
        <f>#REF!</f>
        <v>#REF!</v>
      </c>
      <c r="P33" s="541">
        <f>'May Price Out'!P33</f>
        <v>5.46</v>
      </c>
      <c r="Q33" s="502">
        <f t="shared" ref="Q33:Q42" si="34">E33-G33</f>
        <v>418080</v>
      </c>
      <c r="R33" s="502">
        <f>F33-H33</f>
        <v>2101</v>
      </c>
      <c r="S33" s="169" t="e">
        <f t="shared" ref="S33:T42" si="35">ROUND(O33*Q33,0)</f>
        <v>#REF!</v>
      </c>
      <c r="T33" s="169">
        <f t="shared" si="35"/>
        <v>11471</v>
      </c>
      <c r="U33" s="169" t="e">
        <f t="shared" ref="U33:U42" si="36">S33+T33</f>
        <v>#REF!</v>
      </c>
      <c r="V33" s="169">
        <f t="shared" ref="V33:V42" si="37">ROUND(N33*Q33,0)</f>
        <v>4682</v>
      </c>
      <c r="X33" s="493" t="s">
        <v>525</v>
      </c>
      <c r="Y33" s="503" t="e">
        <f t="shared" ref="Y33:Z42" si="38">I33+S33</f>
        <v>#REF!</v>
      </c>
      <c r="Z33" s="503">
        <f t="shared" si="38"/>
        <v>102396</v>
      </c>
      <c r="AA33" s="503" t="e">
        <f t="shared" ref="AA33:AA42" si="39">Y33+Z33</f>
        <v>#REF!</v>
      </c>
      <c r="AB33" s="503">
        <f t="shared" ref="AB33:AB42" si="40">L33+V33</f>
        <v>39020</v>
      </c>
    </row>
    <row r="34" spans="1:29" x14ac:dyDescent="0.25">
      <c r="A34" s="493" t="s">
        <v>526</v>
      </c>
      <c r="B34" s="529">
        <f t="shared" si="12"/>
        <v>1.12E-2</v>
      </c>
      <c r="C34" s="533" t="e">
        <f>#REF!</f>
        <v>#REF!</v>
      </c>
      <c r="D34" s="522"/>
      <c r="E34" s="530">
        <f>+'Forecasted TOD kWh by Period'!C9</f>
        <v>4516000</v>
      </c>
      <c r="F34" s="8"/>
      <c r="G34" s="8">
        <f t="shared" si="29"/>
        <v>3974080</v>
      </c>
      <c r="H34" s="8"/>
      <c r="I34" s="169" t="e">
        <f t="shared" si="30"/>
        <v>#REF!</v>
      </c>
      <c r="J34" s="169">
        <f t="shared" si="30"/>
        <v>0</v>
      </c>
      <c r="K34" s="169" t="e">
        <f t="shared" si="31"/>
        <v>#REF!</v>
      </c>
      <c r="L34" s="169">
        <f t="shared" si="32"/>
        <v>44510</v>
      </c>
      <c r="M34" s="493"/>
      <c r="N34" s="501">
        <f t="shared" si="33"/>
        <v>1.12E-2</v>
      </c>
      <c r="O34" s="504" t="e">
        <f>#REF!</f>
        <v>#REF!</v>
      </c>
      <c r="P34" s="541">
        <f>'May Price Out'!P34</f>
        <v>0</v>
      </c>
      <c r="Q34" s="502">
        <f t="shared" si="34"/>
        <v>541920</v>
      </c>
      <c r="R34" s="502"/>
      <c r="S34" s="169" t="e">
        <f t="shared" si="35"/>
        <v>#REF!</v>
      </c>
      <c r="T34" s="169">
        <f t="shared" si="35"/>
        <v>0</v>
      </c>
      <c r="U34" s="169" t="e">
        <f t="shared" si="36"/>
        <v>#REF!</v>
      </c>
      <c r="V34" s="169">
        <f t="shared" si="37"/>
        <v>6070</v>
      </c>
      <c r="X34" s="493" t="s">
        <v>526</v>
      </c>
      <c r="Y34" s="503" t="e">
        <f t="shared" si="38"/>
        <v>#REF!</v>
      </c>
      <c r="Z34" s="503">
        <f t="shared" si="38"/>
        <v>0</v>
      </c>
      <c r="AA34" s="503" t="e">
        <f t="shared" si="39"/>
        <v>#REF!</v>
      </c>
      <c r="AB34" s="503">
        <f t="shared" si="40"/>
        <v>50580</v>
      </c>
    </row>
    <row r="35" spans="1:29" x14ac:dyDescent="0.25">
      <c r="A35" s="493" t="s">
        <v>527</v>
      </c>
      <c r="B35" s="529">
        <f t="shared" si="12"/>
        <v>1.12E-2</v>
      </c>
      <c r="C35" s="533" t="e">
        <f>#REF!</f>
        <v>#REF!</v>
      </c>
      <c r="D35" s="534">
        <f>+'May - Oct Capacity MSC by Class'!G28</f>
        <v>5.0199999999999996</v>
      </c>
      <c r="E35" s="530">
        <f>+'Forecasted TOD kWh by Period'!C12</f>
        <v>10488000</v>
      </c>
      <c r="F35" s="8">
        <f>'[100]Forecasted TOD kW by Period'!H9</f>
        <v>25962</v>
      </c>
      <c r="G35" s="8">
        <f t="shared" si="29"/>
        <v>9229440</v>
      </c>
      <c r="H35" s="8">
        <f>ROUND(F35*0.88,0)</f>
        <v>22847</v>
      </c>
      <c r="I35" s="169" t="e">
        <f t="shared" si="30"/>
        <v>#REF!</v>
      </c>
      <c r="J35" s="169">
        <f t="shared" si="30"/>
        <v>114692</v>
      </c>
      <c r="K35" s="169" t="e">
        <f t="shared" si="31"/>
        <v>#REF!</v>
      </c>
      <c r="L35" s="169">
        <f t="shared" si="32"/>
        <v>103370</v>
      </c>
      <c r="M35" s="493"/>
      <c r="N35" s="501">
        <f t="shared" si="33"/>
        <v>1.12E-2</v>
      </c>
      <c r="O35" s="504" t="e">
        <f>#REF!</f>
        <v>#REF!</v>
      </c>
      <c r="P35" s="541">
        <f>'May Price Out'!P35</f>
        <v>4.6500000000000004</v>
      </c>
      <c r="Q35" s="502">
        <f t="shared" si="34"/>
        <v>1258560</v>
      </c>
      <c r="R35" s="502">
        <f>F35-H35</f>
        <v>3115</v>
      </c>
      <c r="S35" s="169" t="e">
        <f t="shared" si="35"/>
        <v>#REF!</v>
      </c>
      <c r="T35" s="169">
        <f t="shared" si="35"/>
        <v>14485</v>
      </c>
      <c r="U35" s="169" t="e">
        <f t="shared" si="36"/>
        <v>#REF!</v>
      </c>
      <c r="V35" s="169">
        <f t="shared" si="37"/>
        <v>14096</v>
      </c>
      <c r="X35" s="493" t="s">
        <v>527</v>
      </c>
      <c r="Y35" s="503" t="e">
        <f t="shared" si="38"/>
        <v>#REF!</v>
      </c>
      <c r="Z35" s="503">
        <f t="shared" si="38"/>
        <v>129177</v>
      </c>
      <c r="AA35" s="503" t="e">
        <f t="shared" si="39"/>
        <v>#REF!</v>
      </c>
      <c r="AB35" s="503">
        <f t="shared" si="40"/>
        <v>117466</v>
      </c>
    </row>
    <row r="36" spans="1:29" x14ac:dyDescent="0.25">
      <c r="A36" s="493" t="s">
        <v>528</v>
      </c>
      <c r="B36" s="529">
        <f t="shared" si="12"/>
        <v>1.12E-2</v>
      </c>
      <c r="C36" s="533" t="e">
        <f>#REF!</f>
        <v>#REF!</v>
      </c>
      <c r="D36" s="522"/>
      <c r="E36" s="530">
        <f>+'Forecasted TOD kWh by Period'!C13</f>
        <v>13512000</v>
      </c>
      <c r="F36" s="8"/>
      <c r="G36" s="8">
        <f t="shared" si="29"/>
        <v>11890560</v>
      </c>
      <c r="H36" s="8"/>
      <c r="I36" s="169" t="e">
        <f t="shared" si="30"/>
        <v>#REF!</v>
      </c>
      <c r="J36" s="169">
        <f t="shared" si="30"/>
        <v>0</v>
      </c>
      <c r="K36" s="169" t="e">
        <f t="shared" si="31"/>
        <v>#REF!</v>
      </c>
      <c r="L36" s="169">
        <f t="shared" si="32"/>
        <v>133174</v>
      </c>
      <c r="M36" s="493"/>
      <c r="N36" s="501">
        <f t="shared" si="33"/>
        <v>1.12E-2</v>
      </c>
      <c r="O36" s="504" t="e">
        <f>#REF!</f>
        <v>#REF!</v>
      </c>
      <c r="P36" s="541">
        <f>'May Price Out'!P36</f>
        <v>0</v>
      </c>
      <c r="Q36" s="502">
        <f t="shared" si="34"/>
        <v>1621440</v>
      </c>
      <c r="R36" s="502"/>
      <c r="S36" s="169" t="e">
        <f t="shared" si="35"/>
        <v>#REF!</v>
      </c>
      <c r="T36" s="169">
        <f t="shared" si="35"/>
        <v>0</v>
      </c>
      <c r="U36" s="169" t="e">
        <f t="shared" si="36"/>
        <v>#REF!</v>
      </c>
      <c r="V36" s="169">
        <f t="shared" si="37"/>
        <v>18160</v>
      </c>
      <c r="X36" s="493" t="s">
        <v>528</v>
      </c>
      <c r="Y36" s="503" t="e">
        <f t="shared" si="38"/>
        <v>#REF!</v>
      </c>
      <c r="Z36" s="503">
        <f t="shared" si="38"/>
        <v>0</v>
      </c>
      <c r="AA36" s="503" t="e">
        <f t="shared" si="39"/>
        <v>#REF!</v>
      </c>
      <c r="AB36" s="503">
        <f t="shared" si="40"/>
        <v>151334</v>
      </c>
    </row>
    <row r="37" spans="1:29" x14ac:dyDescent="0.25">
      <c r="A37" s="493" t="s">
        <v>529</v>
      </c>
      <c r="B37" s="529">
        <f t="shared" si="12"/>
        <v>1.12E-2</v>
      </c>
      <c r="C37" s="533" t="e">
        <f>#REF!</f>
        <v>#REF!</v>
      </c>
      <c r="D37" s="534">
        <f>+'May - Oct Capacity MSC by Class'!G31</f>
        <v>5.59</v>
      </c>
      <c r="E37" s="530">
        <f>+'Forecasted TOD kWh by Period'!C16</f>
        <v>301101000</v>
      </c>
      <c r="F37" s="8">
        <f>'[100]Forecasted TOD kW by Period'!H13</f>
        <v>1396387</v>
      </c>
      <c r="G37" s="8">
        <f t="shared" si="29"/>
        <v>264968880</v>
      </c>
      <c r="H37" s="8">
        <f>ROUND(F37*0.88,0)</f>
        <v>1228821</v>
      </c>
      <c r="I37" s="169" t="e">
        <f t="shared" si="30"/>
        <v>#REF!</v>
      </c>
      <c r="J37" s="169">
        <f t="shared" si="30"/>
        <v>6869109</v>
      </c>
      <c r="K37" s="169" t="e">
        <f t="shared" si="31"/>
        <v>#REF!</v>
      </c>
      <c r="L37" s="169">
        <f t="shared" si="32"/>
        <v>2967651</v>
      </c>
      <c r="M37" s="493"/>
      <c r="N37" s="501">
        <f t="shared" si="33"/>
        <v>1.12E-2</v>
      </c>
      <c r="O37" s="504" t="e">
        <f>#REF!</f>
        <v>#REF!</v>
      </c>
      <c r="P37" s="541">
        <f>'May Price Out'!P37</f>
        <v>5.17</v>
      </c>
      <c r="Q37" s="502">
        <f t="shared" si="34"/>
        <v>36132120</v>
      </c>
      <c r="R37" s="502">
        <f>F37-H37</f>
        <v>167566</v>
      </c>
      <c r="S37" s="169" t="e">
        <f t="shared" si="35"/>
        <v>#REF!</v>
      </c>
      <c r="T37" s="169">
        <f t="shared" si="35"/>
        <v>866316</v>
      </c>
      <c r="U37" s="169" t="e">
        <f t="shared" si="36"/>
        <v>#REF!</v>
      </c>
      <c r="V37" s="169">
        <f t="shared" si="37"/>
        <v>404680</v>
      </c>
      <c r="X37" s="493" t="s">
        <v>529</v>
      </c>
      <c r="Y37" s="503" t="e">
        <f t="shared" si="38"/>
        <v>#REF!</v>
      </c>
      <c r="Z37" s="503">
        <f t="shared" si="38"/>
        <v>7735425</v>
      </c>
      <c r="AA37" s="503" t="e">
        <f t="shared" si="39"/>
        <v>#REF!</v>
      </c>
      <c r="AB37" s="503">
        <f t="shared" si="40"/>
        <v>3372331</v>
      </c>
    </row>
    <row r="38" spans="1:29" x14ac:dyDescent="0.25">
      <c r="A38" s="493" t="s">
        <v>530</v>
      </c>
      <c r="B38" s="529">
        <f t="shared" si="12"/>
        <v>1.12E-2</v>
      </c>
      <c r="C38" s="533" t="e">
        <f>#REF!</f>
        <v>#REF!</v>
      </c>
      <c r="D38" s="522"/>
      <c r="E38" s="530">
        <f>+'Forecasted TOD kWh by Period'!C17</f>
        <v>299899000</v>
      </c>
      <c r="F38" s="8"/>
      <c r="G38" s="8">
        <f t="shared" si="29"/>
        <v>263911120</v>
      </c>
      <c r="H38" s="8"/>
      <c r="I38" s="169" t="e">
        <f t="shared" si="30"/>
        <v>#REF!</v>
      </c>
      <c r="J38" s="169">
        <f t="shared" si="30"/>
        <v>0</v>
      </c>
      <c r="K38" s="169" t="e">
        <f t="shared" si="31"/>
        <v>#REF!</v>
      </c>
      <c r="L38" s="169">
        <f t="shared" si="32"/>
        <v>2955805</v>
      </c>
      <c r="M38" s="493"/>
      <c r="N38" s="501">
        <f t="shared" si="33"/>
        <v>1.12E-2</v>
      </c>
      <c r="O38" s="504" t="e">
        <f>#REF!</f>
        <v>#REF!</v>
      </c>
      <c r="P38" s="541">
        <f>'May Price Out'!P38</f>
        <v>0</v>
      </c>
      <c r="Q38" s="502">
        <f t="shared" si="34"/>
        <v>35987880</v>
      </c>
      <c r="R38" s="502"/>
      <c r="S38" s="169" t="e">
        <f t="shared" si="35"/>
        <v>#REF!</v>
      </c>
      <c r="T38" s="169">
        <f t="shared" si="35"/>
        <v>0</v>
      </c>
      <c r="U38" s="169" t="e">
        <f t="shared" si="36"/>
        <v>#REF!</v>
      </c>
      <c r="V38" s="169">
        <f t="shared" si="37"/>
        <v>403064</v>
      </c>
      <c r="X38" s="493" t="s">
        <v>530</v>
      </c>
      <c r="Y38" s="503" t="e">
        <f t="shared" si="38"/>
        <v>#REF!</v>
      </c>
      <c r="Z38" s="503">
        <f t="shared" si="38"/>
        <v>0</v>
      </c>
      <c r="AA38" s="503" t="e">
        <f t="shared" si="39"/>
        <v>#REF!</v>
      </c>
      <c r="AB38" s="503">
        <f t="shared" si="40"/>
        <v>3358869</v>
      </c>
    </row>
    <row r="39" spans="1:29" x14ac:dyDescent="0.25">
      <c r="A39" s="493" t="s">
        <v>531</v>
      </c>
      <c r="B39" s="529">
        <f t="shared" si="12"/>
        <v>1.12E-2</v>
      </c>
      <c r="C39" s="533" t="e">
        <f>#REF!</f>
        <v>#REF!</v>
      </c>
      <c r="D39" s="534">
        <f>+'May - Oct Capacity MSC by Class'!G34</f>
        <v>9.07</v>
      </c>
      <c r="E39" s="530">
        <f>+'Forecasted TOD kWh by Period'!C20</f>
        <v>5238000</v>
      </c>
      <c r="F39" s="8">
        <f>'[100]Forecasted TOD kW by Period'!H17</f>
        <v>18476</v>
      </c>
      <c r="G39" s="8">
        <f t="shared" si="29"/>
        <v>4609440</v>
      </c>
      <c r="H39" s="8">
        <f>ROUND(F39*0.88,0)</f>
        <v>16259</v>
      </c>
      <c r="I39" s="169" t="e">
        <f t="shared" si="30"/>
        <v>#REF!</v>
      </c>
      <c r="J39" s="169">
        <f t="shared" si="30"/>
        <v>147469</v>
      </c>
      <c r="K39" s="169" t="e">
        <f t="shared" si="31"/>
        <v>#REF!</v>
      </c>
      <c r="L39" s="169">
        <f t="shared" si="32"/>
        <v>51626</v>
      </c>
      <c r="M39" s="493"/>
      <c r="N39" s="501">
        <f t="shared" si="33"/>
        <v>1.12E-2</v>
      </c>
      <c r="O39" s="504" t="e">
        <f>#REF!</f>
        <v>#REF!</v>
      </c>
      <c r="P39" s="541">
        <f>'May Price Out'!P39</f>
        <v>8.4</v>
      </c>
      <c r="Q39" s="502">
        <f t="shared" si="34"/>
        <v>628560</v>
      </c>
      <c r="R39" s="502">
        <f>F39-H39</f>
        <v>2217</v>
      </c>
      <c r="S39" s="169" t="e">
        <f t="shared" si="35"/>
        <v>#REF!</v>
      </c>
      <c r="T39" s="169">
        <f t="shared" si="35"/>
        <v>18623</v>
      </c>
      <c r="U39" s="169" t="e">
        <f t="shared" si="36"/>
        <v>#REF!</v>
      </c>
      <c r="V39" s="169">
        <f t="shared" si="37"/>
        <v>7040</v>
      </c>
      <c r="X39" s="493" t="s">
        <v>531</v>
      </c>
      <c r="Y39" s="503" t="e">
        <f t="shared" si="38"/>
        <v>#REF!</v>
      </c>
      <c r="Z39" s="503">
        <f t="shared" si="38"/>
        <v>166092</v>
      </c>
      <c r="AA39" s="503" t="e">
        <f t="shared" si="39"/>
        <v>#REF!</v>
      </c>
      <c r="AB39" s="503">
        <f t="shared" si="40"/>
        <v>58666</v>
      </c>
    </row>
    <row r="40" spans="1:29" x14ac:dyDescent="0.25">
      <c r="A40" s="493" t="s">
        <v>532</v>
      </c>
      <c r="B40" s="529">
        <f t="shared" si="12"/>
        <v>1.12E-2</v>
      </c>
      <c r="C40" s="533" t="e">
        <f>#REF!</f>
        <v>#REF!</v>
      </c>
      <c r="D40" s="522"/>
      <c r="E40" s="530">
        <f>+'Forecasted TOD kWh by Period'!C21</f>
        <v>6762000</v>
      </c>
      <c r="F40" s="8"/>
      <c r="G40" s="8">
        <f t="shared" si="29"/>
        <v>5950560</v>
      </c>
      <c r="H40" s="8"/>
      <c r="I40" s="169" t="e">
        <f t="shared" si="30"/>
        <v>#REF!</v>
      </c>
      <c r="J40" s="169">
        <f t="shared" si="30"/>
        <v>0</v>
      </c>
      <c r="K40" s="169" t="e">
        <f t="shared" si="31"/>
        <v>#REF!</v>
      </c>
      <c r="L40" s="169">
        <f t="shared" si="32"/>
        <v>66646</v>
      </c>
      <c r="M40" s="493"/>
      <c r="N40" s="501">
        <f t="shared" si="33"/>
        <v>1.12E-2</v>
      </c>
      <c r="O40" s="504" t="e">
        <f>#REF!</f>
        <v>#REF!</v>
      </c>
      <c r="P40" s="541">
        <f>'May Price Out'!P40</f>
        <v>0</v>
      </c>
      <c r="Q40" s="502">
        <f t="shared" si="34"/>
        <v>811440</v>
      </c>
      <c r="R40" s="502"/>
      <c r="S40" s="169" t="e">
        <f t="shared" si="35"/>
        <v>#REF!</v>
      </c>
      <c r="T40" s="169">
        <f t="shared" si="35"/>
        <v>0</v>
      </c>
      <c r="U40" s="169" t="e">
        <f t="shared" si="36"/>
        <v>#REF!</v>
      </c>
      <c r="V40" s="169">
        <f t="shared" si="37"/>
        <v>9088</v>
      </c>
      <c r="X40" s="493" t="s">
        <v>532</v>
      </c>
      <c r="Y40" s="503" t="e">
        <f t="shared" si="38"/>
        <v>#REF!</v>
      </c>
      <c r="Z40" s="503">
        <f t="shared" si="38"/>
        <v>0</v>
      </c>
      <c r="AA40" s="503" t="e">
        <f t="shared" si="39"/>
        <v>#REF!</v>
      </c>
      <c r="AB40" s="503">
        <f t="shared" si="40"/>
        <v>75734</v>
      </c>
    </row>
    <row r="41" spans="1:29" x14ac:dyDescent="0.25">
      <c r="A41" s="493" t="s">
        <v>533</v>
      </c>
      <c r="B41" s="529">
        <f t="shared" si="12"/>
        <v>1.12E-2</v>
      </c>
      <c r="C41" s="533" t="e">
        <f>#REF!</f>
        <v>#REF!</v>
      </c>
      <c r="D41" s="534">
        <f>+'May - Oct Capacity MSC by Class'!G35</f>
        <v>0.08</v>
      </c>
      <c r="E41" s="530">
        <f>+'Forecasted TOD kWh by Period'!C24</f>
        <v>485964</v>
      </c>
      <c r="F41" s="8">
        <f>'[100]Forecasted TOD kW by Period'!H21</f>
        <v>10497</v>
      </c>
      <c r="G41" s="8">
        <f>ROUND(E41*0.88,0)</f>
        <v>427648</v>
      </c>
      <c r="H41" s="8">
        <f>ROUND(F41*0.88,0)</f>
        <v>9237</v>
      </c>
      <c r="I41" s="169" t="e">
        <f t="shared" si="30"/>
        <v>#REF!</v>
      </c>
      <c r="J41" s="169">
        <f t="shared" si="30"/>
        <v>739</v>
      </c>
      <c r="K41" s="169" t="e">
        <f t="shared" si="31"/>
        <v>#REF!</v>
      </c>
      <c r="L41" s="169">
        <f t="shared" si="32"/>
        <v>4790</v>
      </c>
      <c r="M41" s="493"/>
      <c r="N41" s="501">
        <f t="shared" si="33"/>
        <v>1.12E-2</v>
      </c>
      <c r="O41" s="504" t="e">
        <f>#REF!</f>
        <v>#REF!</v>
      </c>
      <c r="P41" s="541">
        <f>'May Price Out'!P41</f>
        <v>0.08</v>
      </c>
      <c r="Q41" s="506">
        <f t="shared" si="34"/>
        <v>58316</v>
      </c>
      <c r="R41" s="506">
        <f>F41-H41</f>
        <v>1260</v>
      </c>
      <c r="S41" s="169" t="e">
        <f t="shared" si="35"/>
        <v>#REF!</v>
      </c>
      <c r="T41" s="169">
        <f t="shared" si="35"/>
        <v>101</v>
      </c>
      <c r="U41" s="169" t="e">
        <f t="shared" si="36"/>
        <v>#REF!</v>
      </c>
      <c r="V41" s="169">
        <f t="shared" si="37"/>
        <v>653</v>
      </c>
      <c r="X41" s="493" t="s">
        <v>533</v>
      </c>
      <c r="Y41" s="503" t="e">
        <f t="shared" si="38"/>
        <v>#REF!</v>
      </c>
      <c r="Z41" s="503">
        <f t="shared" si="38"/>
        <v>840</v>
      </c>
      <c r="AA41" s="503" t="e">
        <f t="shared" si="39"/>
        <v>#REF!</v>
      </c>
      <c r="AB41" s="503">
        <f t="shared" si="40"/>
        <v>5443</v>
      </c>
    </row>
    <row r="42" spans="1:29" x14ac:dyDescent="0.25">
      <c r="A42" s="493" t="s">
        <v>534</v>
      </c>
      <c r="B42" s="529">
        <f t="shared" si="12"/>
        <v>1.12E-2</v>
      </c>
      <c r="C42" s="533" t="e">
        <f>#REF!</f>
        <v>#REF!</v>
      </c>
      <c r="D42" s="522"/>
      <c r="E42" s="530">
        <f>+'Forecasted TOD kWh by Period'!C25</f>
        <v>596603</v>
      </c>
      <c r="F42" s="493"/>
      <c r="G42" s="8">
        <f>ROUND(E42*0.88,0)</f>
        <v>525011</v>
      </c>
      <c r="H42" s="8"/>
      <c r="I42" s="169" t="e">
        <f t="shared" si="30"/>
        <v>#REF!</v>
      </c>
      <c r="J42" s="169">
        <f t="shared" si="30"/>
        <v>0</v>
      </c>
      <c r="K42" s="169" t="e">
        <f t="shared" si="31"/>
        <v>#REF!</v>
      </c>
      <c r="L42" s="169">
        <f t="shared" si="32"/>
        <v>5880</v>
      </c>
      <c r="M42" s="493"/>
      <c r="N42" s="501">
        <f t="shared" si="33"/>
        <v>1.12E-2</v>
      </c>
      <c r="O42" s="504" t="e">
        <f>#REF!</f>
        <v>#REF!</v>
      </c>
      <c r="P42" s="538">
        <f>'May Price Out'!P42</f>
        <v>0</v>
      </c>
      <c r="Q42" s="506">
        <f t="shared" si="34"/>
        <v>71592</v>
      </c>
      <c r="R42" s="396"/>
      <c r="S42" s="169" t="e">
        <f t="shared" si="35"/>
        <v>#REF!</v>
      </c>
      <c r="T42" s="169">
        <f t="shared" si="35"/>
        <v>0</v>
      </c>
      <c r="U42" s="169" t="e">
        <f t="shared" si="36"/>
        <v>#REF!</v>
      </c>
      <c r="V42" s="169">
        <f t="shared" si="37"/>
        <v>802</v>
      </c>
      <c r="X42" s="493" t="s">
        <v>534</v>
      </c>
      <c r="Y42" s="503" t="e">
        <f t="shared" si="38"/>
        <v>#REF!</v>
      </c>
      <c r="Z42" s="503">
        <f t="shared" si="38"/>
        <v>0</v>
      </c>
      <c r="AA42" s="503" t="e">
        <f t="shared" si="39"/>
        <v>#REF!</v>
      </c>
      <c r="AB42" s="503">
        <f t="shared" si="40"/>
        <v>6682</v>
      </c>
    </row>
    <row r="43" spans="1:29" x14ac:dyDescent="0.25">
      <c r="A43" s="493"/>
      <c r="B43" s="493"/>
      <c r="C43" s="493"/>
      <c r="D43" s="493"/>
      <c r="E43" s="493"/>
      <c r="F43" s="493"/>
      <c r="G43" s="493"/>
      <c r="H43" s="493"/>
      <c r="I43" s="493"/>
      <c r="J43" s="493"/>
      <c r="K43" s="493"/>
      <c r="L43" s="493"/>
      <c r="M43" s="493"/>
      <c r="N43" s="510"/>
      <c r="O43" s="493"/>
      <c r="S43" s="493"/>
      <c r="T43" s="493"/>
      <c r="U43" s="493"/>
      <c r="V43" s="493"/>
      <c r="X43" s="493"/>
      <c r="Y43" s="503"/>
      <c r="Z43" s="503"/>
      <c r="AA43" s="503"/>
      <c r="AB43" s="503"/>
    </row>
    <row r="44" spans="1:29" x14ac:dyDescent="0.25">
      <c r="A44" s="493" t="s">
        <v>162</v>
      </c>
      <c r="B44" s="493"/>
      <c r="C44" s="493"/>
      <c r="D44" s="493"/>
      <c r="E44" s="493"/>
      <c r="F44" s="493"/>
      <c r="G44" s="507">
        <f>SUM(G8:G19)+SUM(G21:G24)+SUM(G26:G31)+SUM(G33:G42)</f>
        <v>4468377014</v>
      </c>
      <c r="H44" s="493"/>
      <c r="I44" s="503" t="e">
        <f>SUM(I8:I43)</f>
        <v>#REF!</v>
      </c>
      <c r="J44" s="169">
        <f>SUM(J8:J19)+SUM(J21:J24)+SUM(J26:J31)+SUM(J33:J42)</f>
        <v>66862680</v>
      </c>
      <c r="K44" s="169" t="e">
        <f>SUM(K8:K43)</f>
        <v>#REF!</v>
      </c>
      <c r="L44" s="169">
        <f>SUM(L8:L19)+SUM(L21:L24)+SUM(L26:L31)+SUM(L33:L42)</f>
        <v>50045822</v>
      </c>
      <c r="M44" s="493"/>
      <c r="Q44" s="507">
        <f>SUM(Q8:Q19)+SUM(Q21:Q24)+SUM(Q26:Q31)+SUM(Q33:Q42)</f>
        <v>609324140</v>
      </c>
      <c r="S44" s="503" t="e">
        <f>SUM(S8:S43)</f>
        <v>#REF!</v>
      </c>
      <c r="T44" s="169">
        <f>SUM(T8:T19)+SUM(T21:T24)+SUM(T26:T31)+SUM(T33:T42)</f>
        <v>7430048</v>
      </c>
      <c r="U44" s="169" t="e">
        <f>SUM(U8:U43)</f>
        <v>#REF!</v>
      </c>
      <c r="V44" s="169">
        <f>SUM(V8:V19)+SUM(V21:V24)+SUM(V26:V31)+SUM(V33:V42)</f>
        <v>6824430</v>
      </c>
      <c r="X44" s="493" t="s">
        <v>162</v>
      </c>
      <c r="Y44" s="503" t="e">
        <f>I44+S44</f>
        <v>#REF!</v>
      </c>
      <c r="Z44" s="503">
        <f>J44+T44</f>
        <v>74292728</v>
      </c>
      <c r="AA44" s="503" t="e">
        <f>Y44+Z44</f>
        <v>#REF!</v>
      </c>
      <c r="AB44" s="503">
        <f>L44+V44</f>
        <v>56870252</v>
      </c>
    </row>
    <row r="45" spans="1:29" x14ac:dyDescent="0.25">
      <c r="A45" s="493"/>
      <c r="B45" s="493"/>
      <c r="C45" s="493"/>
      <c r="D45" s="493"/>
      <c r="E45" s="493"/>
      <c r="F45" s="493"/>
      <c r="G45" s="493"/>
      <c r="H45" s="493"/>
      <c r="I45" s="493"/>
      <c r="J45" s="493"/>
      <c r="K45" s="493"/>
      <c r="L45" s="493"/>
      <c r="M45" s="493"/>
      <c r="N45" s="493"/>
    </row>
    <row r="46" spans="1:29" x14ac:dyDescent="0.25">
      <c r="A46" s="493"/>
      <c r="B46" s="493"/>
      <c r="C46" s="493"/>
      <c r="D46" s="493"/>
      <c r="E46" s="493"/>
      <c r="F46" s="493"/>
      <c r="G46" s="493"/>
      <c r="H46" s="493"/>
      <c r="I46" s="493"/>
      <c r="J46" s="493"/>
      <c r="K46" s="493"/>
      <c r="L46" s="493"/>
      <c r="M46" s="493"/>
      <c r="N46" s="493"/>
      <c r="AC46" s="511"/>
    </row>
    <row r="47" spans="1:29" x14ac:dyDescent="0.25">
      <c r="A47" s="493"/>
      <c r="B47" s="493"/>
      <c r="C47" s="493"/>
      <c r="D47" s="493"/>
      <c r="E47" s="502"/>
      <c r="F47" s="512"/>
      <c r="G47" s="493"/>
      <c r="H47" s="493"/>
      <c r="I47" s="493"/>
      <c r="J47" s="493"/>
      <c r="K47" s="493"/>
      <c r="L47" s="493"/>
      <c r="M47" s="493"/>
      <c r="N47" s="493"/>
    </row>
    <row r="48" spans="1:29" x14ac:dyDescent="0.25">
      <c r="A48" s="493"/>
      <c r="B48" s="493"/>
      <c r="C48" s="493"/>
      <c r="D48" s="493"/>
      <c r="E48" s="513"/>
      <c r="F48" s="514"/>
      <c r="G48" s="493"/>
      <c r="H48" s="493"/>
      <c r="I48" s="493"/>
      <c r="J48" s="493"/>
      <c r="K48" s="493"/>
      <c r="L48" s="493"/>
      <c r="M48" s="493"/>
      <c r="N48" s="493"/>
    </row>
    <row r="49" spans="1:14" x14ac:dyDescent="0.25">
      <c r="A49" s="493"/>
      <c r="B49" s="493"/>
      <c r="C49" s="493"/>
      <c r="D49" s="493"/>
      <c r="E49" s="502"/>
      <c r="F49" s="512"/>
      <c r="G49" s="493"/>
      <c r="H49" s="493"/>
      <c r="I49" s="493"/>
      <c r="J49" s="493"/>
      <c r="K49" s="493"/>
      <c r="L49" s="493"/>
      <c r="M49" s="493"/>
      <c r="N49" s="493"/>
    </row>
    <row r="50" spans="1:14" x14ac:dyDescent="0.25">
      <c r="A50" s="493"/>
      <c r="B50" s="493"/>
      <c r="C50" s="493"/>
      <c r="D50" s="493"/>
      <c r="E50" s="493"/>
      <c r="F50" s="493"/>
      <c r="G50" s="493"/>
      <c r="H50" s="493"/>
      <c r="I50" s="493"/>
      <c r="J50" s="493"/>
      <c r="K50" s="493"/>
      <c r="L50" s="493"/>
      <c r="M50" s="493"/>
      <c r="N50" s="493"/>
    </row>
    <row r="51" spans="1:14" x14ac:dyDescent="0.25">
      <c r="A51" s="493"/>
      <c r="B51" s="493"/>
      <c r="C51" s="493"/>
      <c r="D51" s="493"/>
      <c r="E51" s="493"/>
      <c r="F51" s="493"/>
      <c r="G51" s="493"/>
      <c r="H51" s="493"/>
      <c r="I51" s="493"/>
      <c r="J51" s="493"/>
      <c r="K51" s="493"/>
      <c r="L51" s="493"/>
      <c r="M51" s="493"/>
      <c r="N51" s="493"/>
    </row>
    <row r="52" spans="1:14" x14ac:dyDescent="0.25">
      <c r="A52" s="493"/>
      <c r="B52" s="493"/>
      <c r="C52" s="493"/>
      <c r="D52" s="493"/>
      <c r="E52" s="493"/>
      <c r="F52" s="493"/>
      <c r="G52" s="493"/>
      <c r="H52" s="493"/>
      <c r="I52" s="493"/>
      <c r="J52" s="493"/>
      <c r="K52" s="493"/>
      <c r="L52" s="493"/>
      <c r="M52" s="493"/>
      <c r="N52" s="493"/>
    </row>
    <row r="53" spans="1:14" x14ac:dyDescent="0.25">
      <c r="A53" s="493"/>
      <c r="B53" s="493"/>
      <c r="C53" s="493"/>
      <c r="D53" s="493"/>
      <c r="E53" s="493"/>
      <c r="F53" s="493"/>
      <c r="G53" s="493"/>
      <c r="H53" s="493"/>
      <c r="I53" s="493"/>
      <c r="J53" s="493"/>
      <c r="K53" s="493"/>
      <c r="L53" s="493"/>
      <c r="M53" s="493"/>
    </row>
    <row r="54" spans="1:14" x14ac:dyDescent="0.25">
      <c r="A54" s="493"/>
      <c r="B54" s="493"/>
      <c r="C54" s="493"/>
      <c r="D54" s="493"/>
      <c r="E54" s="493"/>
      <c r="F54" s="493"/>
      <c r="G54" s="493"/>
      <c r="H54" s="493"/>
      <c r="I54" s="493"/>
      <c r="J54" s="493"/>
      <c r="K54" s="493"/>
      <c r="L54" s="493"/>
      <c r="M54" s="493"/>
    </row>
    <row r="55" spans="1:14" x14ac:dyDescent="0.25">
      <c r="A55" s="493"/>
      <c r="B55" s="493"/>
      <c r="C55" s="493"/>
      <c r="D55" s="493"/>
      <c r="E55" s="493"/>
      <c r="F55" s="493"/>
      <c r="G55" s="493"/>
      <c r="H55" s="493"/>
      <c r="I55" s="493"/>
      <c r="J55" s="493"/>
      <c r="K55" s="493"/>
      <c r="L55" s="493"/>
      <c r="M55" s="493"/>
    </row>
    <row r="56" spans="1:14" x14ac:dyDescent="0.25">
      <c r="A56" s="493"/>
      <c r="B56" s="493"/>
      <c r="C56" s="493"/>
      <c r="D56" s="493"/>
      <c r="E56" s="493"/>
      <c r="F56" s="493"/>
      <c r="G56" s="493"/>
      <c r="H56" s="493"/>
      <c r="I56" s="493"/>
      <c r="J56" s="493"/>
      <c r="K56" s="493"/>
      <c r="L56" s="493"/>
      <c r="M56" s="493"/>
    </row>
    <row r="57" spans="1:14" x14ac:dyDescent="0.25">
      <c r="A57" s="493"/>
      <c r="B57" s="493"/>
      <c r="C57" s="493"/>
      <c r="D57" s="493"/>
      <c r="E57" s="493"/>
      <c r="F57" s="493"/>
      <c r="G57" s="493"/>
      <c r="H57" s="493"/>
      <c r="I57" s="493"/>
      <c r="J57" s="493"/>
      <c r="K57" s="493"/>
      <c r="L57" s="493"/>
      <c r="M57" s="493"/>
    </row>
    <row r="58" spans="1:14" x14ac:dyDescent="0.25">
      <c r="A58" s="493"/>
      <c r="B58" s="493"/>
      <c r="C58" s="493"/>
      <c r="D58" s="493"/>
      <c r="E58" s="493"/>
      <c r="F58" s="493"/>
      <c r="G58" s="493"/>
      <c r="H58" s="493"/>
      <c r="I58" s="493"/>
      <c r="J58" s="493"/>
      <c r="K58" s="493"/>
      <c r="L58" s="493"/>
      <c r="M58" s="493"/>
    </row>
    <row r="59" spans="1:14" x14ac:dyDescent="0.25">
      <c r="A59" s="493"/>
      <c r="B59" s="493"/>
      <c r="C59" s="493"/>
      <c r="D59" s="493"/>
      <c r="E59" s="493"/>
      <c r="F59" s="493"/>
      <c r="G59" s="493"/>
      <c r="H59" s="493"/>
      <c r="I59" s="493"/>
      <c r="J59" s="493"/>
      <c r="K59" s="493"/>
      <c r="L59" s="493"/>
      <c r="M59" s="493"/>
    </row>
    <row r="60" spans="1:14" x14ac:dyDescent="0.25">
      <c r="A60" s="493"/>
      <c r="B60" s="493"/>
      <c r="C60" s="493"/>
      <c r="D60" s="493"/>
      <c r="E60" s="493"/>
      <c r="F60" s="493"/>
      <c r="G60" s="493"/>
      <c r="H60" s="493"/>
      <c r="I60" s="493"/>
      <c r="J60" s="493"/>
      <c r="K60" s="493"/>
      <c r="L60" s="493"/>
      <c r="M60" s="493"/>
    </row>
    <row r="61" spans="1:14" x14ac:dyDescent="0.25">
      <c r="A61" s="493"/>
      <c r="B61" s="493"/>
      <c r="C61" s="493"/>
      <c r="D61" s="493"/>
      <c r="E61" s="493"/>
      <c r="F61" s="493"/>
      <c r="G61" s="493"/>
      <c r="H61" s="493"/>
      <c r="I61" s="493"/>
      <c r="J61" s="493"/>
      <c r="K61" s="493"/>
      <c r="L61" s="493"/>
      <c r="M61" s="493"/>
    </row>
    <row r="62" spans="1:14" x14ac:dyDescent="0.25">
      <c r="A62" s="493"/>
      <c r="B62" s="493"/>
      <c r="C62" s="493"/>
      <c r="D62" s="493"/>
      <c r="E62" s="493"/>
      <c r="F62" s="493"/>
      <c r="G62" s="493"/>
      <c r="H62" s="493"/>
      <c r="I62" s="493"/>
      <c r="J62" s="493"/>
      <c r="K62" s="493"/>
      <c r="L62" s="493"/>
      <c r="M62" s="493"/>
    </row>
    <row r="63" spans="1:14" x14ac:dyDescent="0.25">
      <c r="A63" s="493"/>
      <c r="B63" s="493"/>
      <c r="C63" s="493"/>
      <c r="D63" s="493"/>
      <c r="E63" s="493"/>
      <c r="F63" s="493"/>
      <c r="G63" s="493"/>
      <c r="H63" s="493"/>
      <c r="I63" s="493"/>
      <c r="J63" s="493"/>
      <c r="K63" s="493"/>
      <c r="L63" s="493"/>
      <c r="M63" s="493"/>
    </row>
    <row r="64" spans="1:14" x14ac:dyDescent="0.25">
      <c r="A64" s="493"/>
      <c r="B64" s="493"/>
      <c r="C64" s="493"/>
      <c r="D64" s="493"/>
      <c r="E64" s="493"/>
      <c r="F64" s="493"/>
      <c r="G64" s="493"/>
      <c r="H64" s="493"/>
      <c r="I64" s="493"/>
      <c r="J64" s="493"/>
      <c r="K64" s="493"/>
      <c r="L64" s="493"/>
      <c r="M64" s="493"/>
    </row>
    <row r="65" spans="1:13" x14ac:dyDescent="0.25">
      <c r="A65" s="493"/>
      <c r="B65" s="493"/>
      <c r="C65" s="493"/>
      <c r="D65" s="493"/>
      <c r="E65" s="493"/>
      <c r="F65" s="493"/>
      <c r="G65" s="493"/>
      <c r="H65" s="493"/>
      <c r="I65" s="493"/>
      <c r="J65" s="493"/>
      <c r="K65" s="493"/>
      <c r="L65" s="493"/>
      <c r="M65" s="493"/>
    </row>
    <row r="66" spans="1:13" x14ac:dyDescent="0.25">
      <c r="A66" s="493"/>
      <c r="B66" s="493"/>
      <c r="C66" s="493"/>
      <c r="D66" s="493"/>
      <c r="E66" s="493"/>
      <c r="F66" s="493"/>
      <c r="G66" s="493"/>
      <c r="H66" s="493"/>
      <c r="I66" s="493"/>
      <c r="J66" s="493"/>
      <c r="K66" s="493"/>
      <c r="L66" s="493"/>
      <c r="M66" s="493"/>
    </row>
    <row r="67" spans="1:13" x14ac:dyDescent="0.25">
      <c r="A67" s="493"/>
      <c r="B67" s="493"/>
      <c r="C67" s="493"/>
      <c r="D67" s="493"/>
      <c r="E67" s="493"/>
      <c r="F67" s="493"/>
      <c r="G67" s="493"/>
      <c r="H67" s="493"/>
      <c r="I67" s="493"/>
      <c r="J67" s="493"/>
      <c r="K67" s="493"/>
      <c r="L67" s="493"/>
      <c r="M67" s="493"/>
    </row>
    <row r="68" spans="1:13" x14ac:dyDescent="0.25">
      <c r="A68" s="493"/>
      <c r="B68" s="493"/>
      <c r="C68" s="493"/>
      <c r="D68" s="493"/>
      <c r="E68" s="493"/>
      <c r="F68" s="493"/>
      <c r="G68" s="493"/>
      <c r="H68" s="493"/>
      <c r="I68" s="493"/>
      <c r="J68" s="493"/>
      <c r="K68" s="493"/>
      <c r="L68" s="493"/>
      <c r="M68" s="493"/>
    </row>
    <row r="69" spans="1:13" x14ac:dyDescent="0.25">
      <c r="A69" s="493"/>
      <c r="B69" s="493"/>
      <c r="C69" s="493"/>
      <c r="D69" s="493"/>
      <c r="E69" s="493"/>
      <c r="F69" s="493"/>
      <c r="G69" s="493"/>
      <c r="H69" s="493"/>
      <c r="I69" s="493"/>
      <c r="J69" s="493"/>
      <c r="K69" s="493"/>
      <c r="L69" s="493"/>
      <c r="M69" s="493"/>
    </row>
    <row r="70" spans="1:13" x14ac:dyDescent="0.25">
      <c r="A70" s="493"/>
      <c r="B70" s="493"/>
      <c r="C70" s="493"/>
      <c r="D70" s="493"/>
      <c r="E70" s="493"/>
      <c r="F70" s="493"/>
      <c r="G70" s="493"/>
      <c r="H70" s="493"/>
      <c r="I70" s="493"/>
      <c r="J70" s="493"/>
      <c r="K70" s="493"/>
      <c r="L70" s="493"/>
      <c r="M70" s="493"/>
    </row>
    <row r="71" spans="1:13" x14ac:dyDescent="0.25">
      <c r="A71" s="493"/>
      <c r="B71" s="493"/>
      <c r="C71" s="493"/>
      <c r="D71" s="493"/>
      <c r="E71" s="493"/>
      <c r="F71" s="493"/>
      <c r="G71" s="493"/>
      <c r="H71" s="493"/>
      <c r="I71" s="493"/>
      <c r="J71" s="493"/>
      <c r="K71" s="493"/>
      <c r="L71" s="493"/>
      <c r="M71" s="493"/>
    </row>
    <row r="72" spans="1:13" x14ac:dyDescent="0.25">
      <c r="A72" s="493"/>
      <c r="B72" s="493"/>
      <c r="C72" s="493"/>
      <c r="D72" s="493"/>
      <c r="E72" s="493"/>
      <c r="F72" s="493"/>
      <c r="G72" s="493"/>
      <c r="H72" s="493"/>
      <c r="I72" s="493"/>
      <c r="J72" s="493"/>
      <c r="K72" s="493"/>
      <c r="L72" s="493"/>
      <c r="M72" s="493"/>
    </row>
    <row r="73" spans="1:13" x14ac:dyDescent="0.25">
      <c r="A73" s="493"/>
      <c r="B73" s="493"/>
      <c r="C73" s="493"/>
      <c r="D73" s="493"/>
      <c r="E73" s="493"/>
      <c r="F73" s="493"/>
      <c r="G73" s="493"/>
      <c r="H73" s="493"/>
      <c r="I73" s="493"/>
      <c r="J73" s="493"/>
      <c r="K73" s="493"/>
      <c r="L73" s="493"/>
      <c r="M73" s="493"/>
    </row>
    <row r="74" spans="1:13" x14ac:dyDescent="0.25">
      <c r="A74" s="493"/>
      <c r="B74" s="493"/>
      <c r="C74" s="493"/>
      <c r="D74" s="493"/>
      <c r="E74" s="493"/>
      <c r="F74" s="493"/>
      <c r="G74" s="493"/>
      <c r="H74" s="493"/>
      <c r="I74" s="493"/>
      <c r="J74" s="493"/>
      <c r="K74" s="493"/>
      <c r="L74" s="493"/>
      <c r="M74" s="493"/>
    </row>
    <row r="75" spans="1:13" x14ac:dyDescent="0.25">
      <c r="A75" s="493"/>
      <c r="B75" s="493"/>
      <c r="C75" s="493"/>
      <c r="D75" s="493"/>
      <c r="E75" s="493"/>
      <c r="F75" s="493"/>
      <c r="G75" s="493"/>
      <c r="H75" s="493"/>
      <c r="I75" s="493"/>
      <c r="J75" s="493"/>
      <c r="K75" s="493"/>
      <c r="L75" s="493"/>
      <c r="M75" s="493"/>
    </row>
    <row r="76" spans="1:13" x14ac:dyDescent="0.25">
      <c r="A76" s="493"/>
      <c r="B76" s="493"/>
      <c r="C76" s="493"/>
      <c r="D76" s="493"/>
      <c r="E76" s="493"/>
      <c r="F76" s="493"/>
      <c r="G76" s="493"/>
      <c r="H76" s="493"/>
      <c r="I76" s="493"/>
      <c r="J76" s="493"/>
      <c r="K76" s="493"/>
      <c r="L76" s="493"/>
      <c r="M76" s="493"/>
    </row>
    <row r="77" spans="1:13" x14ac:dyDescent="0.25">
      <c r="A77" s="493"/>
      <c r="B77" s="493"/>
      <c r="C77" s="493"/>
      <c r="D77" s="493"/>
      <c r="E77" s="493"/>
      <c r="F77" s="493"/>
      <c r="G77" s="493"/>
      <c r="H77" s="493"/>
      <c r="I77" s="493"/>
      <c r="J77" s="493"/>
      <c r="K77" s="493"/>
      <c r="L77" s="493"/>
      <c r="M77" s="493"/>
    </row>
    <row r="78" spans="1:13" x14ac:dyDescent="0.25">
      <c r="A78" s="493"/>
      <c r="B78" s="493"/>
      <c r="C78" s="493"/>
      <c r="D78" s="493"/>
      <c r="E78" s="493"/>
      <c r="F78" s="493"/>
      <c r="G78" s="493"/>
      <c r="H78" s="493"/>
      <c r="I78" s="493"/>
      <c r="J78" s="493"/>
      <c r="K78" s="493"/>
      <c r="L78" s="493"/>
      <c r="M78" s="493"/>
    </row>
    <row r="79" spans="1:13" x14ac:dyDescent="0.25">
      <c r="A79" s="493"/>
      <c r="B79" s="493"/>
      <c r="C79" s="493"/>
      <c r="D79" s="493"/>
      <c r="E79" s="493"/>
      <c r="F79" s="493"/>
      <c r="G79" s="493"/>
      <c r="H79" s="493"/>
      <c r="I79" s="493"/>
      <c r="J79" s="493"/>
      <c r="K79" s="493"/>
      <c r="L79" s="493"/>
      <c r="M79" s="493"/>
    </row>
    <row r="80" spans="1:13" x14ac:dyDescent="0.25">
      <c r="A80" s="493"/>
      <c r="B80" s="493"/>
      <c r="C80" s="493"/>
      <c r="D80" s="493"/>
      <c r="E80" s="493"/>
      <c r="F80" s="493"/>
      <c r="G80" s="493"/>
      <c r="H80" s="493"/>
      <c r="I80" s="493"/>
      <c r="J80" s="493"/>
      <c r="K80" s="493"/>
      <c r="L80" s="493"/>
      <c r="M80" s="493"/>
    </row>
    <row r="81" spans="1:13" x14ac:dyDescent="0.25">
      <c r="A81" s="493"/>
      <c r="B81" s="493"/>
      <c r="C81" s="493"/>
      <c r="D81" s="493"/>
      <c r="E81" s="493"/>
      <c r="F81" s="493"/>
      <c r="G81" s="493"/>
      <c r="H81" s="493"/>
      <c r="I81" s="493"/>
      <c r="J81" s="493"/>
      <c r="K81" s="493"/>
      <c r="L81" s="493"/>
      <c r="M81" s="493"/>
    </row>
    <row r="82" spans="1:13" x14ac:dyDescent="0.25">
      <c r="A82" s="493"/>
      <c r="B82" s="493"/>
      <c r="C82" s="493"/>
      <c r="D82" s="493"/>
      <c r="E82" s="493"/>
      <c r="F82" s="493"/>
      <c r="G82" s="493"/>
      <c r="H82" s="493"/>
      <c r="I82" s="493"/>
      <c r="J82" s="493"/>
      <c r="K82" s="493"/>
      <c r="L82" s="493"/>
      <c r="M82" s="493"/>
    </row>
    <row r="83" spans="1:13" x14ac:dyDescent="0.25">
      <c r="A83" s="493"/>
      <c r="B83" s="493"/>
      <c r="C83" s="493"/>
      <c r="D83" s="493"/>
      <c r="E83" s="493"/>
      <c r="F83" s="493"/>
      <c r="G83" s="493"/>
      <c r="H83" s="493"/>
      <c r="I83" s="493"/>
      <c r="J83" s="493"/>
      <c r="K83" s="493"/>
      <c r="L83" s="493"/>
      <c r="M83" s="493"/>
    </row>
    <row r="84" spans="1:13" x14ac:dyDescent="0.25">
      <c r="A84" s="493"/>
      <c r="B84" s="493"/>
      <c r="C84" s="493"/>
      <c r="D84" s="493"/>
      <c r="E84" s="493"/>
      <c r="F84" s="493"/>
      <c r="G84" s="493"/>
      <c r="H84" s="493"/>
      <c r="I84" s="493"/>
      <c r="J84" s="493"/>
      <c r="K84" s="493"/>
      <c r="L84" s="493"/>
      <c r="M84" s="493"/>
    </row>
    <row r="85" spans="1:13" x14ac:dyDescent="0.25">
      <c r="A85" s="493"/>
      <c r="B85" s="493"/>
      <c r="C85" s="493"/>
      <c r="D85" s="493"/>
      <c r="E85" s="493"/>
      <c r="F85" s="493"/>
      <c r="G85" s="493"/>
      <c r="H85" s="493"/>
      <c r="I85" s="493"/>
      <c r="J85" s="493"/>
      <c r="K85" s="493"/>
      <c r="L85" s="493"/>
      <c r="M85" s="493"/>
    </row>
    <row r="86" spans="1:13" x14ac:dyDescent="0.25">
      <c r="A86" s="493"/>
      <c r="B86" s="493"/>
      <c r="C86" s="493"/>
      <c r="D86" s="493"/>
      <c r="E86" s="493"/>
      <c r="F86" s="493"/>
      <c r="G86" s="493"/>
      <c r="H86" s="493"/>
      <c r="I86" s="493"/>
      <c r="J86" s="493"/>
      <c r="K86" s="493"/>
      <c r="L86" s="493"/>
      <c r="M86" s="493"/>
    </row>
    <row r="87" spans="1:13" x14ac:dyDescent="0.25">
      <c r="A87" s="493"/>
      <c r="B87" s="493"/>
      <c r="C87" s="493"/>
      <c r="D87" s="493"/>
      <c r="E87" s="493"/>
      <c r="F87" s="493"/>
      <c r="G87" s="493"/>
      <c r="H87" s="493"/>
      <c r="I87" s="493"/>
      <c r="J87" s="493"/>
      <c r="K87" s="493"/>
      <c r="L87" s="493"/>
      <c r="M87" s="493"/>
    </row>
    <row r="88" spans="1:13" x14ac:dyDescent="0.25">
      <c r="A88" s="493"/>
      <c r="B88" s="493"/>
      <c r="C88" s="493"/>
      <c r="D88" s="493"/>
      <c r="E88" s="493"/>
      <c r="F88" s="493"/>
      <c r="G88" s="493"/>
      <c r="H88" s="493"/>
      <c r="I88" s="493"/>
      <c r="J88" s="493"/>
      <c r="K88" s="493"/>
      <c r="L88" s="493"/>
      <c r="M88" s="493"/>
    </row>
    <row r="89" spans="1:13" x14ac:dyDescent="0.25">
      <c r="A89" s="493"/>
      <c r="B89" s="493"/>
      <c r="C89" s="493"/>
      <c r="D89" s="493"/>
      <c r="E89" s="493"/>
      <c r="F89" s="493"/>
      <c r="G89" s="493"/>
      <c r="H89" s="493"/>
      <c r="I89" s="493"/>
      <c r="J89" s="493"/>
      <c r="K89" s="493"/>
      <c r="L89" s="493"/>
      <c r="M89" s="493"/>
    </row>
    <row r="90" spans="1:13" x14ac:dyDescent="0.25">
      <c r="A90" s="493"/>
      <c r="B90" s="493"/>
      <c r="C90" s="493"/>
      <c r="D90" s="493"/>
      <c r="E90" s="493"/>
      <c r="F90" s="493"/>
      <c r="G90" s="493"/>
      <c r="H90" s="493"/>
      <c r="I90" s="493"/>
      <c r="J90" s="493"/>
      <c r="K90" s="493"/>
      <c r="L90" s="493"/>
      <c r="M90" s="493"/>
    </row>
    <row r="91" spans="1:13" x14ac:dyDescent="0.25">
      <c r="A91" s="493"/>
      <c r="B91" s="493"/>
      <c r="C91" s="493"/>
      <c r="D91" s="493"/>
      <c r="E91" s="493"/>
      <c r="F91" s="493"/>
      <c r="G91" s="493"/>
      <c r="H91" s="493"/>
      <c r="I91" s="493"/>
      <c r="J91" s="493"/>
      <c r="K91" s="493"/>
      <c r="L91" s="493"/>
      <c r="M91" s="493"/>
    </row>
    <row r="92" spans="1:13" x14ac:dyDescent="0.25">
      <c r="A92" s="493"/>
      <c r="B92" s="493"/>
      <c r="C92" s="493"/>
      <c r="D92" s="493"/>
      <c r="E92" s="493"/>
      <c r="F92" s="493"/>
      <c r="G92" s="493"/>
      <c r="H92" s="493"/>
      <c r="I92" s="493"/>
      <c r="J92" s="493"/>
      <c r="K92" s="493"/>
      <c r="L92" s="493"/>
      <c r="M92" s="493"/>
    </row>
    <row r="93" spans="1:13" x14ac:dyDescent="0.25">
      <c r="A93" s="493"/>
      <c r="B93" s="493"/>
      <c r="C93" s="493"/>
      <c r="D93" s="493"/>
      <c r="E93" s="493"/>
      <c r="F93" s="493"/>
      <c r="G93" s="493"/>
      <c r="H93" s="493"/>
      <c r="I93" s="493"/>
      <c r="J93" s="493"/>
      <c r="K93" s="493"/>
      <c r="L93" s="493"/>
      <c r="M93" s="493"/>
    </row>
    <row r="94" spans="1:13" x14ac:dyDescent="0.25">
      <c r="A94" s="493"/>
      <c r="B94" s="493"/>
      <c r="C94" s="493"/>
      <c r="D94" s="493"/>
      <c r="E94" s="493"/>
      <c r="F94" s="493"/>
      <c r="G94" s="493"/>
      <c r="H94" s="493"/>
      <c r="I94" s="493"/>
      <c r="J94" s="493"/>
      <c r="K94" s="493"/>
      <c r="L94" s="493"/>
      <c r="M94" s="493"/>
    </row>
    <row r="95" spans="1:13" x14ac:dyDescent="0.25">
      <c r="A95" s="493"/>
      <c r="B95" s="493"/>
      <c r="C95" s="493"/>
      <c r="D95" s="493"/>
      <c r="E95" s="493"/>
      <c r="F95" s="493"/>
      <c r="G95" s="493"/>
      <c r="H95" s="493"/>
      <c r="I95" s="493"/>
      <c r="J95" s="493"/>
      <c r="K95" s="493"/>
      <c r="L95" s="493"/>
      <c r="M95" s="493"/>
    </row>
    <row r="96" spans="1:13" x14ac:dyDescent="0.25">
      <c r="A96" s="493"/>
      <c r="B96" s="493"/>
      <c r="C96" s="493"/>
      <c r="D96" s="493"/>
      <c r="E96" s="493"/>
      <c r="F96" s="493"/>
      <c r="G96" s="493"/>
      <c r="H96" s="493"/>
      <c r="I96" s="493"/>
      <c r="J96" s="493"/>
      <c r="K96" s="493"/>
      <c r="L96" s="493"/>
      <c r="M96" s="493"/>
    </row>
    <row r="97" spans="1:13" x14ac:dyDescent="0.25">
      <c r="A97" s="493"/>
      <c r="B97" s="493"/>
      <c r="C97" s="493"/>
      <c r="D97" s="493"/>
      <c r="E97" s="493"/>
      <c r="F97" s="493"/>
      <c r="G97" s="493"/>
      <c r="H97" s="493"/>
      <c r="I97" s="493"/>
      <c r="J97" s="493"/>
      <c r="K97" s="493"/>
      <c r="L97" s="493"/>
      <c r="M97" s="493"/>
    </row>
    <row r="98" spans="1:13" x14ac:dyDescent="0.25">
      <c r="A98" s="493"/>
      <c r="B98" s="493"/>
      <c r="C98" s="493"/>
      <c r="D98" s="493"/>
      <c r="E98" s="493"/>
      <c r="F98" s="493"/>
      <c r="G98" s="493"/>
      <c r="H98" s="493"/>
      <c r="I98" s="493"/>
      <c r="J98" s="493"/>
      <c r="K98" s="493"/>
      <c r="L98" s="493"/>
      <c r="M98" s="493"/>
    </row>
    <row r="99" spans="1:13" x14ac:dyDescent="0.25">
      <c r="A99" s="493"/>
      <c r="B99" s="493"/>
      <c r="C99" s="493"/>
      <c r="D99" s="493"/>
      <c r="E99" s="493"/>
      <c r="F99" s="493"/>
      <c r="G99" s="493"/>
      <c r="H99" s="493"/>
      <c r="I99" s="493"/>
      <c r="J99" s="493"/>
      <c r="K99" s="493"/>
      <c r="L99" s="493"/>
      <c r="M99" s="493"/>
    </row>
    <row r="100" spans="1:13" x14ac:dyDescent="0.25">
      <c r="A100" s="493"/>
      <c r="B100" s="493"/>
      <c r="C100" s="493"/>
      <c r="D100" s="493"/>
      <c r="E100" s="493"/>
      <c r="F100" s="493"/>
      <c r="G100" s="493"/>
      <c r="H100" s="493"/>
      <c r="I100" s="493"/>
      <c r="J100" s="493"/>
      <c r="K100" s="493"/>
      <c r="L100" s="493"/>
      <c r="M100" s="493"/>
    </row>
    <row r="101" spans="1:13" x14ac:dyDescent="0.25">
      <c r="A101" s="493"/>
      <c r="B101" s="493"/>
      <c r="C101" s="493"/>
      <c r="D101" s="493"/>
      <c r="E101" s="493"/>
      <c r="F101" s="493"/>
      <c r="G101" s="493"/>
      <c r="H101" s="493"/>
      <c r="I101" s="493"/>
      <c r="J101" s="493"/>
      <c r="K101" s="493"/>
      <c r="L101" s="493"/>
      <c r="M101" s="493"/>
    </row>
    <row r="102" spans="1:13" x14ac:dyDescent="0.25">
      <c r="A102" s="493"/>
      <c r="B102" s="493"/>
      <c r="C102" s="493"/>
      <c r="D102" s="493"/>
      <c r="E102" s="493"/>
      <c r="F102" s="493"/>
      <c r="G102" s="493"/>
      <c r="H102" s="493"/>
      <c r="I102" s="493"/>
      <c r="J102" s="493"/>
      <c r="K102" s="493"/>
      <c r="L102" s="493"/>
      <c r="M102" s="493"/>
    </row>
    <row r="103" spans="1:13" x14ac:dyDescent="0.25">
      <c r="A103" s="493"/>
      <c r="B103" s="493"/>
      <c r="C103" s="493"/>
      <c r="D103" s="493"/>
      <c r="E103" s="493"/>
      <c r="F103" s="493"/>
      <c r="G103" s="493"/>
      <c r="H103" s="493"/>
      <c r="I103" s="493"/>
      <c r="J103" s="493"/>
      <c r="K103" s="493"/>
      <c r="L103" s="493"/>
      <c r="M103" s="493"/>
    </row>
    <row r="104" spans="1:13" x14ac:dyDescent="0.25">
      <c r="A104" s="493"/>
      <c r="B104" s="493"/>
      <c r="C104" s="493"/>
      <c r="D104" s="493"/>
      <c r="E104" s="493"/>
      <c r="F104" s="493"/>
      <c r="G104" s="493"/>
      <c r="H104" s="493"/>
      <c r="I104" s="493"/>
      <c r="J104" s="493"/>
      <c r="K104" s="493"/>
      <c r="L104" s="493"/>
      <c r="M104" s="493"/>
    </row>
    <row r="105" spans="1:13" x14ac:dyDescent="0.25">
      <c r="A105" s="493"/>
      <c r="B105" s="493"/>
      <c r="C105" s="493"/>
      <c r="D105" s="493"/>
      <c r="E105" s="493"/>
      <c r="F105" s="493"/>
      <c r="G105" s="493"/>
      <c r="H105" s="493"/>
      <c r="I105" s="493"/>
      <c r="J105" s="493"/>
      <c r="K105" s="493"/>
      <c r="L105" s="493"/>
      <c r="M105" s="493"/>
    </row>
    <row r="106" spans="1:13" x14ac:dyDescent="0.25">
      <c r="A106" s="493"/>
      <c r="B106" s="493"/>
      <c r="C106" s="493"/>
      <c r="D106" s="493"/>
      <c r="E106" s="493"/>
      <c r="F106" s="493"/>
      <c r="G106" s="493"/>
      <c r="H106" s="493"/>
      <c r="I106" s="493"/>
      <c r="J106" s="493"/>
      <c r="K106" s="493"/>
      <c r="L106" s="493"/>
      <c r="M106" s="493"/>
    </row>
    <row r="107" spans="1:13" x14ac:dyDescent="0.25">
      <c r="A107" s="493"/>
      <c r="B107" s="493"/>
      <c r="C107" s="493"/>
      <c r="D107" s="493"/>
      <c r="E107" s="493"/>
      <c r="F107" s="493"/>
      <c r="G107" s="493"/>
      <c r="H107" s="493"/>
      <c r="I107" s="493"/>
      <c r="J107" s="493"/>
      <c r="K107" s="493"/>
      <c r="L107" s="493"/>
      <c r="M107" s="493"/>
    </row>
    <row r="108" spans="1:13" x14ac:dyDescent="0.25">
      <c r="A108" s="493"/>
      <c r="B108" s="493"/>
      <c r="C108" s="493"/>
      <c r="D108" s="493"/>
      <c r="E108" s="493"/>
      <c r="F108" s="493"/>
      <c r="G108" s="493"/>
      <c r="H108" s="493"/>
      <c r="I108" s="493"/>
      <c r="J108" s="493"/>
      <c r="K108" s="493"/>
      <c r="L108" s="493"/>
      <c r="M108" s="493"/>
    </row>
    <row r="109" spans="1:13" x14ac:dyDescent="0.25">
      <c r="A109" s="493"/>
      <c r="B109" s="493"/>
      <c r="C109" s="493"/>
      <c r="D109" s="493"/>
      <c r="E109" s="493"/>
      <c r="F109" s="493"/>
      <c r="G109" s="493"/>
      <c r="H109" s="493"/>
      <c r="I109" s="493"/>
      <c r="J109" s="493"/>
      <c r="K109" s="493"/>
      <c r="L109" s="493"/>
      <c r="M109" s="493"/>
    </row>
    <row r="110" spans="1:13" x14ac:dyDescent="0.25">
      <c r="A110" s="493"/>
      <c r="B110" s="493"/>
      <c r="C110" s="493"/>
      <c r="D110" s="493"/>
      <c r="E110" s="493"/>
      <c r="F110" s="493"/>
      <c r="G110" s="493"/>
      <c r="H110" s="493"/>
      <c r="I110" s="493"/>
      <c r="J110" s="493"/>
      <c r="K110" s="493"/>
      <c r="L110" s="493"/>
      <c r="M110" s="493"/>
    </row>
    <row r="111" spans="1:13" x14ac:dyDescent="0.25">
      <c r="A111" s="493"/>
      <c r="B111" s="493"/>
      <c r="C111" s="493"/>
      <c r="D111" s="493"/>
      <c r="E111" s="493"/>
      <c r="F111" s="493"/>
      <c r="G111" s="493"/>
      <c r="H111" s="493"/>
      <c r="I111" s="493"/>
      <c r="J111" s="493"/>
      <c r="K111" s="493"/>
      <c r="L111" s="493"/>
      <c r="M111" s="493"/>
    </row>
    <row r="112" spans="1:13" x14ac:dyDescent="0.25">
      <c r="A112" s="493"/>
      <c r="B112" s="493"/>
      <c r="C112" s="493"/>
      <c r="D112" s="493"/>
      <c r="E112" s="493"/>
      <c r="F112" s="493"/>
      <c r="G112" s="493"/>
      <c r="H112" s="493"/>
      <c r="I112" s="493"/>
      <c r="J112" s="493"/>
      <c r="K112" s="493"/>
      <c r="L112" s="493"/>
      <c r="M112" s="493"/>
    </row>
    <row r="113" spans="1:13" x14ac:dyDescent="0.25">
      <c r="A113" s="493"/>
      <c r="B113" s="493"/>
      <c r="C113" s="493"/>
      <c r="D113" s="493"/>
      <c r="E113" s="493"/>
      <c r="F113" s="493"/>
      <c r="G113" s="493"/>
      <c r="H113" s="493"/>
      <c r="I113" s="493"/>
      <c r="J113" s="493"/>
      <c r="K113" s="493"/>
      <c r="L113" s="493"/>
      <c r="M113" s="493"/>
    </row>
    <row r="114" spans="1:13" x14ac:dyDescent="0.25">
      <c r="A114" s="493"/>
      <c r="B114" s="493"/>
      <c r="C114" s="493"/>
      <c r="D114" s="493"/>
      <c r="E114" s="493"/>
      <c r="F114" s="493"/>
      <c r="G114" s="493"/>
      <c r="H114" s="493"/>
      <c r="I114" s="493"/>
      <c r="J114" s="493"/>
      <c r="K114" s="493"/>
      <c r="L114" s="493"/>
      <c r="M114" s="493"/>
    </row>
    <row r="115" spans="1:13" x14ac:dyDescent="0.25">
      <c r="A115" s="493"/>
      <c r="B115" s="493"/>
      <c r="C115" s="493"/>
      <c r="D115" s="493"/>
      <c r="E115" s="493"/>
      <c r="F115" s="493"/>
      <c r="G115" s="493"/>
      <c r="H115" s="493"/>
      <c r="I115" s="493"/>
      <c r="J115" s="493"/>
      <c r="K115" s="493"/>
      <c r="L115" s="493"/>
      <c r="M115" s="493"/>
    </row>
    <row r="116" spans="1:13" x14ac:dyDescent="0.25">
      <c r="A116" s="493"/>
      <c r="B116" s="493"/>
      <c r="C116" s="493"/>
      <c r="D116" s="493"/>
      <c r="E116" s="493"/>
      <c r="F116" s="493"/>
      <c r="G116" s="493"/>
      <c r="H116" s="493"/>
      <c r="I116" s="493"/>
      <c r="J116" s="493"/>
      <c r="K116" s="493"/>
      <c r="L116" s="493"/>
      <c r="M116" s="493"/>
    </row>
    <row r="117" spans="1:13" x14ac:dyDescent="0.25">
      <c r="A117" s="493"/>
      <c r="B117" s="493"/>
      <c r="C117" s="493"/>
      <c r="D117" s="493"/>
      <c r="E117" s="493"/>
      <c r="F117" s="493"/>
      <c r="G117" s="493"/>
      <c r="H117" s="493"/>
      <c r="I117" s="493"/>
      <c r="J117" s="493"/>
      <c r="K117" s="493"/>
      <c r="L117" s="493"/>
      <c r="M117" s="493"/>
    </row>
    <row r="118" spans="1:13" x14ac:dyDescent="0.25">
      <c r="A118" s="493"/>
      <c r="B118" s="493"/>
      <c r="C118" s="493"/>
      <c r="D118" s="493"/>
      <c r="E118" s="493"/>
      <c r="F118" s="493"/>
      <c r="G118" s="493"/>
      <c r="H118" s="493"/>
      <c r="I118" s="493"/>
      <c r="J118" s="493"/>
      <c r="K118" s="493"/>
      <c r="L118" s="493"/>
      <c r="M118" s="493"/>
    </row>
    <row r="119" spans="1:13" x14ac:dyDescent="0.25">
      <c r="A119" s="493"/>
      <c r="B119" s="493"/>
      <c r="C119" s="493"/>
      <c r="D119" s="493"/>
      <c r="E119" s="493"/>
      <c r="F119" s="493"/>
      <c r="G119" s="493"/>
      <c r="H119" s="493"/>
      <c r="I119" s="493"/>
      <c r="J119" s="493"/>
      <c r="K119" s="493"/>
      <c r="L119" s="493"/>
      <c r="M119" s="493"/>
    </row>
    <row r="120" spans="1:13" x14ac:dyDescent="0.25">
      <c r="A120" s="493"/>
      <c r="B120" s="493"/>
      <c r="C120" s="493"/>
      <c r="D120" s="493"/>
      <c r="E120" s="493"/>
      <c r="F120" s="493"/>
      <c r="G120" s="493"/>
      <c r="H120" s="493"/>
      <c r="I120" s="493"/>
      <c r="J120" s="493"/>
      <c r="K120" s="493"/>
      <c r="L120" s="493"/>
      <c r="M120" s="493"/>
    </row>
    <row r="121" spans="1:13" x14ac:dyDescent="0.25">
      <c r="A121" s="493"/>
      <c r="B121" s="493"/>
      <c r="C121" s="493"/>
      <c r="D121" s="493"/>
      <c r="E121" s="493"/>
      <c r="F121" s="493"/>
      <c r="G121" s="493"/>
      <c r="H121" s="493"/>
      <c r="I121" s="493"/>
      <c r="J121" s="493"/>
      <c r="K121" s="493"/>
      <c r="L121" s="493"/>
      <c r="M121" s="493"/>
    </row>
    <row r="122" spans="1:13" x14ac:dyDescent="0.25">
      <c r="A122" s="493"/>
      <c r="B122" s="493"/>
      <c r="C122" s="493"/>
      <c r="D122" s="493"/>
      <c r="E122" s="493"/>
      <c r="F122" s="493"/>
      <c r="G122" s="493"/>
      <c r="H122" s="493"/>
      <c r="I122" s="493"/>
      <c r="J122" s="493"/>
      <c r="K122" s="493"/>
      <c r="L122" s="493"/>
      <c r="M122" s="493"/>
    </row>
    <row r="123" spans="1:13" x14ac:dyDescent="0.25">
      <c r="A123" s="493"/>
      <c r="B123" s="493"/>
      <c r="C123" s="493"/>
      <c r="D123" s="493"/>
      <c r="E123" s="493"/>
      <c r="F123" s="493"/>
      <c r="G123" s="493"/>
      <c r="H123" s="493"/>
      <c r="I123" s="493"/>
      <c r="J123" s="493"/>
      <c r="K123" s="493"/>
      <c r="L123" s="493"/>
      <c r="M123" s="493"/>
    </row>
    <row r="124" spans="1:13" x14ac:dyDescent="0.25">
      <c r="A124" s="493"/>
      <c r="B124" s="493"/>
      <c r="C124" s="493"/>
      <c r="D124" s="493"/>
      <c r="E124" s="493"/>
      <c r="F124" s="493"/>
      <c r="G124" s="493"/>
      <c r="H124" s="493"/>
      <c r="I124" s="493"/>
      <c r="J124" s="493"/>
      <c r="K124" s="493"/>
      <c r="L124" s="493"/>
      <c r="M124" s="493"/>
    </row>
    <row r="125" spans="1:13" x14ac:dyDescent="0.25">
      <c r="A125" s="493"/>
      <c r="B125" s="493"/>
      <c r="C125" s="493"/>
      <c r="D125" s="493"/>
      <c r="E125" s="493"/>
      <c r="F125" s="493"/>
      <c r="G125" s="493"/>
      <c r="H125" s="493"/>
      <c r="I125" s="493"/>
      <c r="J125" s="493"/>
      <c r="K125" s="493"/>
      <c r="L125" s="493"/>
      <c r="M125" s="493"/>
    </row>
    <row r="126" spans="1:13" x14ac:dyDescent="0.25">
      <c r="A126" s="493"/>
      <c r="B126" s="493"/>
      <c r="C126" s="493"/>
      <c r="D126" s="493"/>
      <c r="E126" s="493"/>
      <c r="F126" s="493"/>
      <c r="G126" s="493"/>
      <c r="H126" s="493"/>
      <c r="I126" s="493"/>
      <c r="J126" s="493"/>
      <c r="K126" s="493"/>
      <c r="L126" s="493"/>
      <c r="M126" s="493"/>
    </row>
    <row r="127" spans="1:13" x14ac:dyDescent="0.25">
      <c r="A127" s="493"/>
      <c r="B127" s="493"/>
      <c r="C127" s="493"/>
      <c r="D127" s="493"/>
      <c r="E127" s="493"/>
      <c r="F127" s="493"/>
      <c r="G127" s="493"/>
      <c r="H127" s="493"/>
      <c r="I127" s="493"/>
      <c r="J127" s="493"/>
      <c r="K127" s="493"/>
      <c r="L127" s="493"/>
      <c r="M127" s="493"/>
    </row>
    <row r="128" spans="1:13" x14ac:dyDescent="0.25">
      <c r="A128" s="493"/>
      <c r="B128" s="493"/>
      <c r="C128" s="493"/>
      <c r="D128" s="493"/>
      <c r="E128" s="493"/>
      <c r="F128" s="493"/>
      <c r="G128" s="493"/>
      <c r="H128" s="493"/>
      <c r="I128" s="493"/>
      <c r="J128" s="493"/>
      <c r="K128" s="493"/>
      <c r="L128" s="493"/>
      <c r="M128" s="493"/>
    </row>
    <row r="129" spans="1:13" x14ac:dyDescent="0.25">
      <c r="A129" s="493"/>
      <c r="B129" s="493"/>
      <c r="C129" s="493"/>
      <c r="D129" s="493"/>
      <c r="E129" s="493"/>
      <c r="F129" s="493"/>
      <c r="G129" s="493"/>
      <c r="H129" s="493"/>
      <c r="I129" s="493"/>
      <c r="J129" s="493"/>
      <c r="K129" s="493"/>
      <c r="L129" s="493"/>
      <c r="M129" s="493"/>
    </row>
    <row r="130" spans="1:13" x14ac:dyDescent="0.25">
      <c r="A130" s="493"/>
      <c r="B130" s="493"/>
      <c r="C130" s="493"/>
      <c r="D130" s="493"/>
      <c r="E130" s="493"/>
      <c r="F130" s="493"/>
      <c r="G130" s="493"/>
      <c r="H130" s="493"/>
      <c r="I130" s="493"/>
      <c r="J130" s="493"/>
      <c r="K130" s="493"/>
      <c r="L130" s="493"/>
      <c r="M130" s="493"/>
    </row>
    <row r="131" spans="1:13" x14ac:dyDescent="0.25">
      <c r="A131" s="493"/>
      <c r="B131" s="493"/>
      <c r="C131" s="493"/>
      <c r="D131" s="493"/>
      <c r="E131" s="493"/>
      <c r="F131" s="493"/>
      <c r="G131" s="493"/>
      <c r="H131" s="493"/>
      <c r="I131" s="493"/>
      <c r="J131" s="493"/>
      <c r="K131" s="493"/>
      <c r="L131" s="493"/>
      <c r="M131" s="493"/>
    </row>
    <row r="132" spans="1:13" x14ac:dyDescent="0.25">
      <c r="A132" s="493"/>
      <c r="B132" s="493"/>
      <c r="C132" s="493"/>
      <c r="D132" s="493"/>
      <c r="E132" s="493"/>
      <c r="F132" s="493"/>
      <c r="G132" s="493"/>
      <c r="H132" s="493"/>
      <c r="I132" s="493"/>
      <c r="J132" s="493"/>
      <c r="K132" s="493"/>
      <c r="L132" s="493"/>
      <c r="M132" s="493"/>
    </row>
    <row r="133" spans="1:13" x14ac:dyDescent="0.25">
      <c r="A133" s="493"/>
      <c r="B133" s="493"/>
      <c r="C133" s="493"/>
      <c r="D133" s="493"/>
      <c r="E133" s="493"/>
      <c r="F133" s="493"/>
      <c r="G133" s="493"/>
      <c r="H133" s="493"/>
      <c r="I133" s="493"/>
      <c r="J133" s="493"/>
      <c r="K133" s="493"/>
      <c r="L133" s="493"/>
      <c r="M133" s="493"/>
    </row>
    <row r="134" spans="1:13" x14ac:dyDescent="0.25">
      <c r="A134" s="493"/>
      <c r="B134" s="493"/>
      <c r="C134" s="493"/>
      <c r="D134" s="493"/>
      <c r="E134" s="493"/>
      <c r="F134" s="493"/>
      <c r="G134" s="493"/>
      <c r="H134" s="493"/>
      <c r="I134" s="493"/>
      <c r="J134" s="493"/>
      <c r="K134" s="493"/>
      <c r="L134" s="493"/>
      <c r="M134" s="493"/>
    </row>
    <row r="135" spans="1:13" x14ac:dyDescent="0.25">
      <c r="A135" s="493"/>
      <c r="B135" s="493"/>
      <c r="C135" s="493"/>
      <c r="D135" s="493"/>
      <c r="E135" s="493"/>
      <c r="F135" s="493"/>
      <c r="G135" s="493"/>
      <c r="H135" s="493"/>
      <c r="I135" s="493"/>
      <c r="J135" s="493"/>
      <c r="K135" s="493"/>
      <c r="L135" s="493"/>
      <c r="M135" s="493"/>
    </row>
    <row r="136" spans="1:13" x14ac:dyDescent="0.25">
      <c r="A136" s="493"/>
      <c r="B136" s="493"/>
      <c r="C136" s="493"/>
      <c r="D136" s="493"/>
      <c r="E136" s="493"/>
      <c r="F136" s="493"/>
      <c r="G136" s="493"/>
      <c r="H136" s="493"/>
      <c r="I136" s="493"/>
      <c r="J136" s="493"/>
      <c r="K136" s="493"/>
      <c r="L136" s="493"/>
      <c r="M136" s="493"/>
    </row>
    <row r="137" spans="1:13" x14ac:dyDescent="0.25">
      <c r="A137" s="493"/>
      <c r="B137" s="493"/>
      <c r="C137" s="493"/>
      <c r="D137" s="493"/>
      <c r="E137" s="493"/>
      <c r="F137" s="493"/>
      <c r="G137" s="493"/>
      <c r="H137" s="493"/>
      <c r="I137" s="493"/>
      <c r="J137" s="493"/>
      <c r="K137" s="493"/>
      <c r="L137" s="493"/>
      <c r="M137" s="493"/>
    </row>
    <row r="138" spans="1:13" x14ac:dyDescent="0.25">
      <c r="A138" s="493"/>
      <c r="B138" s="493"/>
      <c r="C138" s="493"/>
      <c r="D138" s="493"/>
      <c r="E138" s="493"/>
      <c r="F138" s="493"/>
      <c r="G138" s="493"/>
      <c r="H138" s="493"/>
      <c r="I138" s="493"/>
      <c r="J138" s="493"/>
      <c r="K138" s="493"/>
      <c r="L138" s="493"/>
      <c r="M138" s="493"/>
    </row>
    <row r="139" spans="1:13" x14ac:dyDescent="0.25">
      <c r="A139" s="493"/>
      <c r="B139" s="493"/>
      <c r="C139" s="493"/>
      <c r="D139" s="493"/>
      <c r="E139" s="493"/>
      <c r="F139" s="493"/>
      <c r="G139" s="493"/>
      <c r="H139" s="493"/>
      <c r="I139" s="493"/>
      <c r="J139" s="493"/>
      <c r="K139" s="493"/>
      <c r="L139" s="493"/>
      <c r="M139" s="493"/>
    </row>
    <row r="140" spans="1:13" x14ac:dyDescent="0.25">
      <c r="A140" s="493"/>
      <c r="B140" s="493"/>
      <c r="C140" s="493"/>
      <c r="D140" s="493"/>
      <c r="E140" s="493"/>
      <c r="F140" s="493"/>
      <c r="G140" s="493"/>
      <c r="H140" s="493"/>
      <c r="I140" s="493"/>
      <c r="J140" s="493"/>
      <c r="K140" s="493"/>
      <c r="L140" s="493"/>
      <c r="M140" s="493"/>
    </row>
    <row r="141" spans="1:13" x14ac:dyDescent="0.25">
      <c r="A141" s="493"/>
      <c r="B141" s="493"/>
      <c r="C141" s="493"/>
      <c r="D141" s="493"/>
      <c r="E141" s="493"/>
      <c r="F141" s="493"/>
      <c r="G141" s="493"/>
      <c r="H141" s="493"/>
      <c r="I141" s="493"/>
      <c r="J141" s="493"/>
      <c r="K141" s="493"/>
      <c r="L141" s="493"/>
      <c r="M141" s="493"/>
    </row>
    <row r="142" spans="1:13" x14ac:dyDescent="0.25">
      <c r="A142" s="493"/>
      <c r="B142" s="493"/>
      <c r="C142" s="493"/>
      <c r="D142" s="493"/>
      <c r="E142" s="493"/>
      <c r="F142" s="493"/>
      <c r="G142" s="493"/>
      <c r="H142" s="493"/>
      <c r="I142" s="493"/>
      <c r="J142" s="493"/>
      <c r="K142" s="493"/>
      <c r="L142" s="493"/>
      <c r="M142" s="493"/>
    </row>
    <row r="143" spans="1:13" x14ac:dyDescent="0.25">
      <c r="A143" s="493"/>
      <c r="B143" s="493"/>
      <c r="C143" s="493"/>
      <c r="D143" s="493"/>
      <c r="E143" s="493"/>
      <c r="F143" s="493"/>
      <c r="G143" s="493"/>
      <c r="H143" s="493"/>
      <c r="I143" s="493"/>
      <c r="J143" s="493"/>
      <c r="K143" s="493"/>
      <c r="L143" s="493"/>
      <c r="M143" s="493"/>
    </row>
    <row r="144" spans="1:13" x14ac:dyDescent="0.25">
      <c r="A144" s="493"/>
      <c r="B144" s="493"/>
      <c r="C144" s="493"/>
      <c r="D144" s="493"/>
      <c r="E144" s="493"/>
      <c r="F144" s="493"/>
      <c r="G144" s="493"/>
      <c r="H144" s="493"/>
      <c r="I144" s="493"/>
      <c r="J144" s="493"/>
      <c r="K144" s="493"/>
      <c r="L144" s="493"/>
      <c r="M144" s="493"/>
    </row>
    <row r="145" spans="1:13" x14ac:dyDescent="0.25">
      <c r="A145" s="493"/>
      <c r="B145" s="493"/>
      <c r="C145" s="493"/>
      <c r="D145" s="493"/>
      <c r="E145" s="493"/>
      <c r="F145" s="493"/>
      <c r="G145" s="493"/>
      <c r="H145" s="493"/>
      <c r="I145" s="493"/>
      <c r="J145" s="493"/>
      <c r="K145" s="493"/>
      <c r="L145" s="493"/>
      <c r="M145" s="493"/>
    </row>
    <row r="146" spans="1:13" x14ac:dyDescent="0.25">
      <c r="A146" s="493"/>
      <c r="B146" s="493"/>
      <c r="C146" s="493"/>
      <c r="D146" s="493"/>
      <c r="E146" s="493"/>
      <c r="F146" s="493"/>
      <c r="G146" s="493"/>
      <c r="H146" s="493"/>
      <c r="I146" s="493"/>
      <c r="J146" s="493"/>
      <c r="K146" s="493"/>
      <c r="L146" s="493"/>
      <c r="M146" s="493"/>
    </row>
    <row r="147" spans="1:13" x14ac:dyDescent="0.25">
      <c r="A147" s="493"/>
      <c r="B147" s="493"/>
      <c r="C147" s="493"/>
      <c r="D147" s="493"/>
      <c r="E147" s="493"/>
      <c r="F147" s="493"/>
      <c r="G147" s="493"/>
      <c r="H147" s="493"/>
      <c r="I147" s="493"/>
      <c r="J147" s="493"/>
      <c r="K147" s="493"/>
      <c r="L147" s="493"/>
      <c r="M147" s="493"/>
    </row>
    <row r="148" spans="1:13" x14ac:dyDescent="0.25">
      <c r="A148" s="493"/>
      <c r="B148" s="493"/>
      <c r="C148" s="493"/>
      <c r="D148" s="493"/>
      <c r="E148" s="493"/>
      <c r="F148" s="493"/>
      <c r="G148" s="493"/>
      <c r="H148" s="493"/>
      <c r="I148" s="493"/>
      <c r="J148" s="493"/>
      <c r="K148" s="493"/>
      <c r="L148" s="493"/>
      <c r="M148" s="493"/>
    </row>
    <row r="149" spans="1:13" x14ac:dyDescent="0.25">
      <c r="A149" s="493"/>
      <c r="B149" s="493"/>
      <c r="C149" s="493"/>
      <c r="D149" s="493"/>
      <c r="E149" s="493"/>
      <c r="F149" s="493"/>
      <c r="G149" s="493"/>
      <c r="H149" s="493"/>
      <c r="I149" s="493"/>
      <c r="J149" s="493"/>
      <c r="K149" s="493"/>
      <c r="L149" s="493"/>
      <c r="M149" s="493"/>
    </row>
    <row r="150" spans="1:13" x14ac:dyDescent="0.25">
      <c r="A150" s="493"/>
      <c r="B150" s="493"/>
      <c r="C150" s="493"/>
      <c r="D150" s="493"/>
      <c r="E150" s="493"/>
      <c r="F150" s="493"/>
      <c r="G150" s="493"/>
      <c r="H150" s="493"/>
      <c r="I150" s="493"/>
      <c r="J150" s="493"/>
      <c r="K150" s="493"/>
      <c r="L150" s="493"/>
      <c r="M150" s="493"/>
    </row>
    <row r="151" spans="1:13" x14ac:dyDescent="0.25">
      <c r="A151" s="493"/>
      <c r="B151" s="493"/>
      <c r="C151" s="493"/>
      <c r="D151" s="493"/>
      <c r="E151" s="493"/>
      <c r="F151" s="493"/>
      <c r="G151" s="493"/>
      <c r="H151" s="493"/>
      <c r="I151" s="493"/>
      <c r="J151" s="493"/>
      <c r="K151" s="493"/>
      <c r="L151" s="493"/>
      <c r="M151" s="493"/>
    </row>
    <row r="152" spans="1:13" x14ac:dyDescent="0.25">
      <c r="A152" s="493"/>
      <c r="B152" s="493"/>
      <c r="C152" s="493"/>
      <c r="D152" s="493"/>
      <c r="E152" s="493"/>
      <c r="F152" s="493"/>
      <c r="G152" s="493"/>
      <c r="H152" s="493"/>
      <c r="I152" s="493"/>
      <c r="J152" s="493"/>
      <c r="K152" s="493"/>
      <c r="L152" s="493"/>
      <c r="M152" s="493"/>
    </row>
    <row r="153" spans="1:13" x14ac:dyDescent="0.25">
      <c r="A153" s="493"/>
      <c r="B153" s="493"/>
      <c r="C153" s="493"/>
      <c r="D153" s="493"/>
      <c r="E153" s="493"/>
      <c r="F153" s="493"/>
      <c r="G153" s="493"/>
      <c r="H153" s="493"/>
      <c r="I153" s="493"/>
      <c r="J153" s="493"/>
      <c r="K153" s="493"/>
      <c r="L153" s="493"/>
      <c r="M153" s="493"/>
    </row>
    <row r="154" spans="1:13" x14ac:dyDescent="0.25">
      <c r="A154" s="493"/>
      <c r="B154" s="493"/>
      <c r="C154" s="493"/>
      <c r="D154" s="493"/>
      <c r="E154" s="493"/>
      <c r="F154" s="493"/>
      <c r="G154" s="493"/>
      <c r="H154" s="493"/>
      <c r="I154" s="493"/>
      <c r="J154" s="493"/>
      <c r="K154" s="493"/>
      <c r="L154" s="493"/>
      <c r="M154" s="493"/>
    </row>
    <row r="155" spans="1:13" x14ac:dyDescent="0.25">
      <c r="A155" s="493"/>
      <c r="B155" s="493"/>
      <c r="C155" s="493"/>
      <c r="D155" s="493"/>
      <c r="E155" s="493"/>
      <c r="F155" s="493"/>
      <c r="G155" s="493"/>
      <c r="H155" s="493"/>
      <c r="I155" s="493"/>
      <c r="J155" s="493"/>
      <c r="K155" s="493"/>
      <c r="L155" s="493"/>
      <c r="M155" s="493"/>
    </row>
    <row r="156" spans="1:13" x14ac:dyDescent="0.25">
      <c r="A156" s="493"/>
      <c r="B156" s="493"/>
      <c r="C156" s="493"/>
      <c r="D156" s="493"/>
      <c r="E156" s="493"/>
      <c r="F156" s="493"/>
      <c r="G156" s="493"/>
      <c r="H156" s="493"/>
      <c r="I156" s="493"/>
      <c r="J156" s="493"/>
      <c r="K156" s="493"/>
      <c r="L156" s="493"/>
      <c r="M156" s="493"/>
    </row>
    <row r="157" spans="1:13" x14ac:dyDescent="0.25">
      <c r="A157" s="493"/>
      <c r="B157" s="493"/>
      <c r="C157" s="493"/>
      <c r="D157" s="493"/>
      <c r="E157" s="493"/>
      <c r="F157" s="493"/>
      <c r="G157" s="493"/>
      <c r="H157" s="493"/>
      <c r="I157" s="493"/>
      <c r="J157" s="493"/>
      <c r="K157" s="493"/>
      <c r="L157" s="493"/>
      <c r="M157" s="493"/>
    </row>
    <row r="158" spans="1:13" x14ac:dyDescent="0.25">
      <c r="A158" s="493"/>
      <c r="B158" s="493"/>
      <c r="C158" s="493"/>
      <c r="D158" s="493"/>
      <c r="E158" s="493"/>
      <c r="F158" s="493"/>
      <c r="G158" s="493"/>
      <c r="H158" s="493"/>
      <c r="I158" s="493"/>
      <c r="J158" s="493"/>
      <c r="K158" s="493"/>
      <c r="L158" s="493"/>
      <c r="M158" s="493"/>
    </row>
    <row r="159" spans="1:13" x14ac:dyDescent="0.25">
      <c r="A159" s="493"/>
      <c r="B159" s="493"/>
      <c r="C159" s="493"/>
      <c r="D159" s="493"/>
      <c r="E159" s="493"/>
      <c r="F159" s="493"/>
      <c r="G159" s="493"/>
      <c r="H159" s="493"/>
      <c r="I159" s="493"/>
      <c r="J159" s="493"/>
      <c r="K159" s="493"/>
      <c r="L159" s="493"/>
      <c r="M159" s="493"/>
    </row>
    <row r="160" spans="1:13" x14ac:dyDescent="0.25">
      <c r="A160" s="493"/>
      <c r="B160" s="493"/>
      <c r="C160" s="493"/>
      <c r="D160" s="493"/>
      <c r="E160" s="493"/>
      <c r="F160" s="493"/>
      <c r="G160" s="493"/>
      <c r="H160" s="493"/>
      <c r="I160" s="493"/>
      <c r="J160" s="493"/>
      <c r="K160" s="493"/>
      <c r="L160" s="493"/>
      <c r="M160" s="493"/>
    </row>
    <row r="161" spans="1:13" x14ac:dyDescent="0.25">
      <c r="A161" s="493"/>
      <c r="B161" s="493"/>
      <c r="C161" s="493"/>
      <c r="D161" s="493"/>
      <c r="E161" s="493"/>
      <c r="F161" s="493"/>
      <c r="G161" s="493"/>
      <c r="H161" s="493"/>
      <c r="I161" s="493"/>
      <c r="J161" s="493"/>
      <c r="K161" s="493"/>
      <c r="L161" s="493"/>
      <c r="M161" s="493"/>
    </row>
    <row r="162" spans="1:13" x14ac:dyDescent="0.25">
      <c r="A162" s="493"/>
      <c r="B162" s="493"/>
      <c r="C162" s="493"/>
      <c r="D162" s="493"/>
      <c r="E162" s="493"/>
      <c r="F162" s="493"/>
      <c r="G162" s="493"/>
      <c r="H162" s="493"/>
      <c r="I162" s="493"/>
      <c r="J162" s="493"/>
      <c r="K162" s="493"/>
      <c r="L162" s="493"/>
      <c r="M162" s="493"/>
    </row>
    <row r="163" spans="1:13" x14ac:dyDescent="0.25">
      <c r="A163" s="493"/>
      <c r="B163" s="493"/>
      <c r="C163" s="493"/>
      <c r="D163" s="493"/>
      <c r="E163" s="493"/>
      <c r="F163" s="493"/>
      <c r="G163" s="493"/>
      <c r="H163" s="493"/>
      <c r="I163" s="493"/>
      <c r="J163" s="493"/>
      <c r="K163" s="493"/>
      <c r="L163" s="493"/>
      <c r="M163" s="493"/>
    </row>
    <row r="164" spans="1:13" x14ac:dyDescent="0.25">
      <c r="A164" s="493"/>
      <c r="B164" s="493"/>
      <c r="C164" s="493"/>
      <c r="D164" s="493"/>
      <c r="E164" s="493"/>
      <c r="F164" s="493"/>
      <c r="G164" s="493"/>
      <c r="H164" s="493"/>
      <c r="I164" s="493"/>
      <c r="J164" s="493"/>
      <c r="K164" s="493"/>
      <c r="L164" s="493"/>
      <c r="M164" s="493"/>
    </row>
    <row r="165" spans="1:13" x14ac:dyDescent="0.25">
      <c r="A165" s="493"/>
      <c r="B165" s="493"/>
      <c r="C165" s="493"/>
      <c r="D165" s="493"/>
      <c r="E165" s="493"/>
      <c r="F165" s="493"/>
      <c r="G165" s="493"/>
      <c r="H165" s="493"/>
      <c r="I165" s="493"/>
      <c r="J165" s="493"/>
      <c r="K165" s="493"/>
      <c r="L165" s="493"/>
      <c r="M165" s="493"/>
    </row>
    <row r="166" spans="1:13" x14ac:dyDescent="0.25">
      <c r="A166" s="493"/>
      <c r="B166" s="493"/>
      <c r="C166" s="493"/>
      <c r="D166" s="493"/>
      <c r="E166" s="493"/>
      <c r="F166" s="493"/>
      <c r="G166" s="493"/>
      <c r="H166" s="493"/>
      <c r="I166" s="493"/>
      <c r="J166" s="493"/>
      <c r="K166" s="493"/>
      <c r="L166" s="493"/>
      <c r="M166" s="493"/>
    </row>
    <row r="167" spans="1:13" x14ac:dyDescent="0.25">
      <c r="A167" s="493"/>
      <c r="B167" s="493"/>
      <c r="C167" s="493"/>
      <c r="D167" s="493"/>
      <c r="E167" s="493"/>
      <c r="F167" s="493"/>
      <c r="G167" s="493"/>
      <c r="H167" s="493"/>
      <c r="I167" s="493"/>
      <c r="J167" s="493"/>
      <c r="K167" s="493"/>
      <c r="L167" s="493"/>
      <c r="M167" s="493"/>
    </row>
    <row r="168" spans="1:13" x14ac:dyDescent="0.25">
      <c r="A168" s="493"/>
      <c r="B168" s="493"/>
      <c r="C168" s="493"/>
      <c r="D168" s="493"/>
      <c r="E168" s="493"/>
      <c r="F168" s="493"/>
      <c r="G168" s="493"/>
      <c r="H168" s="493"/>
      <c r="I168" s="493"/>
      <c r="J168" s="493"/>
      <c r="K168" s="493"/>
      <c r="L168" s="493"/>
      <c r="M168" s="493"/>
    </row>
    <row r="169" spans="1:13" x14ac:dyDescent="0.25">
      <c r="A169" s="493"/>
      <c r="B169" s="493"/>
      <c r="C169" s="493"/>
      <c r="D169" s="493"/>
      <c r="E169" s="493"/>
      <c r="F169" s="493"/>
      <c r="G169" s="493"/>
      <c r="H169" s="493"/>
      <c r="I169" s="493"/>
      <c r="J169" s="493"/>
      <c r="K169" s="493"/>
      <c r="L169" s="493"/>
      <c r="M169" s="493"/>
    </row>
    <row r="170" spans="1:13" x14ac:dyDescent="0.25">
      <c r="A170" s="493"/>
      <c r="B170" s="493"/>
      <c r="C170" s="493"/>
      <c r="D170" s="493"/>
      <c r="E170" s="493"/>
      <c r="F170" s="493"/>
      <c r="G170" s="493"/>
      <c r="H170" s="493"/>
      <c r="I170" s="493"/>
      <c r="J170" s="493"/>
      <c r="K170" s="493"/>
      <c r="L170" s="493"/>
      <c r="M170" s="493"/>
    </row>
    <row r="171" spans="1:13" x14ac:dyDescent="0.25">
      <c r="A171" s="493"/>
      <c r="B171" s="493"/>
      <c r="C171" s="493"/>
      <c r="D171" s="493"/>
      <c r="E171" s="493"/>
      <c r="F171" s="493"/>
      <c r="G171" s="493"/>
      <c r="H171" s="493"/>
      <c r="I171" s="493"/>
      <c r="J171" s="493"/>
      <c r="K171" s="493"/>
      <c r="L171" s="493"/>
      <c r="M171" s="493"/>
    </row>
    <row r="172" spans="1:13" x14ac:dyDescent="0.25">
      <c r="A172" s="493"/>
      <c r="B172" s="493"/>
      <c r="C172" s="493"/>
      <c r="D172" s="493"/>
      <c r="E172" s="493"/>
      <c r="F172" s="493"/>
      <c r="G172" s="493"/>
      <c r="H172" s="493"/>
      <c r="I172" s="493"/>
      <c r="J172" s="493"/>
      <c r="K172" s="493"/>
      <c r="L172" s="493"/>
      <c r="M172" s="493"/>
    </row>
    <row r="173" spans="1:13" x14ac:dyDescent="0.25">
      <c r="A173" s="493"/>
      <c r="B173" s="493"/>
      <c r="C173" s="493"/>
      <c r="D173" s="493"/>
      <c r="E173" s="493"/>
      <c r="F173" s="493"/>
      <c r="G173" s="493"/>
      <c r="H173" s="493"/>
      <c r="I173" s="493"/>
      <c r="J173" s="493"/>
      <c r="K173" s="493"/>
      <c r="L173" s="493"/>
      <c r="M173" s="493"/>
    </row>
    <row r="174" spans="1:13" x14ac:dyDescent="0.25">
      <c r="A174" s="493"/>
      <c r="B174" s="493"/>
      <c r="C174" s="493"/>
      <c r="D174" s="493"/>
      <c r="E174" s="493"/>
      <c r="F174" s="493"/>
      <c r="G174" s="493"/>
      <c r="H174" s="493"/>
      <c r="I174" s="493"/>
      <c r="J174" s="493"/>
      <c r="K174" s="493"/>
      <c r="L174" s="493"/>
      <c r="M174" s="493"/>
    </row>
    <row r="175" spans="1:13" x14ac:dyDescent="0.25">
      <c r="A175" s="493"/>
      <c r="B175" s="493"/>
      <c r="C175" s="493"/>
      <c r="D175" s="493"/>
      <c r="E175" s="493"/>
      <c r="F175" s="493"/>
      <c r="G175" s="493"/>
      <c r="H175" s="493"/>
      <c r="I175" s="493"/>
      <c r="J175" s="493"/>
      <c r="K175" s="493"/>
      <c r="L175" s="493"/>
      <c r="M175" s="493"/>
    </row>
    <row r="176" spans="1:13" x14ac:dyDescent="0.25">
      <c r="A176" s="493"/>
      <c r="B176" s="493"/>
      <c r="C176" s="493"/>
      <c r="D176" s="493"/>
      <c r="E176" s="493"/>
      <c r="F176" s="493"/>
      <c r="G176" s="493"/>
      <c r="H176" s="493"/>
      <c r="I176" s="493"/>
      <c r="J176" s="493"/>
      <c r="K176" s="493"/>
      <c r="L176" s="493"/>
      <c r="M176" s="493"/>
    </row>
    <row r="177" spans="1:13" x14ac:dyDescent="0.25">
      <c r="A177" s="493"/>
      <c r="B177" s="493"/>
      <c r="C177" s="493"/>
      <c r="D177" s="493"/>
      <c r="E177" s="493"/>
      <c r="F177" s="493"/>
      <c r="G177" s="493"/>
      <c r="H177" s="493"/>
      <c r="I177" s="493"/>
      <c r="J177" s="493"/>
      <c r="K177" s="493"/>
      <c r="L177" s="493"/>
      <c r="M177" s="493"/>
    </row>
    <row r="178" spans="1:13" x14ac:dyDescent="0.25">
      <c r="A178" s="493"/>
      <c r="B178" s="493"/>
      <c r="C178" s="493"/>
      <c r="D178" s="493"/>
      <c r="E178" s="493"/>
      <c r="F178" s="493"/>
      <c r="G178" s="493"/>
      <c r="H178" s="493"/>
      <c r="I178" s="493"/>
      <c r="J178" s="493"/>
      <c r="K178" s="493"/>
      <c r="L178" s="493"/>
      <c r="M178" s="493"/>
    </row>
    <row r="179" spans="1:13" x14ac:dyDescent="0.25">
      <c r="A179" s="493"/>
      <c r="B179" s="493"/>
      <c r="C179" s="493"/>
      <c r="D179" s="493"/>
      <c r="E179" s="493"/>
      <c r="F179" s="493"/>
      <c r="G179" s="493"/>
      <c r="H179" s="493"/>
      <c r="I179" s="493"/>
      <c r="J179" s="493"/>
      <c r="K179" s="493"/>
      <c r="L179" s="493"/>
      <c r="M179" s="493"/>
    </row>
    <row r="180" spans="1:13" x14ac:dyDescent="0.25">
      <c r="A180" s="493"/>
      <c r="B180" s="493"/>
      <c r="C180" s="493"/>
      <c r="D180" s="493"/>
      <c r="E180" s="493"/>
      <c r="F180" s="493"/>
      <c r="G180" s="493"/>
      <c r="H180" s="493"/>
      <c r="I180" s="493"/>
      <c r="J180" s="493"/>
      <c r="K180" s="493"/>
      <c r="L180" s="493"/>
      <c r="M180" s="493"/>
    </row>
    <row r="181" spans="1:13" x14ac:dyDescent="0.25">
      <c r="A181" s="493"/>
      <c r="B181" s="493"/>
      <c r="C181" s="493"/>
      <c r="D181" s="493"/>
      <c r="E181" s="493"/>
      <c r="F181" s="493"/>
      <c r="G181" s="493"/>
      <c r="H181" s="493"/>
      <c r="I181" s="493"/>
      <c r="J181" s="493"/>
      <c r="K181" s="493"/>
      <c r="L181" s="493"/>
      <c r="M181" s="493"/>
    </row>
    <row r="182" spans="1:13" x14ac:dyDescent="0.25">
      <c r="A182" s="493"/>
      <c r="B182" s="493"/>
      <c r="C182" s="493"/>
      <c r="D182" s="493"/>
      <c r="E182" s="493"/>
      <c r="F182" s="493"/>
      <c r="G182" s="493"/>
      <c r="H182" s="493"/>
      <c r="I182" s="493"/>
      <c r="J182" s="493"/>
      <c r="K182" s="493"/>
      <c r="L182" s="493"/>
      <c r="M182" s="493"/>
    </row>
    <row r="183" spans="1:13" x14ac:dyDescent="0.25">
      <c r="A183" s="493"/>
      <c r="B183" s="493"/>
      <c r="C183" s="493"/>
      <c r="D183" s="493"/>
      <c r="E183" s="493"/>
      <c r="F183" s="493"/>
      <c r="G183" s="493"/>
      <c r="H183" s="493"/>
      <c r="I183" s="493"/>
      <c r="J183" s="493"/>
      <c r="K183" s="493"/>
      <c r="L183" s="493"/>
      <c r="M183" s="493"/>
    </row>
    <row r="184" spans="1:13" x14ac:dyDescent="0.25">
      <c r="A184" s="493"/>
      <c r="B184" s="493"/>
      <c r="C184" s="493"/>
      <c r="D184" s="493"/>
      <c r="E184" s="493"/>
      <c r="F184" s="493"/>
      <c r="G184" s="493"/>
      <c r="H184" s="493"/>
      <c r="I184" s="493"/>
      <c r="J184" s="493"/>
      <c r="K184" s="493"/>
      <c r="L184" s="493"/>
      <c r="M184" s="493"/>
    </row>
    <row r="185" spans="1:13" x14ac:dyDescent="0.25">
      <c r="A185" s="493"/>
      <c r="B185" s="493"/>
      <c r="C185" s="493"/>
      <c r="D185" s="493"/>
      <c r="E185" s="493"/>
      <c r="F185" s="493"/>
      <c r="G185" s="493"/>
      <c r="H185" s="493"/>
      <c r="I185" s="493"/>
      <c r="J185" s="493"/>
      <c r="K185" s="493"/>
      <c r="L185" s="493"/>
      <c r="M185" s="493"/>
    </row>
    <row r="186" spans="1:13" x14ac:dyDescent="0.25">
      <c r="A186" s="493"/>
      <c r="B186" s="493"/>
      <c r="C186" s="493"/>
      <c r="D186" s="493"/>
      <c r="E186" s="493"/>
      <c r="F186" s="493"/>
      <c r="G186" s="493"/>
      <c r="H186" s="493"/>
      <c r="I186" s="493"/>
      <c r="J186" s="493"/>
      <c r="K186" s="493"/>
      <c r="L186" s="493"/>
      <c r="M186" s="493"/>
    </row>
    <row r="187" spans="1:13" x14ac:dyDescent="0.25">
      <c r="A187" s="493"/>
      <c r="B187" s="493"/>
      <c r="C187" s="493"/>
      <c r="D187" s="493"/>
      <c r="E187" s="493"/>
      <c r="F187" s="493"/>
      <c r="G187" s="493"/>
      <c r="H187" s="493"/>
      <c r="I187" s="493"/>
      <c r="J187" s="493"/>
      <c r="K187" s="493"/>
      <c r="L187" s="493"/>
      <c r="M187" s="493"/>
    </row>
    <row r="188" spans="1:13" x14ac:dyDescent="0.25">
      <c r="A188" s="493"/>
      <c r="B188" s="493"/>
      <c r="C188" s="493"/>
      <c r="D188" s="493"/>
      <c r="E188" s="493"/>
      <c r="F188" s="493"/>
      <c r="G188" s="493"/>
      <c r="H188" s="493"/>
      <c r="I188" s="493"/>
      <c r="J188" s="493"/>
      <c r="K188" s="493"/>
      <c r="L188" s="493"/>
      <c r="M188" s="493"/>
    </row>
    <row r="189" spans="1:13" x14ac:dyDescent="0.25">
      <c r="A189" s="493"/>
      <c r="B189" s="493"/>
      <c r="C189" s="493"/>
      <c r="D189" s="493"/>
      <c r="E189" s="493"/>
      <c r="F189" s="493"/>
      <c r="G189" s="493"/>
      <c r="H189" s="493"/>
      <c r="I189" s="493"/>
      <c r="J189" s="493"/>
      <c r="K189" s="493"/>
      <c r="L189" s="493"/>
      <c r="M189" s="493"/>
    </row>
    <row r="190" spans="1:13" x14ac:dyDescent="0.25">
      <c r="A190" s="493"/>
      <c r="B190" s="493"/>
      <c r="C190" s="493"/>
      <c r="D190" s="493"/>
      <c r="E190" s="493"/>
      <c r="F190" s="493"/>
      <c r="G190" s="493"/>
      <c r="H190" s="493"/>
      <c r="I190" s="493"/>
      <c r="J190" s="493"/>
      <c r="K190" s="493"/>
      <c r="L190" s="493"/>
      <c r="M190" s="493"/>
    </row>
    <row r="191" spans="1:13" x14ac:dyDescent="0.25">
      <c r="A191" s="493"/>
      <c r="B191" s="493"/>
      <c r="C191" s="493"/>
      <c r="D191" s="493"/>
      <c r="E191" s="493"/>
      <c r="F191" s="493"/>
      <c r="G191" s="493"/>
      <c r="H191" s="493"/>
      <c r="I191" s="493"/>
      <c r="J191" s="493"/>
      <c r="K191" s="493"/>
      <c r="L191" s="493"/>
      <c r="M191" s="493"/>
    </row>
    <row r="192" spans="1:13" x14ac:dyDescent="0.25">
      <c r="A192" s="493"/>
      <c r="B192" s="493"/>
      <c r="C192" s="493"/>
      <c r="D192" s="493"/>
      <c r="E192" s="493"/>
      <c r="F192" s="493"/>
      <c r="G192" s="493"/>
      <c r="H192" s="493"/>
      <c r="I192" s="493"/>
      <c r="J192" s="493"/>
      <c r="K192" s="493"/>
      <c r="L192" s="493"/>
      <c r="M192" s="493"/>
    </row>
    <row r="193" spans="1:13" x14ac:dyDescent="0.25">
      <c r="A193" s="493"/>
      <c r="B193" s="493"/>
      <c r="C193" s="493"/>
      <c r="D193" s="493"/>
      <c r="E193" s="493"/>
      <c r="F193" s="493"/>
      <c r="G193" s="493"/>
      <c r="H193" s="493"/>
      <c r="I193" s="493"/>
      <c r="J193" s="493"/>
      <c r="K193" s="493"/>
      <c r="L193" s="493"/>
      <c r="M193" s="493"/>
    </row>
    <row r="194" spans="1:13" x14ac:dyDescent="0.25">
      <c r="A194" s="493"/>
      <c r="B194" s="493"/>
      <c r="C194" s="493"/>
      <c r="D194" s="493"/>
      <c r="E194" s="493"/>
      <c r="F194" s="493"/>
      <c r="G194" s="493"/>
      <c r="H194" s="493"/>
      <c r="I194" s="493"/>
      <c r="J194" s="493"/>
      <c r="K194" s="493"/>
      <c r="L194" s="493"/>
      <c r="M194" s="493"/>
    </row>
  </sheetData>
  <mergeCells count="12">
    <mergeCell ref="B5:C5"/>
    <mergeCell ref="I5:K5"/>
    <mergeCell ref="N5:O5"/>
    <mergeCell ref="S5:U5"/>
    <mergeCell ref="Y5:AA5"/>
    <mergeCell ref="A1:W1"/>
    <mergeCell ref="Y1:AB1"/>
    <mergeCell ref="A2:V2"/>
    <mergeCell ref="Y2:AB2"/>
    <mergeCell ref="B4:L4"/>
    <mergeCell ref="N4:V4"/>
    <mergeCell ref="Y4:AB4"/>
  </mergeCells>
  <pageMargins left="0.75" right="0.75" top="1" bottom="1" header="0.5" footer="0.5"/>
  <pageSetup paperSize="5" scale="79" orientation="landscape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40">
    <pageSetUpPr fitToPage="1"/>
  </sheetPr>
  <dimension ref="A1:AD194"/>
  <sheetViews>
    <sheetView zoomScaleNormal="100" workbookViewId="0">
      <selection activeCell="B9" sqref="B9"/>
    </sheetView>
  </sheetViews>
  <sheetFormatPr defaultColWidth="9.1796875" defaultRowHeight="12.5" x14ac:dyDescent="0.25"/>
  <cols>
    <col min="1" max="1" width="13" style="492" customWidth="1"/>
    <col min="2" max="2" width="6.54296875" style="492" bestFit="1" customWidth="1"/>
    <col min="3" max="3" width="4.81640625" style="492" hidden="1" customWidth="1"/>
    <col min="4" max="4" width="8.54296875" style="492" bestFit="1" customWidth="1"/>
    <col min="5" max="5" width="11.453125" style="492" customWidth="1"/>
    <col min="6" max="6" width="11.1796875" style="492" customWidth="1"/>
    <col min="7" max="7" width="12" style="492" bestFit="1" customWidth="1"/>
    <col min="8" max="8" width="11.1796875" style="492" customWidth="1"/>
    <col min="9" max="9" width="11.54296875" style="492" hidden="1" customWidth="1"/>
    <col min="10" max="10" width="11.54296875" style="492" bestFit="1" customWidth="1"/>
    <col min="11" max="11" width="4.81640625" style="492" hidden="1" customWidth="1"/>
    <col min="12" max="12" width="12.54296875" style="492" customWidth="1"/>
    <col min="13" max="13" width="2.54296875" style="492" customWidth="1"/>
    <col min="14" max="14" width="7" style="492" customWidth="1"/>
    <col min="15" max="15" width="4.81640625" style="492" hidden="1" customWidth="1"/>
    <col min="16" max="16" width="8.54296875" style="538" bestFit="1" customWidth="1"/>
    <col min="17" max="17" width="10.7265625" style="492" bestFit="1" customWidth="1"/>
    <col min="18" max="18" width="9.81640625" style="492" bestFit="1" customWidth="1"/>
    <col min="19" max="19" width="10.7265625" style="492" hidden="1" customWidth="1"/>
    <col min="20" max="20" width="9.81640625" style="492" bestFit="1" customWidth="1"/>
    <col min="21" max="21" width="4.81640625" style="492" hidden="1" customWidth="1"/>
    <col min="22" max="22" width="10.7265625" style="492" bestFit="1" customWidth="1"/>
    <col min="23" max="23" width="2.7265625" style="492" customWidth="1"/>
    <col min="24" max="24" width="13.81640625" style="492" bestFit="1" customWidth="1"/>
    <col min="25" max="25" width="12.81640625" style="492" hidden="1" customWidth="1"/>
    <col min="26" max="26" width="12" style="492" customWidth="1"/>
    <col min="27" max="27" width="4.81640625" style="492" hidden="1" customWidth="1"/>
    <col min="28" max="28" width="13.26953125" style="492" customWidth="1"/>
    <col min="29" max="29" width="11.81640625" style="492" customWidth="1"/>
    <col min="30" max="30" width="9.7265625" style="492" bestFit="1" customWidth="1"/>
    <col min="31" max="16384" width="9.1796875" style="492"/>
  </cols>
  <sheetData>
    <row r="1" spans="1:30" ht="13" x14ac:dyDescent="0.3">
      <c r="A1" s="813" t="s">
        <v>497</v>
      </c>
      <c r="B1" s="813"/>
      <c r="C1" s="813"/>
      <c r="D1" s="813"/>
      <c r="E1" s="813"/>
      <c r="F1" s="813"/>
      <c r="G1" s="813"/>
      <c r="H1" s="813"/>
      <c r="I1" s="813"/>
      <c r="J1" s="813"/>
      <c r="K1" s="813"/>
      <c r="L1" s="813"/>
      <c r="M1" s="813"/>
      <c r="N1" s="813"/>
      <c r="O1" s="813"/>
      <c r="P1" s="813"/>
      <c r="Q1" s="813"/>
      <c r="R1" s="813"/>
      <c r="S1" s="813"/>
      <c r="T1" s="813"/>
      <c r="U1" s="813"/>
      <c r="V1" s="813"/>
      <c r="W1" s="813"/>
      <c r="X1" s="491"/>
      <c r="Y1" s="823"/>
      <c r="Z1" s="823"/>
      <c r="AA1" s="823"/>
      <c r="AB1" s="823"/>
    </row>
    <row r="2" spans="1:30" ht="13" x14ac:dyDescent="0.3">
      <c r="A2" s="815">
        <f>'[100]Sales Forecast'!D6</f>
        <v>44013</v>
      </c>
      <c r="B2" s="815"/>
      <c r="C2" s="815"/>
      <c r="D2" s="815"/>
      <c r="E2" s="815"/>
      <c r="F2" s="815"/>
      <c r="G2" s="815"/>
      <c r="H2" s="815"/>
      <c r="I2" s="815"/>
      <c r="J2" s="815"/>
      <c r="K2" s="815"/>
      <c r="L2" s="815"/>
      <c r="M2" s="815"/>
      <c r="N2" s="815"/>
      <c r="O2" s="815"/>
      <c r="P2" s="815"/>
      <c r="Q2" s="815"/>
      <c r="R2" s="815"/>
      <c r="S2" s="815"/>
      <c r="T2" s="815"/>
      <c r="U2" s="815"/>
      <c r="V2" s="815"/>
      <c r="Y2" s="824"/>
      <c r="Z2" s="824"/>
      <c r="AA2" s="824"/>
      <c r="AB2" s="824"/>
    </row>
    <row r="3" spans="1:30" ht="13" thickBot="1" x14ac:dyDescent="0.3">
      <c r="A3" s="493"/>
      <c r="B3" s="493"/>
      <c r="C3" s="493"/>
      <c r="D3" s="493"/>
      <c r="E3" s="493"/>
      <c r="F3" s="493"/>
      <c r="G3" s="493"/>
      <c r="H3" s="493"/>
      <c r="I3" s="493"/>
      <c r="J3" s="493"/>
      <c r="K3" s="493"/>
      <c r="L3" s="493"/>
      <c r="M3" s="493"/>
    </row>
    <row r="4" spans="1:30" ht="13.5" thickBot="1" x14ac:dyDescent="0.35">
      <c r="A4" s="493"/>
      <c r="B4" s="825" t="s">
        <v>498</v>
      </c>
      <c r="C4" s="826"/>
      <c r="D4" s="826"/>
      <c r="E4" s="826"/>
      <c r="F4" s="826"/>
      <c r="G4" s="826"/>
      <c r="H4" s="826"/>
      <c r="I4" s="826"/>
      <c r="J4" s="826"/>
      <c r="K4" s="826"/>
      <c r="L4" s="826"/>
      <c r="M4" s="493"/>
      <c r="N4" s="825" t="s">
        <v>499</v>
      </c>
      <c r="O4" s="826"/>
      <c r="P4" s="826"/>
      <c r="Q4" s="826"/>
      <c r="R4" s="826"/>
      <c r="S4" s="826"/>
      <c r="T4" s="826"/>
      <c r="U4" s="826"/>
      <c r="V4" s="826"/>
      <c r="Y4" s="827" t="s">
        <v>500</v>
      </c>
      <c r="Z4" s="828"/>
      <c r="AA4" s="828"/>
      <c r="AB4" s="828"/>
      <c r="AC4" s="494"/>
    </row>
    <row r="5" spans="1:30" x14ac:dyDescent="0.25">
      <c r="A5" s="493"/>
      <c r="B5" s="829" t="s">
        <v>501</v>
      </c>
      <c r="C5" s="829"/>
      <c r="D5" s="495" t="s">
        <v>284</v>
      </c>
      <c r="E5" s="495" t="s">
        <v>162</v>
      </c>
      <c r="F5" s="495" t="s">
        <v>162</v>
      </c>
      <c r="G5" s="495" t="s">
        <v>283</v>
      </c>
      <c r="H5" s="495" t="s">
        <v>283</v>
      </c>
      <c r="I5" s="829" t="s">
        <v>502</v>
      </c>
      <c r="J5" s="829"/>
      <c r="K5" s="829"/>
      <c r="L5" s="496" t="s">
        <v>503</v>
      </c>
      <c r="M5" s="493"/>
      <c r="N5" s="829" t="s">
        <v>501</v>
      </c>
      <c r="O5" s="829"/>
      <c r="P5" s="539" t="str">
        <f>D5</f>
        <v>Capacity</v>
      </c>
      <c r="Q5" s="495" t="s">
        <v>260</v>
      </c>
      <c r="R5" s="495" t="s">
        <v>260</v>
      </c>
      <c r="S5" s="829" t="s">
        <v>504</v>
      </c>
      <c r="T5" s="829"/>
      <c r="U5" s="829"/>
      <c r="V5" s="496" t="s">
        <v>505</v>
      </c>
      <c r="Y5" s="830" t="s">
        <v>506</v>
      </c>
      <c r="Z5" s="830"/>
      <c r="AA5" s="830"/>
      <c r="AB5" s="496" t="s">
        <v>507</v>
      </c>
      <c r="AC5" s="497"/>
    </row>
    <row r="6" spans="1:30" x14ac:dyDescent="0.25">
      <c r="A6" s="493" t="s">
        <v>508</v>
      </c>
      <c r="B6" s="498" t="s">
        <v>368</v>
      </c>
      <c r="C6" s="498" t="s">
        <v>366</v>
      </c>
      <c r="D6" s="498" t="s">
        <v>366</v>
      </c>
      <c r="E6" s="498" t="s">
        <v>509</v>
      </c>
      <c r="F6" s="498" t="s">
        <v>135</v>
      </c>
      <c r="G6" s="498" t="s">
        <v>509</v>
      </c>
      <c r="H6" s="498" t="s">
        <v>135</v>
      </c>
      <c r="I6" s="498" t="s">
        <v>510</v>
      </c>
      <c r="J6" s="498" t="str">
        <f>D5</f>
        <v>Capacity</v>
      </c>
      <c r="K6" s="498" t="s">
        <v>162</v>
      </c>
      <c r="L6" s="498" t="s">
        <v>162</v>
      </c>
      <c r="M6" s="499"/>
      <c r="N6" s="498" t="s">
        <v>368</v>
      </c>
      <c r="O6" s="498" t="s">
        <v>366</v>
      </c>
      <c r="P6" s="540" t="s">
        <v>366</v>
      </c>
      <c r="Q6" s="498" t="s">
        <v>509</v>
      </c>
      <c r="R6" s="498" t="s">
        <v>135</v>
      </c>
      <c r="S6" s="498" t="s">
        <v>510</v>
      </c>
      <c r="T6" s="498" t="str">
        <f>J6</f>
        <v>Capacity</v>
      </c>
      <c r="U6" s="498" t="s">
        <v>162</v>
      </c>
      <c r="V6" s="498" t="s">
        <v>162</v>
      </c>
      <c r="X6" s="498" t="s">
        <v>508</v>
      </c>
      <c r="Y6" s="498" t="s">
        <v>510</v>
      </c>
      <c r="Z6" s="498" t="str">
        <f>T6</f>
        <v>Capacity</v>
      </c>
      <c r="AA6" s="498" t="s">
        <v>162</v>
      </c>
      <c r="AB6" s="498" t="s">
        <v>162</v>
      </c>
      <c r="AC6" s="498"/>
    </row>
    <row r="7" spans="1:30" x14ac:dyDescent="0.25">
      <c r="A7" s="493"/>
      <c r="B7" s="493"/>
      <c r="C7" s="493"/>
      <c r="D7" s="493"/>
      <c r="E7" s="493"/>
      <c r="F7" s="493"/>
      <c r="G7" s="493"/>
      <c r="H7" s="493"/>
      <c r="I7" s="493"/>
      <c r="J7" s="493"/>
      <c r="K7" s="493"/>
      <c r="L7" s="493"/>
      <c r="M7" s="493"/>
      <c r="N7" s="493"/>
      <c r="O7" s="493"/>
      <c r="P7" s="541"/>
      <c r="Q7" s="493"/>
      <c r="R7" s="493"/>
      <c r="S7" s="493"/>
      <c r="T7" s="493"/>
      <c r="U7" s="493"/>
      <c r="V7" s="493"/>
    </row>
    <row r="8" spans="1:30" x14ac:dyDescent="0.25">
      <c r="A8" s="500">
        <v>1</v>
      </c>
      <c r="B8" s="529">
        <f>'Forecast MAC Total'!R20</f>
        <v>8.1799999999999998E-3</v>
      </c>
      <c r="C8" s="522" t="e">
        <f>#REF!</f>
        <v>#REF!</v>
      </c>
      <c r="D8" s="522">
        <f>+'May - Oct Capacity MSC by Class'!G20</f>
        <v>3.4700000000000002E-2</v>
      </c>
      <c r="E8" s="530">
        <f>+'Adj Sales Forecast'!D10</f>
        <v>1560233696</v>
      </c>
      <c r="F8" s="493">
        <v>0</v>
      </c>
      <c r="G8" s="8">
        <f>ROUND(E8*0.88,0)</f>
        <v>1373005652</v>
      </c>
      <c r="H8" s="8">
        <f>ROUND(F8*0.88,0)</f>
        <v>0</v>
      </c>
      <c r="I8" s="169" t="e">
        <f>ROUND(C8*G8,0)</f>
        <v>#REF!</v>
      </c>
      <c r="J8" s="169">
        <f>ROUND(D8*G8,0)</f>
        <v>47643296</v>
      </c>
      <c r="K8" s="169" t="e">
        <f t="shared" ref="K8:K19" si="0">I8+J8</f>
        <v>#REF!</v>
      </c>
      <c r="L8" s="169">
        <f t="shared" ref="L8:L19" si="1">ROUND(B8*G8,0)</f>
        <v>11231186</v>
      </c>
      <c r="M8" s="493"/>
      <c r="N8" s="501">
        <f t="shared" ref="N8:N19" si="2">$B$8</f>
        <v>8.1799999999999998E-3</v>
      </c>
      <c r="O8" s="493" t="e">
        <f>#REF!</f>
        <v>#REF!</v>
      </c>
      <c r="P8" s="541">
        <f>'May Price Out'!P8</f>
        <v>2.4369999999999999E-2</v>
      </c>
      <c r="Q8" s="502">
        <f>E8-G8</f>
        <v>187228044</v>
      </c>
      <c r="R8" s="502">
        <f>F8-H8</f>
        <v>0</v>
      </c>
      <c r="S8" s="169" t="e">
        <f t="shared" ref="S8:S19" si="3">ROUND(O8*Q8,0)</f>
        <v>#REF!</v>
      </c>
      <c r="T8" s="169">
        <f>ROUND(P8*Q8,0)</f>
        <v>4562747</v>
      </c>
      <c r="U8" s="169" t="e">
        <f t="shared" ref="U8:U19" si="4">S8+T8</f>
        <v>#REF!</v>
      </c>
      <c r="V8" s="169">
        <f t="shared" ref="V8:V19" si="5">ROUND(N8*Q8,0)</f>
        <v>1531525</v>
      </c>
      <c r="X8" s="500">
        <v>1</v>
      </c>
      <c r="Y8" s="503" t="e">
        <f t="shared" ref="Y8:Z19" si="6">I8+S8</f>
        <v>#REF!</v>
      </c>
      <c r="Z8" s="503">
        <f t="shared" si="6"/>
        <v>52206043</v>
      </c>
      <c r="AA8" s="503" t="e">
        <f t="shared" ref="AA8:AA19" si="7">Y8+Z8</f>
        <v>#REF!</v>
      </c>
      <c r="AB8" s="503">
        <f t="shared" ref="AB8:AB19" si="8">L8+V8</f>
        <v>12762711</v>
      </c>
    </row>
    <row r="9" spans="1:30" x14ac:dyDescent="0.25">
      <c r="A9" s="500" t="s">
        <v>511</v>
      </c>
      <c r="B9" s="529">
        <f>$B$8</f>
        <v>8.1799999999999998E-3</v>
      </c>
      <c r="C9" s="522" t="e">
        <f>#REF!</f>
        <v>#REF!</v>
      </c>
      <c r="D9" s="522">
        <f>+'May - Oct Capacity MSC by Class'!G40</f>
        <v>7.7899999999999997E-2</v>
      </c>
      <c r="E9" s="530">
        <f>+'Adj Sales Forecast'!D37</f>
        <v>3062720</v>
      </c>
      <c r="F9" s="493">
        <v>0</v>
      </c>
      <c r="G9" s="8">
        <f>ROUND(E9*0.88,0)</f>
        <v>2695194</v>
      </c>
      <c r="H9" s="8">
        <f>ROUND(F9*0.88,0)</f>
        <v>0</v>
      </c>
      <c r="I9" s="169" t="e">
        <f t="shared" ref="I9:I19" si="9">ROUND(C9*G9,0)</f>
        <v>#REF!</v>
      </c>
      <c r="J9" s="169">
        <f t="shared" ref="J9:J19" si="10">ROUND(D9*G9,0)</f>
        <v>209956</v>
      </c>
      <c r="K9" s="169" t="e">
        <f t="shared" si="0"/>
        <v>#REF!</v>
      </c>
      <c r="L9" s="169">
        <f t="shared" si="1"/>
        <v>22047</v>
      </c>
      <c r="M9" s="493"/>
      <c r="N9" s="501">
        <f t="shared" si="2"/>
        <v>8.1799999999999998E-3</v>
      </c>
      <c r="O9" s="493" t="e">
        <f>#REF!</f>
        <v>#REF!</v>
      </c>
      <c r="P9" s="541">
        <f>'May Price Out'!P9</f>
        <v>5.4699999999999999E-2</v>
      </c>
      <c r="Q9" s="502">
        <f>E9-G9</f>
        <v>367526</v>
      </c>
      <c r="R9" s="502">
        <f>F9-H9</f>
        <v>0</v>
      </c>
      <c r="S9" s="169" t="e">
        <f t="shared" si="3"/>
        <v>#REF!</v>
      </c>
      <c r="T9" s="169">
        <f t="shared" ref="T9:T19" si="11">ROUND(P9*Q9,0)</f>
        <v>20104</v>
      </c>
      <c r="U9" s="169" t="e">
        <f t="shared" si="4"/>
        <v>#REF!</v>
      </c>
      <c r="V9" s="169">
        <f t="shared" si="5"/>
        <v>3006</v>
      </c>
      <c r="X9" s="500" t="s">
        <v>511</v>
      </c>
      <c r="Y9" s="503" t="e">
        <f t="shared" si="6"/>
        <v>#REF!</v>
      </c>
      <c r="Z9" s="503">
        <f t="shared" si="6"/>
        <v>230060</v>
      </c>
      <c r="AA9" s="503" t="e">
        <f t="shared" si="7"/>
        <v>#REF!</v>
      </c>
      <c r="AB9" s="503">
        <f t="shared" si="8"/>
        <v>25053</v>
      </c>
      <c r="AD9" s="503"/>
    </row>
    <row r="10" spans="1:30" x14ac:dyDescent="0.25">
      <c r="A10" s="500" t="s">
        <v>512</v>
      </c>
      <c r="B10" s="529">
        <f t="shared" ref="B10:B42" si="12">$B$8</f>
        <v>8.1799999999999998E-3</v>
      </c>
      <c r="C10" s="533" t="e">
        <f>#REF!</f>
        <v>#REF!</v>
      </c>
      <c r="D10" s="522">
        <v>0</v>
      </c>
      <c r="E10" s="530">
        <f>+'Adj Sales Forecast'!D38</f>
        <v>4703584</v>
      </c>
      <c r="F10" s="493">
        <v>0</v>
      </c>
      <c r="G10" s="8">
        <f t="shared" ref="G10:H19" si="13">ROUND(E10*0.88,0)</f>
        <v>4139154</v>
      </c>
      <c r="H10" s="8">
        <f>ROUND(F10*0.88,0)</f>
        <v>0</v>
      </c>
      <c r="I10" s="169" t="e">
        <f t="shared" si="9"/>
        <v>#REF!</v>
      </c>
      <c r="J10" s="169">
        <f t="shared" si="10"/>
        <v>0</v>
      </c>
      <c r="K10" s="169" t="e">
        <f t="shared" si="0"/>
        <v>#REF!</v>
      </c>
      <c r="L10" s="169">
        <f t="shared" si="1"/>
        <v>33858</v>
      </c>
      <c r="M10" s="493"/>
      <c r="N10" s="501">
        <f t="shared" si="2"/>
        <v>8.1799999999999998E-3</v>
      </c>
      <c r="O10" s="504" t="e">
        <f>#REF!</f>
        <v>#REF!</v>
      </c>
      <c r="P10" s="541">
        <f>'May Price Out'!P10</f>
        <v>0</v>
      </c>
      <c r="Q10" s="502">
        <f t="shared" ref="Q10:R19" si="14">E10-G10</f>
        <v>564430</v>
      </c>
      <c r="R10" s="502">
        <f>F10-H10</f>
        <v>0</v>
      </c>
      <c r="S10" s="169" t="e">
        <f t="shared" si="3"/>
        <v>#REF!</v>
      </c>
      <c r="T10" s="169">
        <f t="shared" si="11"/>
        <v>0</v>
      </c>
      <c r="U10" s="169" t="e">
        <f t="shared" si="4"/>
        <v>#REF!</v>
      </c>
      <c r="V10" s="169">
        <f t="shared" si="5"/>
        <v>4617</v>
      </c>
      <c r="X10" s="500" t="s">
        <v>512</v>
      </c>
      <c r="Y10" s="503" t="e">
        <f t="shared" si="6"/>
        <v>#REF!</v>
      </c>
      <c r="Z10" s="503">
        <f t="shared" si="6"/>
        <v>0</v>
      </c>
      <c r="AA10" s="503" t="e">
        <f t="shared" si="7"/>
        <v>#REF!</v>
      </c>
      <c r="AB10" s="503">
        <f t="shared" si="8"/>
        <v>38475</v>
      </c>
    </row>
    <row r="11" spans="1:30" x14ac:dyDescent="0.25">
      <c r="A11" s="500">
        <v>2</v>
      </c>
      <c r="B11" s="529">
        <f t="shared" si="12"/>
        <v>8.1799999999999998E-3</v>
      </c>
      <c r="C11" s="533" t="e">
        <f>#REF!</f>
        <v>#REF!</v>
      </c>
      <c r="D11" s="522">
        <f>+'May - Oct Capacity MSC by Class'!G21</f>
        <v>0.02</v>
      </c>
      <c r="E11" s="530">
        <f>+'Adj Sales Forecast'!D15</f>
        <v>198333824</v>
      </c>
      <c r="F11" s="493">
        <v>0</v>
      </c>
      <c r="G11" s="8">
        <f t="shared" si="13"/>
        <v>174533765</v>
      </c>
      <c r="H11" s="8">
        <f t="shared" si="13"/>
        <v>0</v>
      </c>
      <c r="I11" s="169" t="e">
        <f t="shared" si="9"/>
        <v>#REF!</v>
      </c>
      <c r="J11" s="169">
        <f t="shared" si="10"/>
        <v>3490675</v>
      </c>
      <c r="K11" s="169" t="e">
        <f t="shared" si="0"/>
        <v>#REF!</v>
      </c>
      <c r="L11" s="169">
        <f t="shared" si="1"/>
        <v>1427686</v>
      </c>
      <c r="M11" s="493"/>
      <c r="N11" s="501">
        <f t="shared" si="2"/>
        <v>8.1799999999999998E-3</v>
      </c>
      <c r="O11" s="504" t="e">
        <f>#REF!</f>
        <v>#REF!</v>
      </c>
      <c r="P11" s="541">
        <f>'May Price Out'!P11</f>
        <v>1.8599999999999998E-2</v>
      </c>
      <c r="Q11" s="502">
        <f t="shared" si="14"/>
        <v>23800059</v>
      </c>
      <c r="R11" s="502">
        <f t="shared" si="14"/>
        <v>0</v>
      </c>
      <c r="S11" s="169" t="e">
        <f t="shared" si="3"/>
        <v>#REF!</v>
      </c>
      <c r="T11" s="169">
        <f t="shared" si="11"/>
        <v>442681</v>
      </c>
      <c r="U11" s="169" t="e">
        <f t="shared" si="4"/>
        <v>#REF!</v>
      </c>
      <c r="V11" s="169">
        <f t="shared" si="5"/>
        <v>194684</v>
      </c>
      <c r="X11" s="500">
        <v>2</v>
      </c>
      <c r="Y11" s="503" t="e">
        <f t="shared" si="6"/>
        <v>#REF!</v>
      </c>
      <c r="Z11" s="503">
        <f t="shared" si="6"/>
        <v>3933356</v>
      </c>
      <c r="AA11" s="503" t="e">
        <f t="shared" si="7"/>
        <v>#REF!</v>
      </c>
      <c r="AB11" s="503">
        <f t="shared" si="8"/>
        <v>1622370</v>
      </c>
    </row>
    <row r="12" spans="1:30" x14ac:dyDescent="0.25">
      <c r="A12" s="500" t="s">
        <v>513</v>
      </c>
      <c r="B12" s="529">
        <f t="shared" si="12"/>
        <v>8.1799999999999998E-3</v>
      </c>
      <c r="C12" s="522" t="e">
        <f>#REF!</f>
        <v>#REF!</v>
      </c>
      <c r="D12" s="522">
        <f>+'May - Oct Capacity MSC by Class'!G43</f>
        <v>4.1200000000000001E-2</v>
      </c>
      <c r="E12" s="530">
        <f>+'Adj Sales Forecast'!D40</f>
        <v>4159597</v>
      </c>
      <c r="F12" s="493">
        <v>0</v>
      </c>
      <c r="G12" s="8">
        <f t="shared" si="13"/>
        <v>3660445</v>
      </c>
      <c r="H12" s="8">
        <f t="shared" si="13"/>
        <v>0</v>
      </c>
      <c r="I12" s="169" t="e">
        <f t="shared" si="9"/>
        <v>#REF!</v>
      </c>
      <c r="J12" s="169">
        <f t="shared" si="10"/>
        <v>150810</v>
      </c>
      <c r="K12" s="169" t="e">
        <f t="shared" si="0"/>
        <v>#REF!</v>
      </c>
      <c r="L12" s="169">
        <f t="shared" si="1"/>
        <v>29942</v>
      </c>
      <c r="M12" s="493"/>
      <c r="N12" s="501">
        <f t="shared" si="2"/>
        <v>8.1799999999999998E-3</v>
      </c>
      <c r="O12" s="493" t="e">
        <f>#REF!</f>
        <v>#REF!</v>
      </c>
      <c r="P12" s="541">
        <f>'May Price Out'!P12</f>
        <v>3.8199999999999998E-2</v>
      </c>
      <c r="Q12" s="502">
        <f t="shared" si="14"/>
        <v>499152</v>
      </c>
      <c r="R12" s="502">
        <f t="shared" si="14"/>
        <v>0</v>
      </c>
      <c r="S12" s="169" t="e">
        <f t="shared" si="3"/>
        <v>#REF!</v>
      </c>
      <c r="T12" s="169">
        <f t="shared" si="11"/>
        <v>19068</v>
      </c>
      <c r="U12" s="169" t="e">
        <f t="shared" si="4"/>
        <v>#REF!</v>
      </c>
      <c r="V12" s="169">
        <f t="shared" si="5"/>
        <v>4083</v>
      </c>
      <c r="X12" s="500" t="s">
        <v>513</v>
      </c>
      <c r="Y12" s="503" t="e">
        <f t="shared" si="6"/>
        <v>#REF!</v>
      </c>
      <c r="Z12" s="503">
        <f t="shared" si="6"/>
        <v>169878</v>
      </c>
      <c r="AA12" s="503" t="e">
        <f t="shared" si="7"/>
        <v>#REF!</v>
      </c>
      <c r="AB12" s="503">
        <f t="shared" si="8"/>
        <v>34025</v>
      </c>
    </row>
    <row r="13" spans="1:30" x14ac:dyDescent="0.25">
      <c r="A13" s="500" t="s">
        <v>514</v>
      </c>
      <c r="B13" s="529">
        <f t="shared" si="12"/>
        <v>8.1799999999999998E-3</v>
      </c>
      <c r="C13" s="533" t="e">
        <f>#REF!</f>
        <v>#REF!</v>
      </c>
      <c r="D13" s="522">
        <v>0</v>
      </c>
      <c r="E13" s="530">
        <f>+'Adj Sales Forecast'!D41</f>
        <v>5506579</v>
      </c>
      <c r="F13" s="493">
        <v>0</v>
      </c>
      <c r="G13" s="8">
        <f t="shared" si="13"/>
        <v>4845790</v>
      </c>
      <c r="H13" s="8">
        <f t="shared" si="13"/>
        <v>0</v>
      </c>
      <c r="I13" s="169" t="e">
        <f t="shared" si="9"/>
        <v>#REF!</v>
      </c>
      <c r="J13" s="169">
        <f t="shared" si="10"/>
        <v>0</v>
      </c>
      <c r="K13" s="169" t="e">
        <f t="shared" si="0"/>
        <v>#REF!</v>
      </c>
      <c r="L13" s="169">
        <f t="shared" si="1"/>
        <v>39639</v>
      </c>
      <c r="M13" s="493"/>
      <c r="N13" s="501">
        <f t="shared" si="2"/>
        <v>8.1799999999999998E-3</v>
      </c>
      <c r="O13" s="504" t="e">
        <f>#REF!</f>
        <v>#REF!</v>
      </c>
      <c r="P13" s="541">
        <f>'May Price Out'!P13</f>
        <v>0</v>
      </c>
      <c r="Q13" s="502">
        <f t="shared" si="14"/>
        <v>660789</v>
      </c>
      <c r="R13" s="502">
        <f t="shared" si="14"/>
        <v>0</v>
      </c>
      <c r="S13" s="169" t="e">
        <f t="shared" si="3"/>
        <v>#REF!</v>
      </c>
      <c r="T13" s="169">
        <f t="shared" si="11"/>
        <v>0</v>
      </c>
      <c r="U13" s="169" t="e">
        <f t="shared" si="4"/>
        <v>#REF!</v>
      </c>
      <c r="V13" s="169">
        <f t="shared" si="5"/>
        <v>5405</v>
      </c>
      <c r="X13" s="500" t="s">
        <v>514</v>
      </c>
      <c r="Y13" s="503" t="e">
        <f t="shared" si="6"/>
        <v>#REF!</v>
      </c>
      <c r="Z13" s="503">
        <f t="shared" si="6"/>
        <v>0</v>
      </c>
      <c r="AA13" s="503" t="e">
        <f t="shared" si="7"/>
        <v>#REF!</v>
      </c>
      <c r="AB13" s="503">
        <f t="shared" si="8"/>
        <v>45044</v>
      </c>
    </row>
    <row r="14" spans="1:30" x14ac:dyDescent="0.25">
      <c r="A14" s="500">
        <v>6</v>
      </c>
      <c r="B14" s="529">
        <f t="shared" si="12"/>
        <v>8.1799999999999998E-3</v>
      </c>
      <c r="C14" s="522" t="e">
        <f>#REF!</f>
        <v>#REF!</v>
      </c>
      <c r="D14" s="522">
        <f>+'May - Oct Capacity MSC by Class'!G25</f>
        <v>4.0000000000000002E-4</v>
      </c>
      <c r="E14" s="530">
        <f>+'Adj Sales Forecast'!D18</f>
        <v>516839</v>
      </c>
      <c r="F14" s="493">
        <v>0</v>
      </c>
      <c r="G14" s="8">
        <f t="shared" si="13"/>
        <v>454818</v>
      </c>
      <c r="H14" s="8">
        <f t="shared" si="13"/>
        <v>0</v>
      </c>
      <c r="I14" s="169" t="e">
        <f t="shared" si="9"/>
        <v>#REF!</v>
      </c>
      <c r="J14" s="169">
        <f t="shared" si="10"/>
        <v>182</v>
      </c>
      <c r="K14" s="169" t="e">
        <f t="shared" si="0"/>
        <v>#REF!</v>
      </c>
      <c r="L14" s="169">
        <f t="shared" si="1"/>
        <v>3720</v>
      </c>
      <c r="M14" s="493"/>
      <c r="N14" s="501">
        <f t="shared" si="2"/>
        <v>8.1799999999999998E-3</v>
      </c>
      <c r="O14" s="493" t="e">
        <f>#REF!</f>
        <v>#REF!</v>
      </c>
      <c r="P14" s="541">
        <f>'May Price Out'!P14</f>
        <v>4.0000000000000002E-4</v>
      </c>
      <c r="Q14" s="502">
        <f t="shared" si="14"/>
        <v>62021</v>
      </c>
      <c r="R14" s="502">
        <f t="shared" si="14"/>
        <v>0</v>
      </c>
      <c r="S14" s="169" t="e">
        <f t="shared" si="3"/>
        <v>#REF!</v>
      </c>
      <c r="T14" s="169">
        <f t="shared" si="11"/>
        <v>25</v>
      </c>
      <c r="U14" s="169" t="e">
        <f t="shared" si="4"/>
        <v>#REF!</v>
      </c>
      <c r="V14" s="169">
        <f t="shared" si="5"/>
        <v>507</v>
      </c>
      <c r="X14" s="500">
        <v>6</v>
      </c>
      <c r="Y14" s="503" t="e">
        <f t="shared" si="6"/>
        <v>#REF!</v>
      </c>
      <c r="Z14" s="503">
        <f t="shared" si="6"/>
        <v>207</v>
      </c>
      <c r="AA14" s="503" t="e">
        <f t="shared" si="7"/>
        <v>#REF!</v>
      </c>
      <c r="AB14" s="503">
        <f t="shared" si="8"/>
        <v>4227</v>
      </c>
    </row>
    <row r="15" spans="1:30" hidden="1" x14ac:dyDescent="0.25">
      <c r="A15" s="500">
        <v>7</v>
      </c>
      <c r="B15" s="529">
        <f t="shared" si="12"/>
        <v>8.1799999999999998E-3</v>
      </c>
      <c r="C15" s="522" t="e">
        <f>#REF!</f>
        <v>#REF!</v>
      </c>
      <c r="D15" s="522"/>
      <c r="E15" s="530"/>
      <c r="F15" s="493"/>
      <c r="G15" s="8"/>
      <c r="H15" s="8"/>
      <c r="I15" s="169"/>
      <c r="J15" s="169"/>
      <c r="K15" s="169"/>
      <c r="L15" s="169"/>
      <c r="M15" s="493"/>
      <c r="N15" s="501">
        <f t="shared" si="2"/>
        <v>8.1799999999999998E-3</v>
      </c>
      <c r="O15" s="493" t="e">
        <f>#REF!</f>
        <v>#REF!</v>
      </c>
      <c r="P15" s="541">
        <f>'May Price Out'!P15</f>
        <v>0</v>
      </c>
      <c r="Q15" s="502">
        <f t="shared" si="14"/>
        <v>0</v>
      </c>
      <c r="R15" s="502">
        <f t="shared" si="14"/>
        <v>0</v>
      </c>
      <c r="S15" s="169" t="e">
        <f t="shared" si="3"/>
        <v>#REF!</v>
      </c>
      <c r="T15" s="169">
        <f t="shared" si="11"/>
        <v>0</v>
      </c>
      <c r="U15" s="169" t="e">
        <f t="shared" si="4"/>
        <v>#REF!</v>
      </c>
      <c r="V15" s="169">
        <f t="shared" si="5"/>
        <v>0</v>
      </c>
      <c r="X15" s="500">
        <v>7</v>
      </c>
      <c r="Y15" s="503" t="e">
        <f t="shared" si="6"/>
        <v>#REF!</v>
      </c>
      <c r="Z15" s="503">
        <f t="shared" si="6"/>
        <v>0</v>
      </c>
      <c r="AA15" s="503" t="e">
        <f t="shared" si="7"/>
        <v>#REF!</v>
      </c>
      <c r="AB15" s="503">
        <f t="shared" si="8"/>
        <v>0</v>
      </c>
    </row>
    <row r="16" spans="1:30" hidden="1" x14ac:dyDescent="0.25">
      <c r="A16" s="500" t="s">
        <v>515</v>
      </c>
      <c r="B16" s="529">
        <f t="shared" si="12"/>
        <v>8.1799999999999998E-3</v>
      </c>
      <c r="C16" s="522" t="e">
        <f>#REF!</f>
        <v>#REF!</v>
      </c>
      <c r="D16" s="522"/>
      <c r="E16" s="530"/>
      <c r="F16" s="493"/>
      <c r="G16" s="8"/>
      <c r="H16" s="8"/>
      <c r="I16" s="169"/>
      <c r="J16" s="169"/>
      <c r="K16" s="169"/>
      <c r="L16" s="169"/>
      <c r="M16" s="493"/>
      <c r="N16" s="501">
        <f t="shared" si="2"/>
        <v>8.1799999999999998E-3</v>
      </c>
      <c r="O16" s="493" t="e">
        <f>#REF!</f>
        <v>#REF!</v>
      </c>
      <c r="P16" s="541">
        <f>'May Price Out'!P16</f>
        <v>0</v>
      </c>
      <c r="Q16" s="502">
        <f t="shared" si="14"/>
        <v>0</v>
      </c>
      <c r="R16" s="502">
        <f t="shared" si="14"/>
        <v>0</v>
      </c>
      <c r="S16" s="169" t="e">
        <f t="shared" si="3"/>
        <v>#REF!</v>
      </c>
      <c r="T16" s="169">
        <f t="shared" si="11"/>
        <v>0</v>
      </c>
      <c r="U16" s="169" t="e">
        <f t="shared" si="4"/>
        <v>#REF!</v>
      </c>
      <c r="V16" s="169">
        <f t="shared" si="5"/>
        <v>0</v>
      </c>
      <c r="X16" s="500" t="s">
        <v>515</v>
      </c>
      <c r="Y16" s="503" t="e">
        <f t="shared" si="6"/>
        <v>#REF!</v>
      </c>
      <c r="Z16" s="503">
        <f t="shared" si="6"/>
        <v>0</v>
      </c>
      <c r="AA16" s="503" t="e">
        <f t="shared" si="7"/>
        <v>#REF!</v>
      </c>
      <c r="AB16" s="503">
        <f t="shared" si="8"/>
        <v>0</v>
      </c>
    </row>
    <row r="17" spans="1:28" hidden="1" x14ac:dyDescent="0.25">
      <c r="A17" s="500" t="s">
        <v>516</v>
      </c>
      <c r="B17" s="529">
        <f t="shared" si="12"/>
        <v>8.1799999999999998E-3</v>
      </c>
      <c r="C17" s="533" t="e">
        <f>#REF!</f>
        <v>#REF!</v>
      </c>
      <c r="D17" s="522"/>
      <c r="E17" s="530"/>
      <c r="F17" s="493"/>
      <c r="G17" s="8"/>
      <c r="H17" s="8"/>
      <c r="I17" s="169"/>
      <c r="J17" s="169"/>
      <c r="K17" s="169"/>
      <c r="L17" s="169"/>
      <c r="M17" s="493"/>
      <c r="N17" s="501">
        <f t="shared" si="2"/>
        <v>8.1799999999999998E-3</v>
      </c>
      <c r="O17" s="504" t="e">
        <f>#REF!</f>
        <v>#REF!</v>
      </c>
      <c r="P17" s="541">
        <f>'May Price Out'!P17</f>
        <v>0</v>
      </c>
      <c r="Q17" s="502">
        <f t="shared" si="14"/>
        <v>0</v>
      </c>
      <c r="R17" s="502">
        <f t="shared" si="14"/>
        <v>0</v>
      </c>
      <c r="S17" s="169" t="e">
        <f t="shared" si="3"/>
        <v>#REF!</v>
      </c>
      <c r="T17" s="169">
        <f t="shared" si="11"/>
        <v>0</v>
      </c>
      <c r="U17" s="169" t="e">
        <f t="shared" si="4"/>
        <v>#REF!</v>
      </c>
      <c r="V17" s="169">
        <f t="shared" si="5"/>
        <v>0</v>
      </c>
      <c r="X17" s="500" t="s">
        <v>516</v>
      </c>
      <c r="Y17" s="503" t="e">
        <f t="shared" si="6"/>
        <v>#REF!</v>
      </c>
      <c r="Z17" s="503">
        <f t="shared" si="6"/>
        <v>0</v>
      </c>
      <c r="AA17" s="503" t="e">
        <f t="shared" si="7"/>
        <v>#REF!</v>
      </c>
      <c r="AB17" s="503">
        <f t="shared" si="8"/>
        <v>0</v>
      </c>
    </row>
    <row r="18" spans="1:28" x14ac:dyDescent="0.25">
      <c r="A18" s="500" t="s">
        <v>56</v>
      </c>
      <c r="B18" s="529">
        <f t="shared" si="12"/>
        <v>8.1799999999999998E-3</v>
      </c>
      <c r="C18" s="522" t="e">
        <f>#REF!</f>
        <v>#REF!</v>
      </c>
      <c r="D18" s="522">
        <f>+'May - Oct Capacity MSC by Class'!G30</f>
        <v>0</v>
      </c>
      <c r="E18" s="530">
        <f>+'Adj Sales Forecast'!D26</f>
        <v>0</v>
      </c>
      <c r="F18" s="493">
        <v>0</v>
      </c>
      <c r="G18" s="8">
        <f t="shared" si="13"/>
        <v>0</v>
      </c>
      <c r="H18" s="8">
        <f t="shared" si="13"/>
        <v>0</v>
      </c>
      <c r="I18" s="169" t="e">
        <f t="shared" si="9"/>
        <v>#REF!</v>
      </c>
      <c r="J18" s="169">
        <f t="shared" si="10"/>
        <v>0</v>
      </c>
      <c r="K18" s="169" t="e">
        <f t="shared" si="0"/>
        <v>#REF!</v>
      </c>
      <c r="L18" s="169">
        <f t="shared" si="1"/>
        <v>0</v>
      </c>
      <c r="M18" s="493"/>
      <c r="N18" s="501">
        <f t="shared" si="2"/>
        <v>8.1799999999999998E-3</v>
      </c>
      <c r="O18" s="493" t="e">
        <f>#REF!</f>
        <v>#REF!</v>
      </c>
      <c r="P18" s="541">
        <f>'May Price Out'!P18</f>
        <v>0</v>
      </c>
      <c r="Q18" s="502">
        <f t="shared" si="14"/>
        <v>0</v>
      </c>
      <c r="R18" s="502">
        <f t="shared" si="14"/>
        <v>0</v>
      </c>
      <c r="S18" s="169" t="e">
        <f t="shared" si="3"/>
        <v>#REF!</v>
      </c>
      <c r="T18" s="169">
        <f t="shared" si="11"/>
        <v>0</v>
      </c>
      <c r="U18" s="169" t="e">
        <f t="shared" si="4"/>
        <v>#REF!</v>
      </c>
      <c r="V18" s="169">
        <f t="shared" si="5"/>
        <v>0</v>
      </c>
      <c r="X18" s="500" t="s">
        <v>56</v>
      </c>
      <c r="Y18" s="503" t="e">
        <f t="shared" si="6"/>
        <v>#REF!</v>
      </c>
      <c r="Z18" s="503">
        <f t="shared" si="6"/>
        <v>0</v>
      </c>
      <c r="AA18" s="503" t="e">
        <f t="shared" si="7"/>
        <v>#REF!</v>
      </c>
      <c r="AB18" s="503">
        <f t="shared" si="8"/>
        <v>0</v>
      </c>
    </row>
    <row r="19" spans="1:28" x14ac:dyDescent="0.25">
      <c r="A19" s="500" t="s">
        <v>517</v>
      </c>
      <c r="B19" s="529">
        <f t="shared" si="12"/>
        <v>8.1799999999999998E-3</v>
      </c>
      <c r="C19" s="522" t="e">
        <f>#REF!</f>
        <v>#REF!</v>
      </c>
      <c r="D19" s="522">
        <f>+'May - Oct Capacity MSC by Class'!G32</f>
        <v>1.7100000000000001E-2</v>
      </c>
      <c r="E19" s="530">
        <f>+'Adj Sales Forecast'!D31</f>
        <v>73210</v>
      </c>
      <c r="F19" s="493">
        <v>0</v>
      </c>
      <c r="G19" s="8">
        <f t="shared" si="13"/>
        <v>64425</v>
      </c>
      <c r="H19" s="8">
        <f t="shared" si="13"/>
        <v>0</v>
      </c>
      <c r="I19" s="169" t="e">
        <f t="shared" si="9"/>
        <v>#REF!</v>
      </c>
      <c r="J19" s="169">
        <f t="shared" si="10"/>
        <v>1102</v>
      </c>
      <c r="K19" s="169" t="e">
        <f t="shared" si="0"/>
        <v>#REF!</v>
      </c>
      <c r="L19" s="169">
        <f t="shared" si="1"/>
        <v>527</v>
      </c>
      <c r="M19" s="493"/>
      <c r="N19" s="501">
        <f t="shared" si="2"/>
        <v>8.1799999999999998E-3</v>
      </c>
      <c r="O19" s="493" t="e">
        <f>#REF!</f>
        <v>#REF!</v>
      </c>
      <c r="P19" s="541">
        <f>'May Price Out'!P19</f>
        <v>1.5900000000000001E-2</v>
      </c>
      <c r="Q19" s="502">
        <f t="shared" si="14"/>
        <v>8785</v>
      </c>
      <c r="R19" s="502">
        <f t="shared" si="14"/>
        <v>0</v>
      </c>
      <c r="S19" s="169" t="e">
        <f t="shared" si="3"/>
        <v>#REF!</v>
      </c>
      <c r="T19" s="169">
        <f t="shared" si="11"/>
        <v>140</v>
      </c>
      <c r="U19" s="169" t="e">
        <f t="shared" si="4"/>
        <v>#REF!</v>
      </c>
      <c r="V19" s="169">
        <f t="shared" si="5"/>
        <v>72</v>
      </c>
      <c r="X19" s="500" t="s">
        <v>517</v>
      </c>
      <c r="Y19" s="503" t="e">
        <f t="shared" si="6"/>
        <v>#REF!</v>
      </c>
      <c r="Z19" s="503">
        <f t="shared" si="6"/>
        <v>1242</v>
      </c>
      <c r="AA19" s="503" t="e">
        <f t="shared" si="7"/>
        <v>#REF!</v>
      </c>
      <c r="AB19" s="503">
        <f t="shared" si="8"/>
        <v>599</v>
      </c>
    </row>
    <row r="20" spans="1:28" x14ac:dyDescent="0.25">
      <c r="A20" s="493"/>
      <c r="B20" s="522"/>
      <c r="C20" s="522"/>
      <c r="D20" s="522"/>
      <c r="E20" s="522"/>
      <c r="F20" s="493"/>
      <c r="G20" s="493"/>
      <c r="H20" s="493"/>
      <c r="I20" s="493"/>
      <c r="J20" s="493"/>
      <c r="K20" s="493"/>
      <c r="L20" s="493"/>
      <c r="M20" s="493"/>
      <c r="N20" s="493"/>
      <c r="O20" s="493"/>
      <c r="P20" s="541"/>
      <c r="Q20" s="493"/>
      <c r="R20" s="493"/>
      <c r="S20" s="493"/>
      <c r="T20" s="493"/>
      <c r="U20" s="493"/>
      <c r="V20" s="493"/>
      <c r="X20" s="493"/>
      <c r="Y20" s="503"/>
      <c r="Z20" s="503"/>
      <c r="AA20" s="503"/>
      <c r="AB20" s="503"/>
    </row>
    <row r="21" spans="1:28" x14ac:dyDescent="0.25">
      <c r="A21" s="493" t="s">
        <v>518</v>
      </c>
      <c r="B21" s="529">
        <f t="shared" si="12"/>
        <v>8.1799999999999998E-3</v>
      </c>
      <c r="C21" s="522" t="e">
        <f>#REF!</f>
        <v>#REF!</v>
      </c>
      <c r="D21" s="534">
        <f>+'May - Oct Capacity MSC by Class'!G24</f>
        <v>5.9</v>
      </c>
      <c r="E21" s="530">
        <f>+'Adj Sales Forecast'!D16</f>
        <v>53106</v>
      </c>
      <c r="F21" s="8">
        <f>'[100]Adj Demand Forecast '!D6</f>
        <v>128</v>
      </c>
      <c r="G21" s="8">
        <f t="shared" ref="G21:H24" si="15">ROUND(E21*0.88,0)</f>
        <v>46733</v>
      </c>
      <c r="H21" s="8">
        <f t="shared" si="15"/>
        <v>113</v>
      </c>
      <c r="I21" s="169" t="e">
        <f t="shared" ref="I21:J24" si="16">ROUND(C21*G21,0)</f>
        <v>#REF!</v>
      </c>
      <c r="J21" s="169">
        <f t="shared" si="16"/>
        <v>667</v>
      </c>
      <c r="K21" s="169" t="e">
        <f>I21+J21</f>
        <v>#REF!</v>
      </c>
      <c r="L21" s="169">
        <f>ROUND(B21*G21,0)</f>
        <v>382</v>
      </c>
      <c r="M21" s="493"/>
      <c r="N21" s="501">
        <f>$B$8</f>
        <v>8.1799999999999998E-3</v>
      </c>
      <c r="O21" s="493" t="e">
        <f>#REF!</f>
        <v>#REF!</v>
      </c>
      <c r="P21" s="541">
        <f>'May Price Out'!P21</f>
        <v>5.46</v>
      </c>
      <c r="Q21" s="502">
        <f t="shared" ref="Q21:R24" si="17">E21-G21</f>
        <v>6373</v>
      </c>
      <c r="R21" s="502">
        <f t="shared" si="17"/>
        <v>15</v>
      </c>
      <c r="S21" s="169" t="e">
        <f t="shared" ref="S21:T24" si="18">ROUND(O21*Q21,0)</f>
        <v>#REF!</v>
      </c>
      <c r="T21" s="169">
        <f t="shared" si="18"/>
        <v>82</v>
      </c>
      <c r="U21" s="169" t="e">
        <f>S21+T21</f>
        <v>#REF!</v>
      </c>
      <c r="V21" s="169">
        <f>ROUND(N21*Q21,0)</f>
        <v>52</v>
      </c>
      <c r="X21" s="493" t="s">
        <v>518</v>
      </c>
      <c r="Y21" s="503" t="e">
        <f t="shared" ref="Y21:Z24" si="19">I21+S21</f>
        <v>#REF!</v>
      </c>
      <c r="Z21" s="503">
        <f t="shared" si="19"/>
        <v>749</v>
      </c>
      <c r="AA21" s="503" t="e">
        <f>Y21+Z21</f>
        <v>#REF!</v>
      </c>
      <c r="AB21" s="503">
        <f>L21+V21</f>
        <v>434</v>
      </c>
    </row>
    <row r="22" spans="1:28" x14ac:dyDescent="0.25">
      <c r="A22" s="493" t="s">
        <v>303</v>
      </c>
      <c r="B22" s="529">
        <f t="shared" si="12"/>
        <v>8.1799999999999998E-3</v>
      </c>
      <c r="C22" s="522" t="e">
        <f>#REF!</f>
        <v>#REF!</v>
      </c>
      <c r="D22" s="534">
        <f>+'May - Oct Capacity MSC by Class'!G27</f>
        <v>7.48</v>
      </c>
      <c r="E22" s="530">
        <f>+'Adj Sales Forecast'!D22</f>
        <v>161000000</v>
      </c>
      <c r="F22" s="8">
        <f>'[100]Adj Demand Forecast '!D8</f>
        <v>365040</v>
      </c>
      <c r="G22" s="8">
        <f t="shared" si="15"/>
        <v>141680000</v>
      </c>
      <c r="H22" s="8">
        <f t="shared" si="15"/>
        <v>321235</v>
      </c>
      <c r="I22" s="169" t="e">
        <f t="shared" si="16"/>
        <v>#REF!</v>
      </c>
      <c r="J22" s="169">
        <f t="shared" si="16"/>
        <v>2402838</v>
      </c>
      <c r="K22" s="169" t="e">
        <f>I22+J22</f>
        <v>#REF!</v>
      </c>
      <c r="L22" s="169">
        <f>ROUND(B22*G22,0)</f>
        <v>1158942</v>
      </c>
      <c r="M22" s="493"/>
      <c r="N22" s="501">
        <f>$B$8</f>
        <v>8.1799999999999998E-3</v>
      </c>
      <c r="O22" s="493" t="e">
        <f>#REF!</f>
        <v>#REF!</v>
      </c>
      <c r="P22" s="541">
        <f>'May Price Out'!P22</f>
        <v>6.92</v>
      </c>
      <c r="Q22" s="502">
        <f t="shared" si="17"/>
        <v>19320000</v>
      </c>
      <c r="R22" s="502">
        <f t="shared" si="17"/>
        <v>43805</v>
      </c>
      <c r="S22" s="169" t="e">
        <f t="shared" si="18"/>
        <v>#REF!</v>
      </c>
      <c r="T22" s="169">
        <f t="shared" si="18"/>
        <v>303131</v>
      </c>
      <c r="U22" s="169" t="e">
        <f>S22+T22</f>
        <v>#REF!</v>
      </c>
      <c r="V22" s="169">
        <f>ROUND(N22*Q22,0)</f>
        <v>158038</v>
      </c>
      <c r="X22" s="493" t="s">
        <v>303</v>
      </c>
      <c r="Y22" s="503" t="e">
        <f t="shared" si="19"/>
        <v>#REF!</v>
      </c>
      <c r="Z22" s="503">
        <f t="shared" si="19"/>
        <v>2705969</v>
      </c>
      <c r="AA22" s="503" t="e">
        <f>Y22+Z22</f>
        <v>#REF!</v>
      </c>
      <c r="AB22" s="503">
        <f>L22+V22</f>
        <v>1316980</v>
      </c>
    </row>
    <row r="23" spans="1:28" x14ac:dyDescent="0.25">
      <c r="A23" s="493" t="s">
        <v>305</v>
      </c>
      <c r="B23" s="529">
        <f t="shared" si="12"/>
        <v>8.1799999999999998E-3</v>
      </c>
      <c r="C23" s="522" t="e">
        <f>#REF!</f>
        <v>#REF!</v>
      </c>
      <c r="D23" s="534">
        <f>+'May - Oct Capacity MSC by Class'!G29</f>
        <v>4.9400000000000004</v>
      </c>
      <c r="E23" s="530">
        <f>+'Adj Sales Forecast'!D27</f>
        <v>1464000000</v>
      </c>
      <c r="F23" s="8">
        <f>'[100]Adj Demand Forecast '!D14</f>
        <v>4587246.2</v>
      </c>
      <c r="G23" s="8">
        <f t="shared" si="15"/>
        <v>1288320000</v>
      </c>
      <c r="H23" s="8">
        <f t="shared" si="15"/>
        <v>4036777</v>
      </c>
      <c r="I23" s="169" t="e">
        <f t="shared" si="16"/>
        <v>#REF!</v>
      </c>
      <c r="J23" s="169">
        <f t="shared" si="16"/>
        <v>19941678</v>
      </c>
      <c r="K23" s="169" t="e">
        <f>I23+J23</f>
        <v>#REF!</v>
      </c>
      <c r="L23" s="169">
        <f>ROUND(B23*G23,0)</f>
        <v>10538458</v>
      </c>
      <c r="M23" s="493"/>
      <c r="N23" s="501">
        <f>$B$8</f>
        <v>8.1799999999999998E-3</v>
      </c>
      <c r="O23" s="493" t="e">
        <f>#REF!</f>
        <v>#REF!</v>
      </c>
      <c r="P23" s="541">
        <f>'May Price Out'!P23</f>
        <v>4.57</v>
      </c>
      <c r="Q23" s="502">
        <f t="shared" si="17"/>
        <v>175680000</v>
      </c>
      <c r="R23" s="502">
        <f t="shared" si="17"/>
        <v>550469.20000000019</v>
      </c>
      <c r="S23" s="169" t="e">
        <f t="shared" si="18"/>
        <v>#REF!</v>
      </c>
      <c r="T23" s="169">
        <f t="shared" si="18"/>
        <v>2515644</v>
      </c>
      <c r="U23" s="169" t="e">
        <f>S23+T23</f>
        <v>#REF!</v>
      </c>
      <c r="V23" s="169">
        <f>ROUND(N23*Q23,0)</f>
        <v>1437062</v>
      </c>
      <c r="X23" s="493" t="s">
        <v>305</v>
      </c>
      <c r="Y23" s="503" t="e">
        <f t="shared" si="19"/>
        <v>#REF!</v>
      </c>
      <c r="Z23" s="503">
        <f t="shared" si="19"/>
        <v>22457322</v>
      </c>
      <c r="AA23" s="503" t="e">
        <f>Y23+Z23</f>
        <v>#REF!</v>
      </c>
      <c r="AB23" s="503">
        <f>L23+V23</f>
        <v>11975520</v>
      </c>
    </row>
    <row r="24" spans="1:28" x14ac:dyDescent="0.25">
      <c r="A24" s="493" t="s">
        <v>310</v>
      </c>
      <c r="B24" s="529">
        <f t="shared" si="12"/>
        <v>8.1799999999999998E-3</v>
      </c>
      <c r="C24" s="522" t="e">
        <f>#REF!</f>
        <v>#REF!</v>
      </c>
      <c r="D24" s="534">
        <f>+'May - Oct Capacity MSC by Class'!G33</f>
        <v>7.23</v>
      </c>
      <c r="E24" s="530">
        <f>+'Adj Sales Forecast'!D32</f>
        <v>9926790</v>
      </c>
      <c r="F24" s="8">
        <f>'[100]Adj Demand Forecast '!D20</f>
        <v>20000</v>
      </c>
      <c r="G24" s="8">
        <f t="shared" si="15"/>
        <v>8735575</v>
      </c>
      <c r="H24" s="8">
        <f t="shared" si="15"/>
        <v>17600</v>
      </c>
      <c r="I24" s="169" t="e">
        <f t="shared" si="16"/>
        <v>#REF!</v>
      </c>
      <c r="J24" s="169">
        <f t="shared" si="16"/>
        <v>127248</v>
      </c>
      <c r="K24" s="169" t="e">
        <f>I24+J24</f>
        <v>#REF!</v>
      </c>
      <c r="L24" s="169">
        <f>ROUND(B24*G24,0)</f>
        <v>71457</v>
      </c>
      <c r="M24" s="493"/>
      <c r="N24" s="501">
        <f>$B$8</f>
        <v>8.1799999999999998E-3</v>
      </c>
      <c r="O24" s="493" t="e">
        <f>#REF!</f>
        <v>#REF!</v>
      </c>
      <c r="P24" s="541">
        <f>'May Price Out'!P24</f>
        <v>6.69</v>
      </c>
      <c r="Q24" s="502">
        <f t="shared" si="17"/>
        <v>1191215</v>
      </c>
      <c r="R24" s="502">
        <f t="shared" si="17"/>
        <v>2400</v>
      </c>
      <c r="S24" s="169" t="e">
        <f t="shared" si="18"/>
        <v>#REF!</v>
      </c>
      <c r="T24" s="169">
        <f t="shared" si="18"/>
        <v>16056</v>
      </c>
      <c r="U24" s="169" t="e">
        <f>S24+T24</f>
        <v>#REF!</v>
      </c>
      <c r="V24" s="169">
        <f>ROUND(N24*Q24,0)</f>
        <v>9744</v>
      </c>
      <c r="X24" s="493" t="s">
        <v>310</v>
      </c>
      <c r="Y24" s="503" t="e">
        <f t="shared" si="19"/>
        <v>#REF!</v>
      </c>
      <c r="Z24" s="503">
        <f t="shared" si="19"/>
        <v>143304</v>
      </c>
      <c r="AA24" s="503" t="e">
        <f>Y24+Z24</f>
        <v>#REF!</v>
      </c>
      <c r="AB24" s="503">
        <f>L24+V24</f>
        <v>81201</v>
      </c>
    </row>
    <row r="25" spans="1:28" x14ac:dyDescent="0.25">
      <c r="A25" s="493"/>
      <c r="B25" s="522"/>
      <c r="C25" s="522"/>
      <c r="D25" s="522"/>
      <c r="E25" s="522"/>
      <c r="F25" s="8"/>
      <c r="G25" s="8"/>
      <c r="H25" s="8"/>
      <c r="I25" s="493"/>
      <c r="J25" s="493"/>
      <c r="K25" s="493"/>
      <c r="L25" s="493"/>
      <c r="M25" s="493"/>
      <c r="N25" s="501"/>
      <c r="O25" s="493"/>
      <c r="P25" s="541"/>
      <c r="Q25" s="493"/>
      <c r="R25" s="8"/>
      <c r="S25" s="169"/>
      <c r="T25" s="169"/>
      <c r="U25" s="169"/>
      <c r="V25" s="169"/>
      <c r="X25" s="493"/>
      <c r="Y25" s="503"/>
      <c r="Z25" s="503"/>
      <c r="AA25" s="503"/>
      <c r="AB25" s="503"/>
    </row>
    <row r="26" spans="1:28" x14ac:dyDescent="0.25">
      <c r="A26" s="493" t="s">
        <v>519</v>
      </c>
      <c r="B26" s="529">
        <f t="shared" si="12"/>
        <v>8.1799999999999998E-3</v>
      </c>
      <c r="C26" s="533" t="e">
        <f>#REF!</f>
        <v>#REF!</v>
      </c>
      <c r="D26" s="534">
        <f>+'May - Oct Capacity MSC by Class'!G45</f>
        <v>8.15</v>
      </c>
      <c r="E26" s="476">
        <f>+'Forecasted TOD kWh by Period'!D35</f>
        <v>73015000</v>
      </c>
      <c r="F26" s="8">
        <f>'[100]Forecasted TOD kW by Period'!I25</f>
        <v>27410</v>
      </c>
      <c r="G26" s="8">
        <f t="shared" ref="G26:G31" si="20">ROUND(E26*0.88,0)</f>
        <v>64253200</v>
      </c>
      <c r="H26" s="8">
        <f>ROUND(F26*0.88,0)</f>
        <v>24121</v>
      </c>
      <c r="I26" s="169" t="e">
        <f t="shared" ref="I26:J31" si="21">ROUND(C26*G26,0)</f>
        <v>#REF!</v>
      </c>
      <c r="J26" s="169">
        <f t="shared" si="21"/>
        <v>196586</v>
      </c>
      <c r="K26" s="169" t="e">
        <f>I26+J26</f>
        <v>#REF!</v>
      </c>
      <c r="L26" s="169">
        <f>ROUND(B26*G26,0)</f>
        <v>525591</v>
      </c>
      <c r="M26" s="493"/>
      <c r="N26" s="501">
        <f t="shared" ref="N26:N31" si="22">$B$8</f>
        <v>8.1799999999999998E-3</v>
      </c>
      <c r="O26" s="504" t="e">
        <f>#REF!</f>
        <v>#REF!</v>
      </c>
      <c r="P26" s="541">
        <f>'May Price Out'!P26</f>
        <v>7.54</v>
      </c>
      <c r="Q26" s="502">
        <f>E26-G26</f>
        <v>8761800</v>
      </c>
      <c r="R26" s="502">
        <f>F26-H26</f>
        <v>3289</v>
      </c>
      <c r="S26" s="169" t="e">
        <f t="shared" ref="S26:T31" si="23">ROUND(O26*Q26,0)</f>
        <v>#REF!</v>
      </c>
      <c r="T26" s="169">
        <f t="shared" si="23"/>
        <v>24799</v>
      </c>
      <c r="U26" s="169" t="e">
        <f t="shared" ref="U26:U31" si="24">S26+T26</f>
        <v>#REF!</v>
      </c>
      <c r="V26" s="169">
        <f t="shared" ref="V26:V31" si="25">ROUND(N26*Q26,0)</f>
        <v>71672</v>
      </c>
      <c r="X26" s="493" t="s">
        <v>519</v>
      </c>
      <c r="Y26" s="503" t="e">
        <f t="shared" ref="Y26:Z31" si="26">I26+S26</f>
        <v>#REF!</v>
      </c>
      <c r="Z26" s="503">
        <f t="shared" si="26"/>
        <v>221385</v>
      </c>
      <c r="AA26" s="503" t="e">
        <f t="shared" ref="AA26:AA31" si="27">Y26+Z26</f>
        <v>#REF!</v>
      </c>
      <c r="AB26" s="503">
        <f t="shared" ref="AB26:AB31" si="28">L26+V26</f>
        <v>597263</v>
      </c>
    </row>
    <row r="27" spans="1:28" x14ac:dyDescent="0.25">
      <c r="A27" s="493" t="s">
        <v>520</v>
      </c>
      <c r="B27" s="529">
        <f t="shared" si="12"/>
        <v>8.1799999999999998E-3</v>
      </c>
      <c r="C27" s="533" t="e">
        <f>#REF!</f>
        <v>#REF!</v>
      </c>
      <c r="D27" s="522"/>
      <c r="E27" s="476">
        <f>+'Forecasted TOD kWh by Period'!D36</f>
        <v>96985000</v>
      </c>
      <c r="F27" s="8"/>
      <c r="G27" s="8">
        <f t="shared" si="20"/>
        <v>85346800</v>
      </c>
      <c r="H27" s="8"/>
      <c r="I27" s="169" t="e">
        <f t="shared" si="21"/>
        <v>#REF!</v>
      </c>
      <c r="J27" s="169">
        <f t="shared" si="21"/>
        <v>0</v>
      </c>
      <c r="K27" s="169" t="e">
        <f>I27+J27</f>
        <v>#REF!</v>
      </c>
      <c r="L27" s="169">
        <f>ROUND(B27*G27,0)</f>
        <v>698137</v>
      </c>
      <c r="M27" s="493"/>
      <c r="N27" s="501">
        <f t="shared" si="22"/>
        <v>8.1799999999999998E-3</v>
      </c>
      <c r="O27" s="504" t="e">
        <f>#REF!</f>
        <v>#REF!</v>
      </c>
      <c r="P27" s="541">
        <f>'May Price Out'!P27</f>
        <v>0</v>
      </c>
      <c r="Q27" s="502">
        <f>E27-G27</f>
        <v>11638200</v>
      </c>
      <c r="R27" s="502"/>
      <c r="S27" s="169" t="e">
        <f t="shared" si="23"/>
        <v>#REF!</v>
      </c>
      <c r="T27" s="169">
        <f t="shared" si="23"/>
        <v>0</v>
      </c>
      <c r="U27" s="169" t="e">
        <f t="shared" si="24"/>
        <v>#REF!</v>
      </c>
      <c r="V27" s="169">
        <f t="shared" si="25"/>
        <v>95200</v>
      </c>
      <c r="X27" s="493" t="s">
        <v>520</v>
      </c>
      <c r="Y27" s="503" t="e">
        <f t="shared" si="26"/>
        <v>#REF!</v>
      </c>
      <c r="Z27" s="503">
        <f t="shared" si="26"/>
        <v>0</v>
      </c>
      <c r="AA27" s="503" t="e">
        <f t="shared" si="27"/>
        <v>#REF!</v>
      </c>
      <c r="AB27" s="503">
        <f t="shared" si="28"/>
        <v>793337</v>
      </c>
    </row>
    <row r="28" spans="1:28" x14ac:dyDescent="0.25">
      <c r="A28" s="493" t="s">
        <v>521</v>
      </c>
      <c r="B28" s="529">
        <f t="shared" si="12"/>
        <v>8.1799999999999998E-3</v>
      </c>
      <c r="C28" s="533" t="e">
        <f>#REF!</f>
        <v>#REF!</v>
      </c>
      <c r="D28" s="534">
        <f>+'May - Oct Capacity MSC by Class'!G46</f>
        <v>5.05</v>
      </c>
      <c r="E28" s="530">
        <f>+'Forecasted TOD kWh by Period'!D39</f>
        <v>758427300</v>
      </c>
      <c r="F28" s="8">
        <f>'[100]Forecasted TOD kW by Period'!I29</f>
        <v>234848</v>
      </c>
      <c r="G28" s="8">
        <f t="shared" si="20"/>
        <v>667416024</v>
      </c>
      <c r="H28" s="8">
        <f>ROUND(F28*0.88,0)</f>
        <v>206666</v>
      </c>
      <c r="I28" s="169" t="e">
        <f t="shared" si="21"/>
        <v>#REF!</v>
      </c>
      <c r="J28" s="169">
        <f t="shared" si="21"/>
        <v>1043663</v>
      </c>
      <c r="K28" s="169" t="e">
        <f>I28+J28</f>
        <v>#REF!</v>
      </c>
      <c r="L28" s="169">
        <f>ROUND(B28*G28,0)</f>
        <v>5459463</v>
      </c>
      <c r="M28" s="493"/>
      <c r="N28" s="501">
        <f t="shared" si="22"/>
        <v>8.1799999999999998E-3</v>
      </c>
      <c r="O28" s="504" t="e">
        <f>#REF!</f>
        <v>#REF!</v>
      </c>
      <c r="P28" s="541">
        <f>'May Price Out'!P28</f>
        <v>4.68</v>
      </c>
      <c r="Q28" s="502">
        <f>E28-G28</f>
        <v>91011276</v>
      </c>
      <c r="R28" s="502">
        <f>F28-H28</f>
        <v>28182</v>
      </c>
      <c r="S28" s="169" t="e">
        <f t="shared" si="23"/>
        <v>#REF!</v>
      </c>
      <c r="T28" s="169">
        <f t="shared" si="23"/>
        <v>131892</v>
      </c>
      <c r="U28" s="169" t="e">
        <f t="shared" si="24"/>
        <v>#REF!</v>
      </c>
      <c r="V28" s="169">
        <f t="shared" si="25"/>
        <v>744472</v>
      </c>
      <c r="X28" s="493" t="s">
        <v>521</v>
      </c>
      <c r="Y28" s="503" t="e">
        <f t="shared" si="26"/>
        <v>#REF!</v>
      </c>
      <c r="Z28" s="503">
        <f t="shared" si="26"/>
        <v>1175555</v>
      </c>
      <c r="AA28" s="503" t="e">
        <f t="shared" si="27"/>
        <v>#REF!</v>
      </c>
      <c r="AB28" s="503">
        <f t="shared" si="28"/>
        <v>6203935</v>
      </c>
    </row>
    <row r="29" spans="1:28" x14ac:dyDescent="0.25">
      <c r="A29" s="493" t="s">
        <v>522</v>
      </c>
      <c r="B29" s="529">
        <f t="shared" si="12"/>
        <v>8.1799999999999998E-3</v>
      </c>
      <c r="C29" s="533" t="e">
        <f>#REF!</f>
        <v>#REF!</v>
      </c>
      <c r="D29" s="522"/>
      <c r="E29" s="530">
        <f>+'Forecasted TOD kWh by Period'!D40</f>
        <v>834572700</v>
      </c>
      <c r="F29" s="8"/>
      <c r="G29" s="8">
        <f t="shared" si="20"/>
        <v>734423976</v>
      </c>
      <c r="H29" s="8"/>
      <c r="I29" s="169" t="e">
        <f t="shared" si="21"/>
        <v>#REF!</v>
      </c>
      <c r="J29" s="169">
        <f t="shared" si="21"/>
        <v>0</v>
      </c>
      <c r="K29" s="169" t="e">
        <f>I29+J29</f>
        <v>#REF!</v>
      </c>
      <c r="L29" s="169">
        <f>ROUND(B29*G29,0)</f>
        <v>6007588</v>
      </c>
      <c r="M29" s="493"/>
      <c r="N29" s="501">
        <f t="shared" si="22"/>
        <v>8.1799999999999998E-3</v>
      </c>
      <c r="O29" s="504" t="e">
        <f>#REF!</f>
        <v>#REF!</v>
      </c>
      <c r="P29" s="541">
        <f>'May Price Out'!P29</f>
        <v>0</v>
      </c>
      <c r="Q29" s="502">
        <f>E29-G29</f>
        <v>100148724</v>
      </c>
      <c r="R29" s="502"/>
      <c r="S29" s="169" t="e">
        <f t="shared" si="23"/>
        <v>#REF!</v>
      </c>
      <c r="T29" s="169">
        <f t="shared" si="23"/>
        <v>0</v>
      </c>
      <c r="U29" s="169" t="e">
        <f t="shared" si="24"/>
        <v>#REF!</v>
      </c>
      <c r="V29" s="169">
        <f t="shared" si="25"/>
        <v>819217</v>
      </c>
      <c r="X29" s="493" t="s">
        <v>522</v>
      </c>
      <c r="Y29" s="503" t="e">
        <f t="shared" si="26"/>
        <v>#REF!</v>
      </c>
      <c r="Z29" s="503">
        <f t="shared" si="26"/>
        <v>0</v>
      </c>
      <c r="AA29" s="503" t="e">
        <f t="shared" si="27"/>
        <v>#REF!</v>
      </c>
      <c r="AB29" s="503">
        <f t="shared" si="28"/>
        <v>6826805</v>
      </c>
    </row>
    <row r="30" spans="1:28" x14ac:dyDescent="0.25">
      <c r="A30" s="493" t="s">
        <v>523</v>
      </c>
      <c r="B30" s="529">
        <f t="shared" si="12"/>
        <v>8.1799999999999998E-3</v>
      </c>
      <c r="C30" s="533" t="e">
        <f>#REF!</f>
        <v>#REF!</v>
      </c>
      <c r="D30" s="534">
        <f>+'May - Oct Capacity MSC by Class'!G47</f>
        <v>7.69</v>
      </c>
      <c r="E30" s="476">
        <f>+'Adj Sales Forecast'!D33</f>
        <v>0</v>
      </c>
      <c r="F30" s="8">
        <f>'[100]Adj Demand Forecast '!B21</f>
        <v>0</v>
      </c>
      <c r="G30" s="8">
        <f t="shared" si="20"/>
        <v>0</v>
      </c>
      <c r="H30" s="8">
        <f>ROUND(F30*0.88,0)</f>
        <v>0</v>
      </c>
      <c r="I30" s="169" t="e">
        <f t="shared" si="21"/>
        <v>#REF!</v>
      </c>
      <c r="J30" s="169">
        <f t="shared" si="21"/>
        <v>0</v>
      </c>
      <c r="K30" s="169" t="e">
        <f>I30+J30</f>
        <v>#REF!</v>
      </c>
      <c r="L30" s="169">
        <f>ROUND(B30*G30,0)</f>
        <v>0</v>
      </c>
      <c r="M30" s="493"/>
      <c r="N30" s="501">
        <f t="shared" si="22"/>
        <v>8.1799999999999998E-3</v>
      </c>
      <c r="O30" s="504" t="e">
        <f>#REF!</f>
        <v>#REF!</v>
      </c>
      <c r="P30" s="541">
        <f>'May Price Out'!P30</f>
        <v>7.12</v>
      </c>
      <c r="Q30" s="65">
        <f>E30-G30</f>
        <v>0</v>
      </c>
      <c r="R30" s="65">
        <f>F30-H30</f>
        <v>0</v>
      </c>
      <c r="S30" s="169" t="e">
        <f t="shared" si="23"/>
        <v>#REF!</v>
      </c>
      <c r="T30" s="169">
        <f t="shared" si="23"/>
        <v>0</v>
      </c>
      <c r="U30" s="169" t="e">
        <f t="shared" si="24"/>
        <v>#REF!</v>
      </c>
      <c r="V30" s="169">
        <f t="shared" si="25"/>
        <v>0</v>
      </c>
      <c r="X30" s="493" t="s">
        <v>523</v>
      </c>
      <c r="Y30" s="503" t="e">
        <f t="shared" si="26"/>
        <v>#REF!</v>
      </c>
      <c r="Z30" s="503">
        <f t="shared" si="26"/>
        <v>0</v>
      </c>
      <c r="AA30" s="503" t="e">
        <f t="shared" si="27"/>
        <v>#REF!</v>
      </c>
      <c r="AB30" s="503">
        <f t="shared" si="28"/>
        <v>0</v>
      </c>
    </row>
    <row r="31" spans="1:28" x14ac:dyDescent="0.25">
      <c r="A31" s="493" t="s">
        <v>524</v>
      </c>
      <c r="B31" s="529">
        <f t="shared" si="12"/>
        <v>8.1799999999999998E-3</v>
      </c>
      <c r="C31" s="533" t="e">
        <f>#REF!</f>
        <v>#REF!</v>
      </c>
      <c r="D31" s="522"/>
      <c r="E31" s="535">
        <v>0</v>
      </c>
      <c r="F31" s="8"/>
      <c r="G31" s="8">
        <f t="shared" si="20"/>
        <v>0</v>
      </c>
      <c r="H31" s="8"/>
      <c r="I31" s="169" t="e">
        <f t="shared" si="21"/>
        <v>#REF!</v>
      </c>
      <c r="J31" s="169">
        <f t="shared" si="21"/>
        <v>0</v>
      </c>
      <c r="K31" s="169" t="e">
        <f>ROUND(D31*I31,0)</f>
        <v>#REF!</v>
      </c>
      <c r="L31" s="169">
        <f>ROUND(E31*J31,0)</f>
        <v>0</v>
      </c>
      <c r="M31" s="493"/>
      <c r="N31" s="501">
        <f t="shared" si="22"/>
        <v>8.1799999999999998E-3</v>
      </c>
      <c r="O31" s="504" t="e">
        <f>#REF!</f>
        <v>#REF!</v>
      </c>
      <c r="P31" s="541">
        <f>'May Price Out'!P31</f>
        <v>0</v>
      </c>
      <c r="Q31" s="65">
        <v>0</v>
      </c>
      <c r="R31" s="65">
        <v>0</v>
      </c>
      <c r="S31" s="169" t="e">
        <f t="shared" si="23"/>
        <v>#REF!</v>
      </c>
      <c r="T31" s="169">
        <f t="shared" si="23"/>
        <v>0</v>
      </c>
      <c r="U31" s="169" t="e">
        <f t="shared" si="24"/>
        <v>#REF!</v>
      </c>
      <c r="V31" s="169">
        <f t="shared" si="25"/>
        <v>0</v>
      </c>
      <c r="X31" s="493" t="s">
        <v>524</v>
      </c>
      <c r="Y31" s="503" t="e">
        <f t="shared" si="26"/>
        <v>#REF!</v>
      </c>
      <c r="Z31" s="503">
        <f t="shared" si="26"/>
        <v>0</v>
      </c>
      <c r="AA31" s="503" t="e">
        <f t="shared" si="27"/>
        <v>#REF!</v>
      </c>
      <c r="AB31" s="503">
        <f t="shared" si="28"/>
        <v>0</v>
      </c>
    </row>
    <row r="32" spans="1:28" x14ac:dyDescent="0.25">
      <c r="A32" s="493"/>
      <c r="B32" s="533"/>
      <c r="C32" s="533"/>
      <c r="D32" s="522"/>
      <c r="E32" s="522"/>
      <c r="F32" s="8"/>
      <c r="G32" s="8"/>
      <c r="H32" s="8"/>
      <c r="I32" s="493"/>
      <c r="J32" s="493"/>
      <c r="K32" s="493"/>
      <c r="L32" s="493"/>
      <c r="M32" s="493"/>
      <c r="N32" s="501"/>
      <c r="O32" s="504"/>
      <c r="P32" s="541"/>
      <c r="Q32" s="493"/>
      <c r="R32" s="8"/>
      <c r="S32" s="493"/>
      <c r="T32" s="493"/>
      <c r="U32" s="493"/>
      <c r="V32" s="493"/>
      <c r="X32" s="493"/>
      <c r="Y32" s="503"/>
      <c r="Z32" s="503"/>
      <c r="AA32" s="503"/>
      <c r="AB32" s="503"/>
    </row>
    <row r="33" spans="1:28" x14ac:dyDescent="0.25">
      <c r="A33" s="493" t="s">
        <v>525</v>
      </c>
      <c r="B33" s="529">
        <f t="shared" si="12"/>
        <v>8.1799999999999998E-3</v>
      </c>
      <c r="C33" s="533" t="e">
        <f>#REF!</f>
        <v>#REF!</v>
      </c>
      <c r="D33" s="534">
        <f>+'May - Oct Capacity MSC by Class'!G24</f>
        <v>5.9</v>
      </c>
      <c r="E33" s="530">
        <f>+'Forecasted TOD kWh by Period'!D8</f>
        <v>3919500</v>
      </c>
      <c r="F33" s="8">
        <f>'[100]Forecasted TOD kW by Period'!I5</f>
        <v>18434</v>
      </c>
      <c r="G33" s="8">
        <f t="shared" ref="G33:G41" si="29">ROUND(E33*0.88,0)</f>
        <v>3449160</v>
      </c>
      <c r="H33" s="8">
        <f>ROUND(F33*0.88,0)</f>
        <v>16222</v>
      </c>
      <c r="I33" s="169" t="e">
        <f t="shared" ref="I33:J42" si="30">ROUND(C33*G33,0)</f>
        <v>#REF!</v>
      </c>
      <c r="J33" s="169">
        <f t="shared" si="30"/>
        <v>95710</v>
      </c>
      <c r="K33" s="169" t="e">
        <f t="shared" ref="K33:K42" si="31">I33+J33</f>
        <v>#REF!</v>
      </c>
      <c r="L33" s="169">
        <f t="shared" ref="L33:L42" si="32">ROUND(B33*G33,0)</f>
        <v>28214</v>
      </c>
      <c r="M33" s="493"/>
      <c r="N33" s="501">
        <f t="shared" ref="N33:N42" si="33">$B$8</f>
        <v>8.1799999999999998E-3</v>
      </c>
      <c r="O33" s="504" t="e">
        <f>#REF!</f>
        <v>#REF!</v>
      </c>
      <c r="P33" s="541">
        <f>'May Price Out'!P33</f>
        <v>5.46</v>
      </c>
      <c r="Q33" s="502">
        <f t="shared" ref="Q33:Q42" si="34">E33-G33</f>
        <v>470340</v>
      </c>
      <c r="R33" s="502">
        <f>F33-H33</f>
        <v>2212</v>
      </c>
      <c r="S33" s="169" t="e">
        <f t="shared" ref="S33:T42" si="35">ROUND(O33*Q33,0)</f>
        <v>#REF!</v>
      </c>
      <c r="T33" s="169">
        <f t="shared" si="35"/>
        <v>12078</v>
      </c>
      <c r="U33" s="169" t="e">
        <f t="shared" ref="U33:U42" si="36">S33+T33</f>
        <v>#REF!</v>
      </c>
      <c r="V33" s="169">
        <f t="shared" ref="V33:V42" si="37">ROUND(N33*Q33,0)</f>
        <v>3847</v>
      </c>
      <c r="X33" s="493" t="s">
        <v>525</v>
      </c>
      <c r="Y33" s="503" t="e">
        <f t="shared" ref="Y33:Z42" si="38">I33+S33</f>
        <v>#REF!</v>
      </c>
      <c r="Z33" s="503">
        <f t="shared" si="38"/>
        <v>107788</v>
      </c>
      <c r="AA33" s="503" t="e">
        <f t="shared" ref="AA33:AA42" si="39">Y33+Z33</f>
        <v>#REF!</v>
      </c>
      <c r="AB33" s="503">
        <f t="shared" ref="AB33:AB42" si="40">L33+V33</f>
        <v>32061</v>
      </c>
    </row>
    <row r="34" spans="1:28" x14ac:dyDescent="0.25">
      <c r="A34" s="493" t="s">
        <v>526</v>
      </c>
      <c r="B34" s="529">
        <f t="shared" si="12"/>
        <v>8.1799999999999998E-3</v>
      </c>
      <c r="C34" s="533" t="e">
        <f>#REF!</f>
        <v>#REF!</v>
      </c>
      <c r="D34" s="522"/>
      <c r="E34" s="530">
        <f>+'Forecasted TOD kWh by Period'!D9</f>
        <v>5080500</v>
      </c>
      <c r="F34" s="8"/>
      <c r="G34" s="8">
        <f t="shared" si="29"/>
        <v>4470840</v>
      </c>
      <c r="H34" s="8"/>
      <c r="I34" s="169" t="e">
        <f t="shared" si="30"/>
        <v>#REF!</v>
      </c>
      <c r="J34" s="169">
        <f t="shared" si="30"/>
        <v>0</v>
      </c>
      <c r="K34" s="169" t="e">
        <f t="shared" si="31"/>
        <v>#REF!</v>
      </c>
      <c r="L34" s="169">
        <f t="shared" si="32"/>
        <v>36571</v>
      </c>
      <c r="M34" s="493"/>
      <c r="N34" s="501">
        <f t="shared" si="33"/>
        <v>8.1799999999999998E-3</v>
      </c>
      <c r="O34" s="504" t="e">
        <f>#REF!</f>
        <v>#REF!</v>
      </c>
      <c r="P34" s="541">
        <f>'May Price Out'!P34</f>
        <v>0</v>
      </c>
      <c r="Q34" s="502">
        <f t="shared" si="34"/>
        <v>609660</v>
      </c>
      <c r="R34" s="502"/>
      <c r="S34" s="169" t="e">
        <f t="shared" si="35"/>
        <v>#REF!</v>
      </c>
      <c r="T34" s="169">
        <f t="shared" si="35"/>
        <v>0</v>
      </c>
      <c r="U34" s="169" t="e">
        <f t="shared" si="36"/>
        <v>#REF!</v>
      </c>
      <c r="V34" s="169">
        <f t="shared" si="37"/>
        <v>4987</v>
      </c>
      <c r="X34" s="493" t="s">
        <v>526</v>
      </c>
      <c r="Y34" s="503" t="e">
        <f t="shared" si="38"/>
        <v>#REF!</v>
      </c>
      <c r="Z34" s="503">
        <f t="shared" si="38"/>
        <v>0</v>
      </c>
      <c r="AA34" s="503" t="e">
        <f t="shared" si="39"/>
        <v>#REF!</v>
      </c>
      <c r="AB34" s="503">
        <f t="shared" si="40"/>
        <v>41558</v>
      </c>
    </row>
    <row r="35" spans="1:28" x14ac:dyDescent="0.25">
      <c r="A35" s="493" t="s">
        <v>527</v>
      </c>
      <c r="B35" s="529">
        <f t="shared" si="12"/>
        <v>8.1799999999999998E-3</v>
      </c>
      <c r="C35" s="533" t="e">
        <f>#REF!</f>
        <v>#REF!</v>
      </c>
      <c r="D35" s="534">
        <f>+'May - Oct Capacity MSC by Class'!G28</f>
        <v>5.0199999999999996</v>
      </c>
      <c r="E35" s="530">
        <f>+'Forecasted TOD kWh by Period'!D12</f>
        <v>10051000</v>
      </c>
      <c r="F35" s="8">
        <f>'[100]Forecasted TOD kW by Period'!I9</f>
        <v>26889</v>
      </c>
      <c r="G35" s="8">
        <f t="shared" si="29"/>
        <v>8844880</v>
      </c>
      <c r="H35" s="8">
        <f>ROUND(F35*0.88,0)</f>
        <v>23662</v>
      </c>
      <c r="I35" s="169" t="e">
        <f t="shared" si="30"/>
        <v>#REF!</v>
      </c>
      <c r="J35" s="169">
        <f t="shared" si="30"/>
        <v>118783</v>
      </c>
      <c r="K35" s="169" t="e">
        <f t="shared" si="31"/>
        <v>#REF!</v>
      </c>
      <c r="L35" s="169">
        <f t="shared" si="32"/>
        <v>72351</v>
      </c>
      <c r="M35" s="493"/>
      <c r="N35" s="501">
        <f t="shared" si="33"/>
        <v>8.1799999999999998E-3</v>
      </c>
      <c r="O35" s="504" t="e">
        <f>#REF!</f>
        <v>#REF!</v>
      </c>
      <c r="P35" s="541">
        <f>'May Price Out'!P35</f>
        <v>4.6500000000000004</v>
      </c>
      <c r="Q35" s="502">
        <f t="shared" si="34"/>
        <v>1206120</v>
      </c>
      <c r="R35" s="502">
        <f>F35-H35</f>
        <v>3227</v>
      </c>
      <c r="S35" s="169" t="e">
        <f t="shared" si="35"/>
        <v>#REF!</v>
      </c>
      <c r="T35" s="169">
        <f t="shared" si="35"/>
        <v>15006</v>
      </c>
      <c r="U35" s="169" t="e">
        <f t="shared" si="36"/>
        <v>#REF!</v>
      </c>
      <c r="V35" s="169">
        <f t="shared" si="37"/>
        <v>9866</v>
      </c>
      <c r="X35" s="493" t="s">
        <v>527</v>
      </c>
      <c r="Y35" s="503" t="e">
        <f t="shared" si="38"/>
        <v>#REF!</v>
      </c>
      <c r="Z35" s="503">
        <f t="shared" si="38"/>
        <v>133789</v>
      </c>
      <c r="AA35" s="503" t="e">
        <f t="shared" si="39"/>
        <v>#REF!</v>
      </c>
      <c r="AB35" s="503">
        <f t="shared" si="40"/>
        <v>82217</v>
      </c>
    </row>
    <row r="36" spans="1:28" x14ac:dyDescent="0.25">
      <c r="A36" s="493" t="s">
        <v>528</v>
      </c>
      <c r="B36" s="529">
        <f t="shared" si="12"/>
        <v>8.1799999999999998E-3</v>
      </c>
      <c r="C36" s="533" t="e">
        <f>#REF!</f>
        <v>#REF!</v>
      </c>
      <c r="D36" s="522"/>
      <c r="E36" s="530">
        <f>+'Forecasted TOD kWh by Period'!D13</f>
        <v>12949000</v>
      </c>
      <c r="F36" s="8"/>
      <c r="G36" s="8">
        <f t="shared" si="29"/>
        <v>11395120</v>
      </c>
      <c r="H36" s="8"/>
      <c r="I36" s="169" t="e">
        <f t="shared" si="30"/>
        <v>#REF!</v>
      </c>
      <c r="J36" s="169">
        <f t="shared" si="30"/>
        <v>0</v>
      </c>
      <c r="K36" s="169" t="e">
        <f t="shared" si="31"/>
        <v>#REF!</v>
      </c>
      <c r="L36" s="169">
        <f t="shared" si="32"/>
        <v>93212</v>
      </c>
      <c r="M36" s="493"/>
      <c r="N36" s="501">
        <f t="shared" si="33"/>
        <v>8.1799999999999998E-3</v>
      </c>
      <c r="O36" s="504" t="e">
        <f>#REF!</f>
        <v>#REF!</v>
      </c>
      <c r="P36" s="541">
        <f>'May Price Out'!P36</f>
        <v>0</v>
      </c>
      <c r="Q36" s="502">
        <f t="shared" si="34"/>
        <v>1553880</v>
      </c>
      <c r="R36" s="502"/>
      <c r="S36" s="169" t="e">
        <f t="shared" si="35"/>
        <v>#REF!</v>
      </c>
      <c r="T36" s="169">
        <f t="shared" si="35"/>
        <v>0</v>
      </c>
      <c r="U36" s="169" t="e">
        <f t="shared" si="36"/>
        <v>#REF!</v>
      </c>
      <c r="V36" s="169">
        <f t="shared" si="37"/>
        <v>12711</v>
      </c>
      <c r="X36" s="493" t="s">
        <v>528</v>
      </c>
      <c r="Y36" s="503" t="e">
        <f t="shared" si="38"/>
        <v>#REF!</v>
      </c>
      <c r="Z36" s="503">
        <f t="shared" si="38"/>
        <v>0</v>
      </c>
      <c r="AA36" s="503" t="e">
        <f t="shared" si="39"/>
        <v>#REF!</v>
      </c>
      <c r="AB36" s="503">
        <f t="shared" si="40"/>
        <v>105923</v>
      </c>
    </row>
    <row r="37" spans="1:28" x14ac:dyDescent="0.25">
      <c r="A37" s="493" t="s">
        <v>529</v>
      </c>
      <c r="B37" s="529">
        <f t="shared" si="12"/>
        <v>8.1799999999999998E-3</v>
      </c>
      <c r="C37" s="533" t="e">
        <f>#REF!</f>
        <v>#REF!</v>
      </c>
      <c r="D37" s="534">
        <f>+'May - Oct Capacity MSC by Class'!G31</f>
        <v>5.59</v>
      </c>
      <c r="E37" s="530">
        <f>+'Forecasted TOD kWh by Period'!D16</f>
        <v>352704000</v>
      </c>
      <c r="F37" s="8">
        <f>'[100]Forecasted TOD kW by Period'!I13</f>
        <v>1553297</v>
      </c>
      <c r="G37" s="8">
        <f t="shared" si="29"/>
        <v>310379520</v>
      </c>
      <c r="H37" s="8">
        <f>ROUND(F37*0.88,0)</f>
        <v>1366901</v>
      </c>
      <c r="I37" s="169" t="e">
        <f t="shared" si="30"/>
        <v>#REF!</v>
      </c>
      <c r="J37" s="169">
        <f t="shared" si="30"/>
        <v>7640977</v>
      </c>
      <c r="K37" s="169" t="e">
        <f t="shared" si="31"/>
        <v>#REF!</v>
      </c>
      <c r="L37" s="169">
        <f t="shared" si="32"/>
        <v>2538904</v>
      </c>
      <c r="M37" s="493"/>
      <c r="N37" s="501">
        <f t="shared" si="33"/>
        <v>8.1799999999999998E-3</v>
      </c>
      <c r="O37" s="504" t="e">
        <f>#REF!</f>
        <v>#REF!</v>
      </c>
      <c r="P37" s="541">
        <f>'May Price Out'!P37</f>
        <v>5.17</v>
      </c>
      <c r="Q37" s="502">
        <f t="shared" si="34"/>
        <v>42324480</v>
      </c>
      <c r="R37" s="502">
        <f>F37-H37</f>
        <v>186396</v>
      </c>
      <c r="S37" s="169" t="e">
        <f t="shared" si="35"/>
        <v>#REF!</v>
      </c>
      <c r="T37" s="169">
        <f t="shared" si="35"/>
        <v>963667</v>
      </c>
      <c r="U37" s="169" t="e">
        <f t="shared" si="36"/>
        <v>#REF!</v>
      </c>
      <c r="V37" s="169">
        <f t="shared" si="37"/>
        <v>346214</v>
      </c>
      <c r="X37" s="493" t="s">
        <v>529</v>
      </c>
      <c r="Y37" s="503" t="e">
        <f t="shared" si="38"/>
        <v>#REF!</v>
      </c>
      <c r="Z37" s="503">
        <f t="shared" si="38"/>
        <v>8604644</v>
      </c>
      <c r="AA37" s="503" t="e">
        <f t="shared" si="39"/>
        <v>#REF!</v>
      </c>
      <c r="AB37" s="503">
        <f t="shared" si="40"/>
        <v>2885118</v>
      </c>
    </row>
    <row r="38" spans="1:28" x14ac:dyDescent="0.25">
      <c r="A38" s="493" t="s">
        <v>530</v>
      </c>
      <c r="B38" s="529">
        <f t="shared" si="12"/>
        <v>8.1799999999999998E-3</v>
      </c>
      <c r="C38" s="533" t="e">
        <f>#REF!</f>
        <v>#REF!</v>
      </c>
      <c r="D38" s="522"/>
      <c r="E38" s="530">
        <f>+'Forecasted TOD kWh by Period'!D17</f>
        <v>351296000</v>
      </c>
      <c r="F38" s="8"/>
      <c r="G38" s="8">
        <f t="shared" si="29"/>
        <v>309140480</v>
      </c>
      <c r="H38" s="8"/>
      <c r="I38" s="169" t="e">
        <f t="shared" si="30"/>
        <v>#REF!</v>
      </c>
      <c r="J38" s="169">
        <f t="shared" si="30"/>
        <v>0</v>
      </c>
      <c r="K38" s="169" t="e">
        <f t="shared" si="31"/>
        <v>#REF!</v>
      </c>
      <c r="L38" s="169">
        <f t="shared" si="32"/>
        <v>2528769</v>
      </c>
      <c r="M38" s="493"/>
      <c r="N38" s="501">
        <f t="shared" si="33"/>
        <v>8.1799999999999998E-3</v>
      </c>
      <c r="O38" s="504" t="e">
        <f>#REF!</f>
        <v>#REF!</v>
      </c>
      <c r="P38" s="541">
        <f>'May Price Out'!P38</f>
        <v>0</v>
      </c>
      <c r="Q38" s="502">
        <f t="shared" si="34"/>
        <v>42155520</v>
      </c>
      <c r="R38" s="502"/>
      <c r="S38" s="169" t="e">
        <f t="shared" si="35"/>
        <v>#REF!</v>
      </c>
      <c r="T38" s="169">
        <f t="shared" si="35"/>
        <v>0</v>
      </c>
      <c r="U38" s="169" t="e">
        <f t="shared" si="36"/>
        <v>#REF!</v>
      </c>
      <c r="V38" s="169">
        <f t="shared" si="37"/>
        <v>344832</v>
      </c>
      <c r="X38" s="493" t="s">
        <v>530</v>
      </c>
      <c r="Y38" s="503" t="e">
        <f t="shared" si="38"/>
        <v>#REF!</v>
      </c>
      <c r="Z38" s="503">
        <f t="shared" si="38"/>
        <v>0</v>
      </c>
      <c r="AA38" s="503" t="e">
        <f t="shared" si="39"/>
        <v>#REF!</v>
      </c>
      <c r="AB38" s="503">
        <f t="shared" si="40"/>
        <v>2873601</v>
      </c>
    </row>
    <row r="39" spans="1:28" x14ac:dyDescent="0.25">
      <c r="A39" s="493" t="s">
        <v>531</v>
      </c>
      <c r="B39" s="529">
        <f t="shared" si="12"/>
        <v>8.1799999999999998E-3</v>
      </c>
      <c r="C39" s="533" t="e">
        <f>#REF!</f>
        <v>#REF!</v>
      </c>
      <c r="D39" s="534">
        <f>+'May - Oct Capacity MSC by Class'!G34</f>
        <v>9.07</v>
      </c>
      <c r="E39" s="530">
        <f>+'Forecasted TOD kWh by Period'!D20</f>
        <v>4801500</v>
      </c>
      <c r="F39" s="8">
        <f>'[100]Forecasted TOD kW by Period'!I17</f>
        <v>21995</v>
      </c>
      <c r="G39" s="8">
        <f t="shared" si="29"/>
        <v>4225320</v>
      </c>
      <c r="H39" s="8">
        <f>ROUND(F39*0.88,0)</f>
        <v>19356</v>
      </c>
      <c r="I39" s="169" t="e">
        <f t="shared" si="30"/>
        <v>#REF!</v>
      </c>
      <c r="J39" s="169">
        <f t="shared" si="30"/>
        <v>175559</v>
      </c>
      <c r="K39" s="169" t="e">
        <f t="shared" si="31"/>
        <v>#REF!</v>
      </c>
      <c r="L39" s="169">
        <f t="shared" si="32"/>
        <v>34563</v>
      </c>
      <c r="M39" s="493"/>
      <c r="N39" s="501">
        <f t="shared" si="33"/>
        <v>8.1799999999999998E-3</v>
      </c>
      <c r="O39" s="504" t="e">
        <f>#REF!</f>
        <v>#REF!</v>
      </c>
      <c r="P39" s="541">
        <f>'May Price Out'!P39</f>
        <v>8.4</v>
      </c>
      <c r="Q39" s="502">
        <f t="shared" si="34"/>
        <v>576180</v>
      </c>
      <c r="R39" s="502">
        <f>F39-H39</f>
        <v>2639</v>
      </c>
      <c r="S39" s="169" t="e">
        <f t="shared" si="35"/>
        <v>#REF!</v>
      </c>
      <c r="T39" s="169">
        <f t="shared" si="35"/>
        <v>22168</v>
      </c>
      <c r="U39" s="169" t="e">
        <f t="shared" si="36"/>
        <v>#REF!</v>
      </c>
      <c r="V39" s="169">
        <f t="shared" si="37"/>
        <v>4713</v>
      </c>
      <c r="X39" s="493" t="s">
        <v>531</v>
      </c>
      <c r="Y39" s="503" t="e">
        <f t="shared" si="38"/>
        <v>#REF!</v>
      </c>
      <c r="Z39" s="503">
        <f t="shared" si="38"/>
        <v>197727</v>
      </c>
      <c r="AA39" s="503" t="e">
        <f t="shared" si="39"/>
        <v>#REF!</v>
      </c>
      <c r="AB39" s="503">
        <f t="shared" si="40"/>
        <v>39276</v>
      </c>
    </row>
    <row r="40" spans="1:28" x14ac:dyDescent="0.25">
      <c r="A40" s="493" t="s">
        <v>532</v>
      </c>
      <c r="B40" s="529">
        <f t="shared" si="12"/>
        <v>8.1799999999999998E-3</v>
      </c>
      <c r="C40" s="533" t="e">
        <f>#REF!</f>
        <v>#REF!</v>
      </c>
      <c r="D40" s="522"/>
      <c r="E40" s="530">
        <f>+'Forecasted TOD kWh by Period'!D21</f>
        <v>6198500</v>
      </c>
      <c r="F40" s="8"/>
      <c r="G40" s="8">
        <f t="shared" si="29"/>
        <v>5454680</v>
      </c>
      <c r="H40" s="8"/>
      <c r="I40" s="169" t="e">
        <f t="shared" si="30"/>
        <v>#REF!</v>
      </c>
      <c r="J40" s="169">
        <f t="shared" si="30"/>
        <v>0</v>
      </c>
      <c r="K40" s="169" t="e">
        <f t="shared" si="31"/>
        <v>#REF!</v>
      </c>
      <c r="L40" s="169">
        <f t="shared" si="32"/>
        <v>44619</v>
      </c>
      <c r="M40" s="493"/>
      <c r="N40" s="501">
        <f t="shared" si="33"/>
        <v>8.1799999999999998E-3</v>
      </c>
      <c r="O40" s="504" t="e">
        <f>#REF!</f>
        <v>#REF!</v>
      </c>
      <c r="P40" s="541">
        <f>'May Price Out'!P40</f>
        <v>0</v>
      </c>
      <c r="Q40" s="502">
        <f t="shared" si="34"/>
        <v>743820</v>
      </c>
      <c r="R40" s="502"/>
      <c r="S40" s="169" t="e">
        <f t="shared" si="35"/>
        <v>#REF!</v>
      </c>
      <c r="T40" s="169">
        <f t="shared" si="35"/>
        <v>0</v>
      </c>
      <c r="U40" s="169" t="e">
        <f t="shared" si="36"/>
        <v>#REF!</v>
      </c>
      <c r="V40" s="169">
        <f t="shared" si="37"/>
        <v>6084</v>
      </c>
      <c r="X40" s="493" t="s">
        <v>532</v>
      </c>
      <c r="Y40" s="503" t="e">
        <f t="shared" si="38"/>
        <v>#REF!</v>
      </c>
      <c r="Z40" s="503">
        <f t="shared" si="38"/>
        <v>0</v>
      </c>
      <c r="AA40" s="503" t="e">
        <f t="shared" si="39"/>
        <v>#REF!</v>
      </c>
      <c r="AB40" s="503">
        <f t="shared" si="40"/>
        <v>50703</v>
      </c>
    </row>
    <row r="41" spans="1:28" x14ac:dyDescent="0.25">
      <c r="A41" s="493" t="s">
        <v>533</v>
      </c>
      <c r="B41" s="529">
        <f t="shared" si="12"/>
        <v>8.1799999999999998E-3</v>
      </c>
      <c r="C41" s="533" t="e">
        <f>#REF!</f>
        <v>#REF!</v>
      </c>
      <c r="D41" s="534">
        <f>+'May - Oct Capacity MSC by Class'!G35</f>
        <v>0.08</v>
      </c>
      <c r="E41" s="530">
        <f>+'Forecasted TOD kWh by Period'!D24</f>
        <v>485964</v>
      </c>
      <c r="F41" s="8">
        <f>'[100]Forecasted TOD kW by Period'!I21</f>
        <v>10497</v>
      </c>
      <c r="G41" s="8">
        <f t="shared" si="29"/>
        <v>427648</v>
      </c>
      <c r="H41" s="8">
        <f>ROUND(F41*0.88,0)</f>
        <v>9237</v>
      </c>
      <c r="I41" s="169" t="e">
        <f t="shared" si="30"/>
        <v>#REF!</v>
      </c>
      <c r="J41" s="169">
        <f t="shared" si="30"/>
        <v>739</v>
      </c>
      <c r="K41" s="169" t="e">
        <f t="shared" si="31"/>
        <v>#REF!</v>
      </c>
      <c r="L41" s="169">
        <f t="shared" si="32"/>
        <v>3498</v>
      </c>
      <c r="M41" s="493"/>
      <c r="N41" s="501">
        <f t="shared" si="33"/>
        <v>8.1799999999999998E-3</v>
      </c>
      <c r="O41" s="504" t="e">
        <f>#REF!</f>
        <v>#REF!</v>
      </c>
      <c r="P41" s="541">
        <f>'May Price Out'!P41</f>
        <v>0.08</v>
      </c>
      <c r="Q41" s="506">
        <f t="shared" si="34"/>
        <v>58316</v>
      </c>
      <c r="R41" s="515">
        <f>F41-H41</f>
        <v>1260</v>
      </c>
      <c r="S41" s="169" t="e">
        <f t="shared" si="35"/>
        <v>#REF!</v>
      </c>
      <c r="T41" s="169">
        <f t="shared" si="35"/>
        <v>101</v>
      </c>
      <c r="U41" s="169" t="e">
        <f t="shared" si="36"/>
        <v>#REF!</v>
      </c>
      <c r="V41" s="169">
        <f t="shared" si="37"/>
        <v>477</v>
      </c>
      <c r="X41" s="493" t="s">
        <v>533</v>
      </c>
      <c r="Y41" s="503" t="e">
        <f t="shared" si="38"/>
        <v>#REF!</v>
      </c>
      <c r="Z41" s="503">
        <f t="shared" si="38"/>
        <v>840</v>
      </c>
      <c r="AA41" s="503" t="e">
        <f t="shared" si="39"/>
        <v>#REF!</v>
      </c>
      <c r="AB41" s="503">
        <f t="shared" si="40"/>
        <v>3975</v>
      </c>
    </row>
    <row r="42" spans="1:28" x14ac:dyDescent="0.25">
      <c r="A42" s="493" t="s">
        <v>534</v>
      </c>
      <c r="B42" s="529">
        <f t="shared" si="12"/>
        <v>8.1799999999999998E-3</v>
      </c>
      <c r="C42" s="533" t="e">
        <f>#REF!</f>
        <v>#REF!</v>
      </c>
      <c r="D42" s="522"/>
      <c r="E42" s="530">
        <f>+'Forecasted TOD kWh by Period'!D25</f>
        <v>596603</v>
      </c>
      <c r="F42" s="493"/>
      <c r="G42" s="8">
        <f>ROUND(E42*0.88,0)</f>
        <v>525011</v>
      </c>
      <c r="H42" s="8"/>
      <c r="I42" s="169" t="e">
        <f t="shared" si="30"/>
        <v>#REF!</v>
      </c>
      <c r="J42" s="169">
        <f t="shared" si="30"/>
        <v>0</v>
      </c>
      <c r="K42" s="169" t="e">
        <f t="shared" si="31"/>
        <v>#REF!</v>
      </c>
      <c r="L42" s="169">
        <f t="shared" si="32"/>
        <v>4295</v>
      </c>
      <c r="M42" s="493"/>
      <c r="N42" s="501">
        <f t="shared" si="33"/>
        <v>8.1799999999999998E-3</v>
      </c>
      <c r="O42" s="504" t="e">
        <f>#REF!</f>
        <v>#REF!</v>
      </c>
      <c r="P42" s="538">
        <f>'May Price Out'!P42</f>
        <v>0</v>
      </c>
      <c r="Q42" s="506">
        <f t="shared" si="34"/>
        <v>71592</v>
      </c>
      <c r="R42" s="396"/>
      <c r="S42" s="169" t="e">
        <f t="shared" si="35"/>
        <v>#REF!</v>
      </c>
      <c r="T42" s="169">
        <f t="shared" si="35"/>
        <v>0</v>
      </c>
      <c r="U42" s="169" t="e">
        <f t="shared" si="36"/>
        <v>#REF!</v>
      </c>
      <c r="V42" s="169">
        <f t="shared" si="37"/>
        <v>586</v>
      </c>
      <c r="X42" s="493" t="s">
        <v>534</v>
      </c>
      <c r="Y42" s="503" t="e">
        <f t="shared" si="38"/>
        <v>#REF!</v>
      </c>
      <c r="Z42" s="503">
        <f t="shared" si="38"/>
        <v>0</v>
      </c>
      <c r="AA42" s="503" t="e">
        <f t="shared" si="39"/>
        <v>#REF!</v>
      </c>
      <c r="AB42" s="503">
        <f t="shared" si="40"/>
        <v>4881</v>
      </c>
    </row>
    <row r="43" spans="1:28" x14ac:dyDescent="0.25">
      <c r="A43" s="493"/>
      <c r="B43" s="501"/>
      <c r="C43" s="493"/>
      <c r="D43" s="493"/>
      <c r="E43" s="493"/>
      <c r="F43" s="493"/>
      <c r="G43" s="493"/>
      <c r="H43" s="493"/>
      <c r="I43" s="493"/>
      <c r="J43" s="493"/>
      <c r="K43" s="493"/>
      <c r="L43" s="493"/>
      <c r="M43" s="493"/>
      <c r="N43" s="510"/>
      <c r="O43" s="493"/>
      <c r="S43" s="493"/>
      <c r="T43" s="493"/>
      <c r="U43" s="493"/>
      <c r="V43" s="493"/>
      <c r="X43" s="493"/>
      <c r="Y43" s="503"/>
      <c r="Z43" s="503"/>
      <c r="AA43" s="503"/>
      <c r="AB43" s="503"/>
    </row>
    <row r="44" spans="1:28" x14ac:dyDescent="0.25">
      <c r="A44" s="493" t="s">
        <v>162</v>
      </c>
      <c r="B44" s="493"/>
      <c r="C44" s="493"/>
      <c r="D44" s="493"/>
      <c r="E44" s="493"/>
      <c r="F44" s="493"/>
      <c r="G44" s="507">
        <f>SUM(G8:G19)+SUM(G21:G24)+SUM(G26:G31)+SUM(G33:G42)</f>
        <v>5211934210</v>
      </c>
      <c r="H44" s="493"/>
      <c r="I44" s="503" t="e">
        <f>SUM(I8:I43)</f>
        <v>#REF!</v>
      </c>
      <c r="J44" s="169">
        <f>SUM(J8:J19)+SUM(J21:J24)+SUM(J26:J31)+SUM(J33:J42)</f>
        <v>83240469</v>
      </c>
      <c r="K44" s="169" t="e">
        <f>SUM(K8:K43)</f>
        <v>#REF!</v>
      </c>
      <c r="L44" s="169">
        <f>SUM(L8:L19)+SUM(L21:L24)+SUM(L26:L31)+SUM(L33:L42)</f>
        <v>42633619</v>
      </c>
      <c r="M44" s="493"/>
      <c r="Q44" s="507">
        <f>SUM(Q8:Q19)+SUM(Q21:Q24)+SUM(Q26:Q31)+SUM(Q33:Q42)</f>
        <v>710718302</v>
      </c>
      <c r="S44" s="503" t="e">
        <f>SUM(S8:S43)</f>
        <v>#REF!</v>
      </c>
      <c r="T44" s="169">
        <f>SUM(T8:T19)+SUM(T21:T24)+SUM(T26:T31)+SUM(T33:T42)</f>
        <v>9049389</v>
      </c>
      <c r="U44" s="503" t="e">
        <f>SUM(U8:U43)</f>
        <v>#REF!</v>
      </c>
      <c r="V44" s="169">
        <f>SUM(V8:V19)+SUM(V21:V24)+SUM(V26:V31)+SUM(V33:V42)</f>
        <v>5813673</v>
      </c>
      <c r="X44" s="493" t="s">
        <v>162</v>
      </c>
      <c r="Y44" s="503" t="e">
        <f>I44+S44</f>
        <v>#REF!</v>
      </c>
      <c r="Z44" s="503">
        <f>J44+T44</f>
        <v>92289858</v>
      </c>
      <c r="AA44" s="503" t="e">
        <f>Y44+Z44</f>
        <v>#REF!</v>
      </c>
      <c r="AB44" s="503">
        <f>L44+V44</f>
        <v>48447292</v>
      </c>
    </row>
    <row r="45" spans="1:28" x14ac:dyDescent="0.25">
      <c r="A45" s="493"/>
      <c r="B45" s="493"/>
      <c r="C45" s="493"/>
      <c r="D45" s="493"/>
      <c r="E45" s="493"/>
      <c r="F45" s="493"/>
      <c r="G45" s="493"/>
      <c r="H45" s="493"/>
      <c r="I45" s="493"/>
      <c r="J45" s="493"/>
      <c r="K45" s="493"/>
      <c r="L45" s="493"/>
      <c r="M45" s="493"/>
      <c r="N45" s="493"/>
    </row>
    <row r="46" spans="1:28" x14ac:dyDescent="0.25">
      <c r="A46" s="493"/>
      <c r="B46" s="493"/>
      <c r="C46" s="493"/>
      <c r="D46" s="493"/>
      <c r="E46" s="493"/>
      <c r="F46" s="493"/>
      <c r="G46" s="493"/>
      <c r="H46" s="493"/>
      <c r="I46" s="493"/>
      <c r="J46" s="493"/>
      <c r="K46" s="493"/>
      <c r="L46" s="493"/>
      <c r="M46" s="493"/>
      <c r="N46" s="493"/>
    </row>
    <row r="47" spans="1:28" x14ac:dyDescent="0.25">
      <c r="A47" s="493"/>
      <c r="B47" s="493"/>
      <c r="C47" s="493"/>
      <c r="D47" s="493"/>
      <c r="E47" s="493"/>
      <c r="F47" s="493"/>
      <c r="G47" s="493"/>
      <c r="H47" s="493"/>
      <c r="I47" s="493"/>
      <c r="J47" s="493"/>
      <c r="K47" s="493"/>
      <c r="L47" s="493"/>
      <c r="M47" s="493"/>
    </row>
    <row r="48" spans="1:28" x14ac:dyDescent="0.25">
      <c r="A48" s="493"/>
      <c r="B48" s="493"/>
      <c r="C48" s="493"/>
      <c r="D48" s="493"/>
      <c r="E48" s="493"/>
      <c r="F48" s="493"/>
      <c r="G48" s="493"/>
      <c r="H48" s="493"/>
      <c r="I48" s="493"/>
      <c r="J48" s="493"/>
      <c r="K48" s="493"/>
      <c r="L48" s="493"/>
      <c r="M48" s="493"/>
    </row>
    <row r="49" spans="1:13" x14ac:dyDescent="0.25">
      <c r="A49" s="493"/>
      <c r="B49" s="493"/>
      <c r="C49" s="493"/>
      <c r="D49" s="493"/>
      <c r="E49" s="493"/>
      <c r="F49" s="493"/>
      <c r="G49" s="493"/>
      <c r="H49" s="493"/>
      <c r="I49" s="493"/>
      <c r="J49" s="493"/>
      <c r="K49" s="493"/>
      <c r="L49" s="493"/>
      <c r="M49" s="493"/>
    </row>
    <row r="50" spans="1:13" x14ac:dyDescent="0.25">
      <c r="A50" s="493"/>
      <c r="B50" s="493"/>
      <c r="C50" s="493"/>
      <c r="D50" s="493"/>
      <c r="E50" s="493"/>
      <c r="F50" s="493"/>
      <c r="G50" s="493"/>
      <c r="H50" s="493"/>
      <c r="I50" s="493"/>
      <c r="J50" s="493"/>
      <c r="K50" s="493"/>
      <c r="L50" s="493"/>
      <c r="M50" s="493"/>
    </row>
    <row r="51" spans="1:13" x14ac:dyDescent="0.25">
      <c r="A51" s="493"/>
      <c r="B51" s="493"/>
      <c r="C51" s="493"/>
      <c r="D51" s="493"/>
      <c r="E51" s="493"/>
      <c r="F51" s="493"/>
      <c r="G51" s="493"/>
      <c r="H51" s="493"/>
      <c r="I51" s="493"/>
      <c r="J51" s="493"/>
      <c r="K51" s="493"/>
      <c r="L51" s="493"/>
      <c r="M51" s="493"/>
    </row>
    <row r="52" spans="1:13" x14ac:dyDescent="0.25">
      <c r="A52" s="493"/>
      <c r="B52" s="493"/>
      <c r="C52" s="493"/>
      <c r="D52" s="493"/>
      <c r="E52" s="493"/>
      <c r="F52" s="493"/>
      <c r="G52" s="493"/>
      <c r="H52" s="493"/>
      <c r="I52" s="493"/>
      <c r="J52" s="493"/>
      <c r="K52" s="493"/>
      <c r="L52" s="493"/>
      <c r="M52" s="493"/>
    </row>
    <row r="53" spans="1:13" x14ac:dyDescent="0.25">
      <c r="A53" s="493"/>
      <c r="B53" s="493"/>
      <c r="C53" s="493"/>
      <c r="D53" s="493"/>
      <c r="E53" s="493"/>
      <c r="F53" s="493"/>
      <c r="G53" s="493"/>
      <c r="H53" s="493"/>
      <c r="I53" s="493"/>
      <c r="J53" s="493"/>
      <c r="K53" s="493"/>
      <c r="L53" s="493"/>
    </row>
    <row r="54" spans="1:13" x14ac:dyDescent="0.25">
      <c r="A54" s="493"/>
      <c r="B54" s="493"/>
      <c r="C54" s="493"/>
      <c r="D54" s="493"/>
      <c r="E54" s="493"/>
      <c r="F54" s="493"/>
      <c r="G54" s="493"/>
      <c r="H54" s="493"/>
      <c r="I54" s="493"/>
      <c r="J54" s="493"/>
      <c r="K54" s="493"/>
      <c r="L54" s="493"/>
    </row>
    <row r="55" spans="1:13" x14ac:dyDescent="0.25">
      <c r="A55" s="493"/>
      <c r="B55" s="493"/>
      <c r="C55" s="493"/>
      <c r="D55" s="493"/>
      <c r="E55" s="493"/>
      <c r="F55" s="493"/>
      <c r="G55" s="493"/>
      <c r="H55" s="493"/>
      <c r="I55" s="493"/>
      <c r="J55" s="493"/>
      <c r="K55" s="493"/>
      <c r="L55" s="493"/>
    </row>
    <row r="56" spans="1:13" x14ac:dyDescent="0.25">
      <c r="A56" s="493"/>
      <c r="B56" s="493"/>
      <c r="C56" s="493"/>
      <c r="D56" s="493"/>
      <c r="E56" s="493"/>
      <c r="F56" s="493"/>
      <c r="G56" s="493"/>
      <c r="H56" s="493"/>
      <c r="I56" s="493"/>
      <c r="J56" s="493"/>
      <c r="K56" s="493"/>
      <c r="L56" s="493"/>
    </row>
    <row r="57" spans="1:13" x14ac:dyDescent="0.25">
      <c r="A57" s="493"/>
      <c r="B57" s="493"/>
      <c r="C57" s="493"/>
      <c r="D57" s="493"/>
      <c r="E57" s="493"/>
      <c r="F57" s="493"/>
      <c r="G57" s="493"/>
      <c r="H57" s="493"/>
      <c r="I57" s="493"/>
      <c r="J57" s="493"/>
      <c r="K57" s="493"/>
      <c r="L57" s="493"/>
    </row>
    <row r="58" spans="1:13" x14ac:dyDescent="0.25">
      <c r="A58" s="493"/>
      <c r="B58" s="493"/>
      <c r="C58" s="493"/>
      <c r="D58" s="493"/>
      <c r="E58" s="493"/>
      <c r="F58" s="493"/>
      <c r="G58" s="493"/>
      <c r="H58" s="493"/>
      <c r="I58" s="493"/>
      <c r="J58" s="493"/>
      <c r="K58" s="493"/>
      <c r="L58" s="493"/>
    </row>
    <row r="59" spans="1:13" x14ac:dyDescent="0.25">
      <c r="A59" s="493"/>
      <c r="B59" s="493"/>
      <c r="C59" s="493"/>
      <c r="D59" s="493"/>
      <c r="E59" s="493"/>
      <c r="F59" s="493"/>
      <c r="G59" s="493"/>
      <c r="H59" s="493"/>
      <c r="I59" s="493"/>
      <c r="J59" s="493"/>
      <c r="K59" s="493"/>
      <c r="L59" s="493"/>
    </row>
    <row r="60" spans="1:13" x14ac:dyDescent="0.25">
      <c r="A60" s="493"/>
      <c r="B60" s="493"/>
      <c r="C60" s="493"/>
      <c r="D60" s="493"/>
      <c r="E60" s="493"/>
      <c r="F60" s="493"/>
      <c r="G60" s="493"/>
      <c r="H60" s="493"/>
      <c r="I60" s="493"/>
      <c r="J60" s="493"/>
      <c r="K60" s="493"/>
      <c r="L60" s="493"/>
    </row>
    <row r="61" spans="1:13" x14ac:dyDescent="0.25">
      <c r="A61" s="493"/>
      <c r="B61" s="493"/>
      <c r="C61" s="493"/>
      <c r="D61" s="493"/>
      <c r="E61" s="493"/>
      <c r="F61" s="493"/>
      <c r="G61" s="493"/>
      <c r="H61" s="493"/>
      <c r="I61" s="493"/>
      <c r="J61" s="493"/>
      <c r="K61" s="493"/>
      <c r="L61" s="493"/>
    </row>
    <row r="62" spans="1:13" x14ac:dyDescent="0.25">
      <c r="A62" s="493"/>
      <c r="B62" s="493"/>
      <c r="C62" s="493"/>
      <c r="D62" s="493"/>
      <c r="E62" s="493"/>
      <c r="F62" s="493"/>
      <c r="G62" s="493"/>
      <c r="H62" s="493"/>
      <c r="I62" s="493"/>
      <c r="J62" s="493"/>
      <c r="K62" s="493"/>
      <c r="L62" s="493"/>
    </row>
    <row r="63" spans="1:13" x14ac:dyDescent="0.25">
      <c r="A63" s="493"/>
      <c r="B63" s="493"/>
      <c r="C63" s="493"/>
      <c r="D63" s="493"/>
      <c r="E63" s="493"/>
      <c r="F63" s="493"/>
      <c r="G63" s="493"/>
      <c r="H63" s="493"/>
      <c r="I63" s="493"/>
      <c r="J63" s="493"/>
      <c r="K63" s="493"/>
      <c r="L63" s="493"/>
    </row>
    <row r="64" spans="1:13" x14ac:dyDescent="0.25">
      <c r="A64" s="493"/>
      <c r="B64" s="493"/>
      <c r="C64" s="493"/>
      <c r="D64" s="493"/>
      <c r="E64" s="493"/>
      <c r="F64" s="493"/>
      <c r="G64" s="493"/>
      <c r="H64" s="493"/>
      <c r="I64" s="493"/>
      <c r="J64" s="493"/>
      <c r="K64" s="493"/>
      <c r="L64" s="493"/>
    </row>
    <row r="65" spans="1:13" x14ac:dyDescent="0.25">
      <c r="A65" s="493"/>
      <c r="B65" s="493"/>
      <c r="C65" s="493"/>
      <c r="D65" s="493"/>
      <c r="E65" s="493"/>
      <c r="F65" s="493"/>
      <c r="G65" s="493"/>
      <c r="H65" s="493"/>
      <c r="I65" s="493"/>
      <c r="J65" s="493"/>
      <c r="K65" s="493"/>
      <c r="L65" s="493"/>
    </row>
    <row r="66" spans="1:13" x14ac:dyDescent="0.25">
      <c r="A66" s="493"/>
      <c r="B66" s="493"/>
      <c r="C66" s="493"/>
      <c r="D66" s="493"/>
      <c r="E66" s="493"/>
      <c r="F66" s="493"/>
      <c r="G66" s="493"/>
      <c r="H66" s="493"/>
      <c r="I66" s="493"/>
      <c r="J66" s="493"/>
      <c r="K66" s="493"/>
      <c r="L66" s="493"/>
    </row>
    <row r="67" spans="1:13" x14ac:dyDescent="0.25">
      <c r="A67" s="493"/>
      <c r="B67" s="493"/>
      <c r="C67" s="493"/>
      <c r="D67" s="493"/>
      <c r="E67" s="493"/>
      <c r="F67" s="493"/>
      <c r="G67" s="493"/>
      <c r="H67" s="493"/>
      <c r="I67" s="493"/>
      <c r="J67" s="493"/>
      <c r="K67" s="493"/>
      <c r="L67" s="493"/>
    </row>
    <row r="68" spans="1:13" x14ac:dyDescent="0.25">
      <c r="A68" s="493"/>
      <c r="B68" s="493"/>
      <c r="C68" s="493"/>
      <c r="D68" s="493"/>
      <c r="E68" s="493"/>
      <c r="F68" s="493"/>
      <c r="G68" s="493"/>
      <c r="H68" s="493"/>
      <c r="I68" s="493"/>
      <c r="J68" s="493"/>
      <c r="K68" s="493"/>
      <c r="L68" s="493"/>
    </row>
    <row r="69" spans="1:13" x14ac:dyDescent="0.25">
      <c r="A69" s="493"/>
      <c r="B69" s="493"/>
      <c r="C69" s="493"/>
      <c r="D69" s="493"/>
      <c r="E69" s="493"/>
      <c r="F69" s="493"/>
      <c r="G69" s="493"/>
      <c r="H69" s="493"/>
      <c r="I69" s="493"/>
      <c r="J69" s="493"/>
      <c r="K69" s="493"/>
      <c r="L69" s="493"/>
    </row>
    <row r="70" spans="1:13" x14ac:dyDescent="0.25">
      <c r="A70" s="493"/>
      <c r="B70" s="493"/>
      <c r="C70" s="493"/>
      <c r="D70" s="493"/>
      <c r="E70" s="493"/>
      <c r="F70" s="493"/>
      <c r="G70" s="493"/>
      <c r="H70" s="493"/>
      <c r="I70" s="493"/>
      <c r="J70" s="493"/>
      <c r="K70" s="493"/>
      <c r="L70" s="493"/>
    </row>
    <row r="71" spans="1:13" x14ac:dyDescent="0.25">
      <c r="A71" s="493"/>
      <c r="B71" s="493"/>
      <c r="C71" s="493"/>
      <c r="D71" s="493"/>
      <c r="E71" s="493"/>
      <c r="F71" s="493"/>
      <c r="G71" s="493"/>
      <c r="H71" s="493"/>
      <c r="I71" s="493"/>
      <c r="J71" s="493"/>
      <c r="K71" s="493"/>
      <c r="L71" s="493"/>
    </row>
    <row r="72" spans="1:13" x14ac:dyDescent="0.25">
      <c r="A72" s="493"/>
      <c r="B72" s="493"/>
      <c r="C72" s="493"/>
      <c r="D72" s="493"/>
      <c r="E72" s="493"/>
      <c r="F72" s="493"/>
      <c r="G72" s="493"/>
      <c r="H72" s="493"/>
      <c r="I72" s="493"/>
      <c r="J72" s="493"/>
      <c r="K72" s="493"/>
      <c r="L72" s="493"/>
    </row>
    <row r="73" spans="1:13" x14ac:dyDescent="0.25">
      <c r="A73" s="493"/>
      <c r="B73" s="493"/>
      <c r="C73" s="493"/>
      <c r="D73" s="493"/>
      <c r="E73" s="493"/>
      <c r="F73" s="493"/>
      <c r="G73" s="493"/>
      <c r="H73" s="493"/>
      <c r="I73" s="493"/>
      <c r="J73" s="493"/>
      <c r="K73" s="493"/>
      <c r="L73" s="493"/>
      <c r="M73" s="493"/>
    </row>
    <row r="74" spans="1:13" x14ac:dyDescent="0.25">
      <c r="A74" s="493"/>
      <c r="B74" s="493"/>
      <c r="C74" s="493"/>
      <c r="D74" s="493"/>
      <c r="E74" s="493"/>
      <c r="F74" s="493"/>
      <c r="G74" s="493"/>
      <c r="H74" s="493"/>
      <c r="I74" s="493"/>
      <c r="J74" s="493"/>
      <c r="K74" s="493"/>
      <c r="L74" s="493"/>
      <c r="M74" s="493"/>
    </row>
    <row r="75" spans="1:13" x14ac:dyDescent="0.25">
      <c r="A75" s="493"/>
      <c r="B75" s="493"/>
      <c r="C75" s="493"/>
      <c r="D75" s="493"/>
      <c r="E75" s="493"/>
      <c r="F75" s="493"/>
      <c r="G75" s="493"/>
      <c r="H75" s="493"/>
      <c r="I75" s="493"/>
      <c r="J75" s="493"/>
      <c r="K75" s="493"/>
      <c r="L75" s="493"/>
      <c r="M75" s="493"/>
    </row>
    <row r="76" spans="1:13" x14ac:dyDescent="0.25">
      <c r="A76" s="493"/>
      <c r="B76" s="493"/>
      <c r="C76" s="493"/>
      <c r="D76" s="493"/>
      <c r="E76" s="493"/>
      <c r="F76" s="493"/>
      <c r="G76" s="493"/>
      <c r="H76" s="493"/>
      <c r="I76" s="493"/>
      <c r="J76" s="493"/>
      <c r="K76" s="493"/>
      <c r="L76" s="493"/>
      <c r="M76" s="493"/>
    </row>
    <row r="77" spans="1:13" x14ac:dyDescent="0.25">
      <c r="A77" s="493"/>
      <c r="B77" s="493"/>
      <c r="C77" s="493"/>
      <c r="D77" s="493"/>
      <c r="E77" s="493"/>
      <c r="F77" s="493"/>
      <c r="G77" s="493"/>
      <c r="H77" s="493"/>
      <c r="I77" s="493"/>
      <c r="J77" s="493"/>
      <c r="K77" s="493"/>
      <c r="L77" s="493"/>
      <c r="M77" s="493"/>
    </row>
    <row r="78" spans="1:13" x14ac:dyDescent="0.25">
      <c r="A78" s="493"/>
      <c r="B78" s="493"/>
      <c r="C78" s="493"/>
      <c r="D78" s="493"/>
      <c r="E78" s="493"/>
      <c r="F78" s="493"/>
      <c r="G78" s="493"/>
      <c r="H78" s="493"/>
      <c r="I78" s="493"/>
      <c r="J78" s="493"/>
      <c r="K78" s="493"/>
      <c r="L78" s="493"/>
      <c r="M78" s="493"/>
    </row>
    <row r="79" spans="1:13" x14ac:dyDescent="0.25">
      <c r="A79" s="493"/>
      <c r="B79" s="493"/>
      <c r="C79" s="493"/>
      <c r="D79" s="493"/>
      <c r="E79" s="493"/>
      <c r="F79" s="493"/>
      <c r="G79" s="493"/>
      <c r="H79" s="493"/>
      <c r="I79" s="493"/>
      <c r="J79" s="493"/>
      <c r="K79" s="493"/>
      <c r="L79" s="493"/>
      <c r="M79" s="493"/>
    </row>
    <row r="80" spans="1:13" x14ac:dyDescent="0.25">
      <c r="A80" s="493"/>
      <c r="B80" s="493"/>
      <c r="C80" s="493"/>
      <c r="D80" s="493"/>
      <c r="E80" s="493"/>
      <c r="F80" s="493"/>
      <c r="G80" s="493"/>
      <c r="H80" s="493"/>
      <c r="I80" s="493"/>
      <c r="J80" s="493"/>
      <c r="K80" s="493"/>
      <c r="L80" s="493"/>
      <c r="M80" s="493"/>
    </row>
    <row r="81" spans="1:13" x14ac:dyDescent="0.25">
      <c r="A81" s="493"/>
      <c r="B81" s="493"/>
      <c r="C81" s="493"/>
      <c r="D81" s="493"/>
      <c r="E81" s="493"/>
      <c r="F81" s="493"/>
      <c r="G81" s="493"/>
      <c r="H81" s="493"/>
      <c r="I81" s="493"/>
      <c r="J81" s="493"/>
      <c r="K81" s="493"/>
      <c r="L81" s="493"/>
      <c r="M81" s="493"/>
    </row>
    <row r="82" spans="1:13" x14ac:dyDescent="0.25">
      <c r="A82" s="493"/>
      <c r="B82" s="493"/>
      <c r="C82" s="493"/>
      <c r="D82" s="493"/>
      <c r="E82" s="493"/>
      <c r="F82" s="493"/>
      <c r="G82" s="493"/>
      <c r="H82" s="493"/>
      <c r="I82" s="493"/>
      <c r="J82" s="493"/>
      <c r="K82" s="493"/>
      <c r="L82" s="493"/>
      <c r="M82" s="493"/>
    </row>
    <row r="83" spans="1:13" x14ac:dyDescent="0.25">
      <c r="A83" s="493"/>
      <c r="B83" s="493"/>
      <c r="C83" s="493"/>
      <c r="D83" s="493"/>
      <c r="E83" s="493"/>
      <c r="F83" s="493"/>
      <c r="G83" s="493"/>
      <c r="H83" s="493"/>
      <c r="I83" s="493"/>
      <c r="J83" s="493"/>
      <c r="K83" s="493"/>
      <c r="L83" s="493"/>
      <c r="M83" s="493"/>
    </row>
    <row r="84" spans="1:13" x14ac:dyDescent="0.25">
      <c r="A84" s="493"/>
      <c r="B84" s="493"/>
      <c r="C84" s="493"/>
      <c r="D84" s="493"/>
      <c r="E84" s="493"/>
      <c r="F84" s="493"/>
      <c r="G84" s="493"/>
      <c r="H84" s="493"/>
      <c r="I84" s="493"/>
      <c r="J84" s="493"/>
      <c r="K84" s="493"/>
      <c r="L84" s="493"/>
      <c r="M84" s="493"/>
    </row>
    <row r="85" spans="1:13" x14ac:dyDescent="0.25">
      <c r="A85" s="493"/>
      <c r="B85" s="493"/>
      <c r="C85" s="493"/>
      <c r="D85" s="493"/>
      <c r="E85" s="493"/>
      <c r="F85" s="493"/>
      <c r="G85" s="493"/>
      <c r="H85" s="493"/>
      <c r="I85" s="493"/>
      <c r="J85" s="493"/>
      <c r="K85" s="493"/>
      <c r="L85" s="493"/>
      <c r="M85" s="493"/>
    </row>
    <row r="86" spans="1:13" x14ac:dyDescent="0.25">
      <c r="A86" s="493"/>
      <c r="B86" s="493"/>
      <c r="C86" s="493"/>
      <c r="D86" s="493"/>
      <c r="E86" s="493"/>
      <c r="F86" s="493"/>
      <c r="G86" s="493"/>
      <c r="H86" s="493"/>
      <c r="I86" s="493"/>
      <c r="J86" s="493"/>
      <c r="K86" s="493"/>
      <c r="L86" s="493"/>
      <c r="M86" s="493"/>
    </row>
    <row r="87" spans="1:13" x14ac:dyDescent="0.25">
      <c r="A87" s="493"/>
      <c r="B87" s="493"/>
      <c r="C87" s="493"/>
      <c r="D87" s="493"/>
      <c r="E87" s="493"/>
      <c r="F87" s="493"/>
      <c r="G87" s="493"/>
      <c r="H87" s="493"/>
      <c r="I87" s="493"/>
      <c r="J87" s="493"/>
      <c r="K87" s="493"/>
      <c r="L87" s="493"/>
      <c r="M87" s="493"/>
    </row>
    <row r="88" spans="1:13" x14ac:dyDescent="0.25">
      <c r="A88" s="493"/>
      <c r="B88" s="493"/>
      <c r="C88" s="493"/>
      <c r="D88" s="493"/>
      <c r="E88" s="493"/>
      <c r="F88" s="493"/>
      <c r="G88" s="493"/>
      <c r="H88" s="493"/>
      <c r="I88" s="493"/>
      <c r="J88" s="493"/>
      <c r="K88" s="493"/>
      <c r="L88" s="493"/>
      <c r="M88" s="493"/>
    </row>
    <row r="89" spans="1:13" x14ac:dyDescent="0.25">
      <c r="A89" s="493"/>
      <c r="B89" s="493"/>
      <c r="C89" s="493"/>
      <c r="D89" s="493"/>
      <c r="E89" s="493"/>
      <c r="F89" s="493"/>
      <c r="G89" s="493"/>
      <c r="H89" s="493"/>
      <c r="I89" s="493"/>
      <c r="J89" s="493"/>
      <c r="K89" s="493"/>
      <c r="L89" s="493"/>
      <c r="M89" s="493"/>
    </row>
    <row r="90" spans="1:13" x14ac:dyDescent="0.25">
      <c r="A90" s="493"/>
      <c r="B90" s="493"/>
      <c r="C90" s="493"/>
      <c r="D90" s="493"/>
      <c r="E90" s="493"/>
      <c r="F90" s="493"/>
      <c r="G90" s="493"/>
      <c r="H90" s="493"/>
      <c r="I90" s="493"/>
      <c r="J90" s="493"/>
      <c r="K90" s="493"/>
      <c r="L90" s="493"/>
      <c r="M90" s="493"/>
    </row>
    <row r="91" spans="1:13" x14ac:dyDescent="0.25">
      <c r="A91" s="493"/>
      <c r="B91" s="493"/>
      <c r="C91" s="493"/>
      <c r="D91" s="493"/>
      <c r="E91" s="493"/>
      <c r="F91" s="493"/>
      <c r="G91" s="493"/>
      <c r="H91" s="493"/>
      <c r="I91" s="493"/>
      <c r="J91" s="493"/>
      <c r="K91" s="493"/>
      <c r="L91" s="493"/>
      <c r="M91" s="493"/>
    </row>
    <row r="92" spans="1:13" x14ac:dyDescent="0.25">
      <c r="A92" s="493"/>
      <c r="B92" s="493"/>
      <c r="C92" s="493"/>
      <c r="D92" s="493"/>
      <c r="E92" s="493"/>
      <c r="F92" s="493"/>
      <c r="G92" s="493"/>
      <c r="H92" s="493"/>
      <c r="I92" s="493"/>
      <c r="J92" s="493"/>
      <c r="K92" s="493"/>
      <c r="L92" s="493"/>
      <c r="M92" s="493"/>
    </row>
    <row r="93" spans="1:13" x14ac:dyDescent="0.25">
      <c r="A93" s="493"/>
      <c r="B93" s="493"/>
      <c r="C93" s="493"/>
      <c r="D93" s="493"/>
      <c r="E93" s="493"/>
      <c r="F93" s="493"/>
      <c r="G93" s="493"/>
      <c r="H93" s="493"/>
      <c r="I93" s="493"/>
      <c r="J93" s="493"/>
      <c r="K93" s="493"/>
      <c r="L93" s="493"/>
      <c r="M93" s="493"/>
    </row>
    <row r="94" spans="1:13" x14ac:dyDescent="0.25">
      <c r="A94" s="493"/>
      <c r="B94" s="493"/>
      <c r="C94" s="493"/>
      <c r="D94" s="493"/>
      <c r="E94" s="493"/>
      <c r="F94" s="493"/>
      <c r="G94" s="493"/>
      <c r="H94" s="493"/>
      <c r="I94" s="493"/>
      <c r="J94" s="493"/>
      <c r="K94" s="493"/>
      <c r="L94" s="493"/>
      <c r="M94" s="493"/>
    </row>
    <row r="95" spans="1:13" x14ac:dyDescent="0.25">
      <c r="A95" s="493"/>
      <c r="B95" s="493"/>
      <c r="C95" s="493"/>
      <c r="D95" s="493"/>
      <c r="E95" s="493"/>
      <c r="F95" s="493"/>
      <c r="G95" s="493"/>
      <c r="H95" s="493"/>
      <c r="I95" s="493"/>
      <c r="J95" s="493"/>
      <c r="K95" s="493"/>
      <c r="L95" s="493"/>
      <c r="M95" s="493"/>
    </row>
    <row r="96" spans="1:13" x14ac:dyDescent="0.25">
      <c r="A96" s="493"/>
      <c r="B96" s="493"/>
      <c r="C96" s="493"/>
      <c r="D96" s="493"/>
      <c r="E96" s="493"/>
      <c r="F96" s="493"/>
      <c r="G96" s="493"/>
      <c r="H96" s="493"/>
      <c r="I96" s="493"/>
      <c r="J96" s="493"/>
      <c r="K96" s="493"/>
      <c r="L96" s="493"/>
      <c r="M96" s="493"/>
    </row>
    <row r="97" spans="1:13" x14ac:dyDescent="0.25">
      <c r="A97" s="493"/>
      <c r="B97" s="493"/>
      <c r="C97" s="493"/>
      <c r="D97" s="493"/>
      <c r="E97" s="493"/>
      <c r="F97" s="493"/>
      <c r="G97" s="493"/>
      <c r="H97" s="493"/>
      <c r="I97" s="493"/>
      <c r="J97" s="493"/>
      <c r="K97" s="493"/>
      <c r="L97" s="493"/>
      <c r="M97" s="493"/>
    </row>
    <row r="98" spans="1:13" x14ac:dyDescent="0.25">
      <c r="A98" s="493"/>
      <c r="B98" s="493"/>
      <c r="C98" s="493"/>
      <c r="D98" s="493"/>
      <c r="E98" s="493"/>
      <c r="F98" s="493"/>
      <c r="G98" s="493"/>
      <c r="H98" s="493"/>
      <c r="I98" s="493"/>
      <c r="J98" s="493"/>
      <c r="K98" s="493"/>
      <c r="L98" s="493"/>
      <c r="M98" s="493"/>
    </row>
    <row r="99" spans="1:13" x14ac:dyDescent="0.25">
      <c r="A99" s="493"/>
      <c r="B99" s="493"/>
      <c r="C99" s="493"/>
      <c r="D99" s="493"/>
      <c r="E99" s="493"/>
      <c r="F99" s="493"/>
      <c r="G99" s="493"/>
      <c r="H99" s="493"/>
      <c r="I99" s="493"/>
      <c r="J99" s="493"/>
      <c r="K99" s="493"/>
      <c r="L99" s="493"/>
      <c r="M99" s="493"/>
    </row>
    <row r="100" spans="1:13" x14ac:dyDescent="0.25">
      <c r="A100" s="493"/>
      <c r="B100" s="493"/>
      <c r="C100" s="493"/>
      <c r="D100" s="493"/>
      <c r="E100" s="493"/>
      <c r="F100" s="493"/>
      <c r="G100" s="493"/>
      <c r="H100" s="493"/>
      <c r="I100" s="493"/>
      <c r="J100" s="493"/>
      <c r="K100" s="493"/>
      <c r="L100" s="493"/>
      <c r="M100" s="493"/>
    </row>
    <row r="101" spans="1:13" x14ac:dyDescent="0.25">
      <c r="A101" s="493"/>
      <c r="B101" s="493"/>
      <c r="C101" s="493"/>
      <c r="D101" s="493"/>
      <c r="E101" s="493"/>
      <c r="F101" s="493"/>
      <c r="G101" s="493"/>
      <c r="H101" s="493"/>
      <c r="I101" s="493"/>
      <c r="J101" s="493"/>
      <c r="K101" s="493"/>
      <c r="L101" s="493"/>
      <c r="M101" s="493"/>
    </row>
    <row r="102" spans="1:13" x14ac:dyDescent="0.25">
      <c r="A102" s="493"/>
      <c r="B102" s="493"/>
      <c r="C102" s="493"/>
      <c r="D102" s="493"/>
      <c r="E102" s="493"/>
      <c r="F102" s="493"/>
      <c r="G102" s="493"/>
      <c r="H102" s="493"/>
      <c r="I102" s="493"/>
      <c r="J102" s="493"/>
      <c r="K102" s="493"/>
      <c r="L102" s="493"/>
      <c r="M102" s="493"/>
    </row>
    <row r="103" spans="1:13" x14ac:dyDescent="0.25">
      <c r="A103" s="493"/>
      <c r="B103" s="493"/>
      <c r="C103" s="493"/>
      <c r="D103" s="493"/>
      <c r="E103" s="493"/>
      <c r="F103" s="493"/>
      <c r="G103" s="493"/>
      <c r="H103" s="493"/>
      <c r="I103" s="493"/>
      <c r="J103" s="493"/>
      <c r="K103" s="493"/>
      <c r="L103" s="493"/>
      <c r="M103" s="493"/>
    </row>
    <row r="104" spans="1:13" x14ac:dyDescent="0.25">
      <c r="A104" s="493"/>
      <c r="B104" s="493"/>
      <c r="C104" s="493"/>
      <c r="D104" s="493"/>
      <c r="E104" s="493"/>
      <c r="F104" s="493"/>
      <c r="G104" s="493"/>
      <c r="H104" s="493"/>
      <c r="I104" s="493"/>
      <c r="J104" s="493"/>
      <c r="K104" s="493"/>
      <c r="L104" s="493"/>
      <c r="M104" s="493"/>
    </row>
    <row r="105" spans="1:13" x14ac:dyDescent="0.25">
      <c r="A105" s="493"/>
      <c r="B105" s="493"/>
      <c r="C105" s="493"/>
      <c r="D105" s="493"/>
      <c r="E105" s="493"/>
      <c r="F105" s="493"/>
      <c r="G105" s="493"/>
      <c r="H105" s="493"/>
      <c r="I105" s="493"/>
      <c r="J105" s="493"/>
      <c r="K105" s="493"/>
      <c r="L105" s="493"/>
      <c r="M105" s="493"/>
    </row>
    <row r="106" spans="1:13" x14ac:dyDescent="0.25">
      <c r="A106" s="493"/>
      <c r="B106" s="493"/>
      <c r="C106" s="493"/>
      <c r="D106" s="493"/>
      <c r="E106" s="493"/>
      <c r="F106" s="493"/>
      <c r="G106" s="493"/>
      <c r="H106" s="493"/>
      <c r="I106" s="493"/>
      <c r="J106" s="493"/>
      <c r="K106" s="493"/>
      <c r="L106" s="493"/>
      <c r="M106" s="493"/>
    </row>
    <row r="107" spans="1:13" x14ac:dyDescent="0.25">
      <c r="A107" s="493"/>
      <c r="B107" s="493"/>
      <c r="C107" s="493"/>
      <c r="D107" s="493"/>
      <c r="E107" s="493"/>
      <c r="F107" s="493"/>
      <c r="G107" s="493"/>
      <c r="H107" s="493"/>
      <c r="I107" s="493"/>
      <c r="J107" s="493"/>
      <c r="K107" s="493"/>
      <c r="L107" s="493"/>
      <c r="M107" s="493"/>
    </row>
    <row r="108" spans="1:13" x14ac:dyDescent="0.25">
      <c r="A108" s="493"/>
      <c r="B108" s="493"/>
      <c r="C108" s="493"/>
      <c r="D108" s="493"/>
      <c r="E108" s="493"/>
      <c r="F108" s="493"/>
      <c r="G108" s="493"/>
      <c r="H108" s="493"/>
      <c r="I108" s="493"/>
      <c r="J108" s="493"/>
      <c r="K108" s="493"/>
      <c r="L108" s="493"/>
      <c r="M108" s="493"/>
    </row>
    <row r="109" spans="1:13" x14ac:dyDescent="0.25">
      <c r="A109" s="493"/>
      <c r="B109" s="493"/>
      <c r="C109" s="493"/>
      <c r="D109" s="493"/>
      <c r="E109" s="493"/>
      <c r="F109" s="493"/>
      <c r="G109" s="493"/>
      <c r="H109" s="493"/>
      <c r="I109" s="493"/>
      <c r="J109" s="493"/>
      <c r="K109" s="493"/>
      <c r="L109" s="493"/>
      <c r="M109" s="493"/>
    </row>
    <row r="110" spans="1:13" x14ac:dyDescent="0.25">
      <c r="A110" s="493"/>
      <c r="B110" s="493"/>
      <c r="C110" s="493"/>
      <c r="D110" s="493"/>
      <c r="E110" s="493"/>
      <c r="F110" s="493"/>
      <c r="G110" s="493"/>
      <c r="H110" s="493"/>
      <c r="I110" s="493"/>
      <c r="J110" s="493"/>
      <c r="K110" s="493"/>
      <c r="L110" s="493"/>
      <c r="M110" s="493"/>
    </row>
    <row r="111" spans="1:13" x14ac:dyDescent="0.25">
      <c r="A111" s="493"/>
      <c r="B111" s="493"/>
      <c r="C111" s="493"/>
      <c r="D111" s="493"/>
      <c r="E111" s="493"/>
      <c r="F111" s="493"/>
      <c r="G111" s="493"/>
      <c r="H111" s="493"/>
      <c r="I111" s="493"/>
      <c r="J111" s="493"/>
      <c r="K111" s="493"/>
      <c r="L111" s="493"/>
      <c r="M111" s="493"/>
    </row>
    <row r="112" spans="1:13" x14ac:dyDescent="0.25">
      <c r="A112" s="493"/>
      <c r="B112" s="493"/>
      <c r="C112" s="493"/>
      <c r="D112" s="493"/>
      <c r="E112" s="493"/>
      <c r="F112" s="493"/>
      <c r="G112" s="493"/>
      <c r="H112" s="493"/>
      <c r="I112" s="493"/>
      <c r="J112" s="493"/>
      <c r="K112" s="493"/>
      <c r="L112" s="493"/>
      <c r="M112" s="493"/>
    </row>
    <row r="113" spans="1:13" x14ac:dyDescent="0.25">
      <c r="A113" s="493"/>
      <c r="B113" s="493"/>
      <c r="C113" s="493"/>
      <c r="D113" s="493"/>
      <c r="E113" s="493"/>
      <c r="F113" s="493"/>
      <c r="G113" s="493"/>
      <c r="H113" s="493"/>
      <c r="I113" s="493"/>
      <c r="J113" s="493"/>
      <c r="K113" s="493"/>
      <c r="L113" s="493"/>
      <c r="M113" s="493"/>
    </row>
    <row r="114" spans="1:13" x14ac:dyDescent="0.25">
      <c r="A114" s="493"/>
      <c r="B114" s="493"/>
      <c r="C114" s="493"/>
      <c r="D114" s="493"/>
      <c r="E114" s="493"/>
      <c r="F114" s="493"/>
      <c r="G114" s="493"/>
      <c r="H114" s="493"/>
      <c r="I114" s="493"/>
      <c r="J114" s="493"/>
      <c r="K114" s="493"/>
      <c r="L114" s="493"/>
      <c r="M114" s="493"/>
    </row>
    <row r="115" spans="1:13" x14ac:dyDescent="0.25">
      <c r="A115" s="493"/>
      <c r="B115" s="493"/>
      <c r="C115" s="493"/>
      <c r="D115" s="493"/>
      <c r="E115" s="493"/>
      <c r="F115" s="493"/>
      <c r="G115" s="493"/>
      <c r="H115" s="493"/>
      <c r="I115" s="493"/>
      <c r="J115" s="493"/>
      <c r="K115" s="493"/>
      <c r="L115" s="493"/>
      <c r="M115" s="493"/>
    </row>
    <row r="116" spans="1:13" x14ac:dyDescent="0.25">
      <c r="A116" s="493"/>
      <c r="B116" s="493"/>
      <c r="C116" s="493"/>
      <c r="D116" s="493"/>
      <c r="E116" s="493"/>
      <c r="F116" s="493"/>
      <c r="G116" s="493"/>
      <c r="H116" s="493"/>
      <c r="I116" s="493"/>
      <c r="J116" s="493"/>
      <c r="K116" s="493"/>
      <c r="L116" s="493"/>
      <c r="M116" s="493"/>
    </row>
    <row r="117" spans="1:13" x14ac:dyDescent="0.25">
      <c r="A117" s="493"/>
      <c r="B117" s="493"/>
      <c r="C117" s="493"/>
      <c r="D117" s="493"/>
      <c r="E117" s="493"/>
      <c r="F117" s="493"/>
      <c r="G117" s="493"/>
      <c r="H117" s="493"/>
      <c r="I117" s="493"/>
      <c r="J117" s="493"/>
      <c r="K117" s="493"/>
      <c r="L117" s="493"/>
      <c r="M117" s="493"/>
    </row>
    <row r="118" spans="1:13" x14ac:dyDescent="0.25">
      <c r="A118" s="493"/>
      <c r="B118" s="493"/>
      <c r="C118" s="493"/>
      <c r="D118" s="493"/>
      <c r="E118" s="493"/>
      <c r="F118" s="493"/>
      <c r="G118" s="493"/>
      <c r="H118" s="493"/>
      <c r="I118" s="493"/>
      <c r="J118" s="493"/>
      <c r="K118" s="493"/>
      <c r="L118" s="493"/>
      <c r="M118" s="493"/>
    </row>
    <row r="119" spans="1:13" x14ac:dyDescent="0.25">
      <c r="A119" s="493"/>
      <c r="B119" s="493"/>
      <c r="C119" s="493"/>
      <c r="D119" s="493"/>
      <c r="E119" s="493"/>
      <c r="F119" s="493"/>
      <c r="G119" s="493"/>
      <c r="H119" s="493"/>
      <c r="I119" s="493"/>
      <c r="J119" s="493"/>
      <c r="K119" s="493"/>
      <c r="L119" s="493"/>
      <c r="M119" s="493"/>
    </row>
    <row r="120" spans="1:13" x14ac:dyDescent="0.25">
      <c r="A120" s="493"/>
      <c r="B120" s="493"/>
      <c r="C120" s="493"/>
      <c r="D120" s="493"/>
      <c r="E120" s="493"/>
      <c r="F120" s="493"/>
      <c r="G120" s="493"/>
      <c r="H120" s="493"/>
      <c r="I120" s="493"/>
      <c r="J120" s="493"/>
      <c r="K120" s="493"/>
      <c r="L120" s="493"/>
      <c r="M120" s="493"/>
    </row>
    <row r="121" spans="1:13" x14ac:dyDescent="0.25">
      <c r="A121" s="493"/>
      <c r="B121" s="493"/>
      <c r="C121" s="493"/>
      <c r="D121" s="493"/>
      <c r="E121" s="493"/>
      <c r="F121" s="493"/>
      <c r="G121" s="493"/>
      <c r="H121" s="493"/>
      <c r="I121" s="493"/>
      <c r="J121" s="493"/>
      <c r="K121" s="493"/>
      <c r="L121" s="493"/>
      <c r="M121" s="493"/>
    </row>
    <row r="122" spans="1:13" x14ac:dyDescent="0.25">
      <c r="A122" s="493"/>
      <c r="B122" s="493"/>
      <c r="C122" s="493"/>
      <c r="D122" s="493"/>
      <c r="E122" s="493"/>
      <c r="F122" s="493"/>
      <c r="G122" s="493"/>
      <c r="H122" s="493"/>
      <c r="I122" s="493"/>
      <c r="J122" s="493"/>
      <c r="K122" s="493"/>
      <c r="L122" s="493"/>
      <c r="M122" s="493"/>
    </row>
    <row r="123" spans="1:13" x14ac:dyDescent="0.25">
      <c r="A123" s="493"/>
      <c r="B123" s="493"/>
      <c r="C123" s="493"/>
      <c r="D123" s="493"/>
      <c r="E123" s="493"/>
      <c r="F123" s="493"/>
      <c r="G123" s="493"/>
      <c r="H123" s="493"/>
      <c r="I123" s="493"/>
      <c r="J123" s="493"/>
      <c r="K123" s="493"/>
      <c r="L123" s="493"/>
      <c r="M123" s="493"/>
    </row>
    <row r="124" spans="1:13" x14ac:dyDescent="0.25">
      <c r="A124" s="493"/>
      <c r="B124" s="493"/>
      <c r="C124" s="493"/>
      <c r="D124" s="493"/>
      <c r="E124" s="493"/>
      <c r="F124" s="493"/>
      <c r="G124" s="493"/>
      <c r="H124" s="493"/>
      <c r="I124" s="493"/>
      <c r="J124" s="493"/>
      <c r="K124" s="493"/>
      <c r="L124" s="493"/>
      <c r="M124" s="493"/>
    </row>
    <row r="125" spans="1:13" x14ac:dyDescent="0.25">
      <c r="A125" s="493"/>
      <c r="B125" s="493"/>
      <c r="C125" s="493"/>
      <c r="D125" s="493"/>
      <c r="E125" s="493"/>
      <c r="F125" s="493"/>
      <c r="G125" s="493"/>
      <c r="H125" s="493"/>
      <c r="I125" s="493"/>
      <c r="J125" s="493"/>
      <c r="K125" s="493"/>
      <c r="L125" s="493"/>
      <c r="M125" s="493"/>
    </row>
    <row r="126" spans="1:13" x14ac:dyDescent="0.25">
      <c r="A126" s="493"/>
      <c r="B126" s="493"/>
      <c r="C126" s="493"/>
      <c r="D126" s="493"/>
      <c r="E126" s="493"/>
      <c r="F126" s="493"/>
      <c r="G126" s="493"/>
      <c r="H126" s="493"/>
      <c r="I126" s="493"/>
      <c r="J126" s="493"/>
      <c r="K126" s="493"/>
      <c r="L126" s="493"/>
      <c r="M126" s="493"/>
    </row>
    <row r="127" spans="1:13" x14ac:dyDescent="0.25">
      <c r="A127" s="493"/>
      <c r="B127" s="493"/>
      <c r="C127" s="493"/>
      <c r="D127" s="493"/>
      <c r="E127" s="493"/>
      <c r="F127" s="493"/>
      <c r="G127" s="493"/>
      <c r="H127" s="493"/>
      <c r="I127" s="493"/>
      <c r="J127" s="493"/>
      <c r="K127" s="493"/>
      <c r="L127" s="493"/>
      <c r="M127" s="493"/>
    </row>
    <row r="128" spans="1:13" x14ac:dyDescent="0.25">
      <c r="A128" s="493"/>
      <c r="B128" s="493"/>
      <c r="C128" s="493"/>
      <c r="D128" s="493"/>
      <c r="E128" s="493"/>
      <c r="F128" s="493"/>
      <c r="G128" s="493"/>
      <c r="H128" s="493"/>
      <c r="I128" s="493"/>
      <c r="J128" s="493"/>
      <c r="K128" s="493"/>
      <c r="L128" s="493"/>
      <c r="M128" s="493"/>
    </row>
    <row r="129" spans="1:13" x14ac:dyDescent="0.25">
      <c r="A129" s="493"/>
      <c r="B129" s="493"/>
      <c r="C129" s="493"/>
      <c r="D129" s="493"/>
      <c r="E129" s="493"/>
      <c r="F129" s="493"/>
      <c r="G129" s="493"/>
      <c r="H129" s="493"/>
      <c r="I129" s="493"/>
      <c r="J129" s="493"/>
      <c r="K129" s="493"/>
      <c r="L129" s="493"/>
      <c r="M129" s="493"/>
    </row>
    <row r="130" spans="1:13" x14ac:dyDescent="0.25">
      <c r="A130" s="493"/>
      <c r="B130" s="493"/>
      <c r="C130" s="493"/>
      <c r="D130" s="493"/>
      <c r="E130" s="493"/>
      <c r="F130" s="493"/>
      <c r="G130" s="493"/>
      <c r="H130" s="493"/>
      <c r="I130" s="493"/>
      <c r="J130" s="493"/>
      <c r="K130" s="493"/>
      <c r="L130" s="493"/>
      <c r="M130" s="493"/>
    </row>
    <row r="131" spans="1:13" x14ac:dyDescent="0.25">
      <c r="A131" s="493"/>
      <c r="B131" s="493"/>
      <c r="C131" s="493"/>
      <c r="D131" s="493"/>
      <c r="E131" s="493"/>
      <c r="F131" s="493"/>
      <c r="G131" s="493"/>
      <c r="H131" s="493"/>
      <c r="I131" s="493"/>
      <c r="J131" s="493"/>
      <c r="K131" s="493"/>
      <c r="L131" s="493"/>
      <c r="M131" s="493"/>
    </row>
    <row r="132" spans="1:13" x14ac:dyDescent="0.25">
      <c r="A132" s="493"/>
      <c r="B132" s="493"/>
      <c r="C132" s="493"/>
      <c r="D132" s="493"/>
      <c r="E132" s="493"/>
      <c r="F132" s="493"/>
      <c r="G132" s="493"/>
      <c r="H132" s="493"/>
      <c r="I132" s="493"/>
      <c r="J132" s="493"/>
      <c r="K132" s="493"/>
      <c r="L132" s="493"/>
      <c r="M132" s="493"/>
    </row>
    <row r="133" spans="1:13" x14ac:dyDescent="0.25">
      <c r="A133" s="493"/>
      <c r="B133" s="493"/>
      <c r="C133" s="493"/>
      <c r="D133" s="493"/>
      <c r="E133" s="493"/>
      <c r="F133" s="493"/>
      <c r="G133" s="493"/>
      <c r="H133" s="493"/>
      <c r="I133" s="493"/>
      <c r="J133" s="493"/>
      <c r="K133" s="493"/>
      <c r="L133" s="493"/>
      <c r="M133" s="493"/>
    </row>
    <row r="134" spans="1:13" x14ac:dyDescent="0.25">
      <c r="A134" s="493"/>
      <c r="B134" s="493"/>
      <c r="C134" s="493"/>
      <c r="D134" s="493"/>
      <c r="E134" s="493"/>
      <c r="F134" s="493"/>
      <c r="G134" s="493"/>
      <c r="H134" s="493"/>
      <c r="I134" s="493"/>
      <c r="J134" s="493"/>
      <c r="K134" s="493"/>
      <c r="L134" s="493"/>
      <c r="M134" s="493"/>
    </row>
    <row r="135" spans="1:13" x14ac:dyDescent="0.25">
      <c r="A135" s="493"/>
      <c r="B135" s="493"/>
      <c r="C135" s="493"/>
      <c r="D135" s="493"/>
      <c r="E135" s="493"/>
      <c r="F135" s="493"/>
      <c r="G135" s="493"/>
      <c r="H135" s="493"/>
      <c r="I135" s="493"/>
      <c r="J135" s="493"/>
      <c r="K135" s="493"/>
      <c r="L135" s="493"/>
      <c r="M135" s="493"/>
    </row>
    <row r="136" spans="1:13" x14ac:dyDescent="0.25">
      <c r="A136" s="493"/>
      <c r="B136" s="493"/>
      <c r="C136" s="493"/>
      <c r="D136" s="493"/>
      <c r="E136" s="493"/>
      <c r="F136" s="493"/>
      <c r="G136" s="493"/>
      <c r="H136" s="493"/>
      <c r="I136" s="493"/>
      <c r="J136" s="493"/>
      <c r="K136" s="493"/>
      <c r="L136" s="493"/>
      <c r="M136" s="493"/>
    </row>
    <row r="137" spans="1:13" x14ac:dyDescent="0.25">
      <c r="A137" s="493"/>
      <c r="B137" s="493"/>
      <c r="C137" s="493"/>
      <c r="D137" s="493"/>
      <c r="E137" s="493"/>
      <c r="F137" s="493"/>
      <c r="G137" s="493"/>
      <c r="H137" s="493"/>
      <c r="I137" s="493"/>
      <c r="J137" s="493"/>
      <c r="K137" s="493"/>
      <c r="L137" s="493"/>
      <c r="M137" s="493"/>
    </row>
    <row r="138" spans="1:13" x14ac:dyDescent="0.25">
      <c r="A138" s="493"/>
      <c r="B138" s="493"/>
      <c r="C138" s="493"/>
      <c r="D138" s="493"/>
      <c r="E138" s="493"/>
      <c r="F138" s="493"/>
      <c r="G138" s="493"/>
      <c r="H138" s="493"/>
      <c r="I138" s="493"/>
      <c r="J138" s="493"/>
      <c r="K138" s="493"/>
      <c r="L138" s="493"/>
      <c r="M138" s="493"/>
    </row>
    <row r="139" spans="1:13" x14ac:dyDescent="0.25">
      <c r="A139" s="493"/>
      <c r="B139" s="493"/>
      <c r="C139" s="493"/>
      <c r="D139" s="493"/>
      <c r="E139" s="493"/>
      <c r="F139" s="493"/>
      <c r="G139" s="493"/>
      <c r="H139" s="493"/>
      <c r="I139" s="493"/>
      <c r="J139" s="493"/>
      <c r="K139" s="493"/>
      <c r="L139" s="493"/>
      <c r="M139" s="493"/>
    </row>
    <row r="140" spans="1:13" x14ac:dyDescent="0.25">
      <c r="A140" s="493"/>
      <c r="B140" s="493"/>
      <c r="C140" s="493"/>
      <c r="D140" s="493"/>
      <c r="E140" s="493"/>
      <c r="F140" s="493"/>
      <c r="G140" s="493"/>
      <c r="H140" s="493"/>
      <c r="I140" s="493"/>
      <c r="J140" s="493"/>
      <c r="K140" s="493"/>
      <c r="L140" s="493"/>
      <c r="M140" s="493"/>
    </row>
    <row r="141" spans="1:13" x14ac:dyDescent="0.25">
      <c r="A141" s="493"/>
      <c r="B141" s="493"/>
      <c r="C141" s="493"/>
      <c r="D141" s="493"/>
      <c r="E141" s="493"/>
      <c r="F141" s="493"/>
      <c r="G141" s="493"/>
      <c r="H141" s="493"/>
      <c r="I141" s="493"/>
      <c r="J141" s="493"/>
      <c r="K141" s="493"/>
      <c r="L141" s="493"/>
      <c r="M141" s="493"/>
    </row>
    <row r="142" spans="1:13" x14ac:dyDescent="0.25">
      <c r="A142" s="493"/>
      <c r="B142" s="493"/>
      <c r="C142" s="493"/>
      <c r="D142" s="493"/>
      <c r="E142" s="493"/>
      <c r="F142" s="493"/>
      <c r="G142" s="493"/>
      <c r="H142" s="493"/>
      <c r="I142" s="493"/>
      <c r="J142" s="493"/>
      <c r="K142" s="493"/>
      <c r="L142" s="493"/>
      <c r="M142" s="493"/>
    </row>
    <row r="143" spans="1:13" x14ac:dyDescent="0.25">
      <c r="A143" s="493"/>
      <c r="B143" s="493"/>
      <c r="C143" s="493"/>
      <c r="D143" s="493"/>
      <c r="E143" s="493"/>
      <c r="F143" s="493"/>
      <c r="G143" s="493"/>
      <c r="H143" s="493"/>
      <c r="I143" s="493"/>
      <c r="J143" s="493"/>
      <c r="K143" s="493"/>
      <c r="L143" s="493"/>
      <c r="M143" s="493"/>
    </row>
    <row r="144" spans="1:13" x14ac:dyDescent="0.25">
      <c r="A144" s="493"/>
      <c r="B144" s="493"/>
      <c r="C144" s="493"/>
      <c r="D144" s="493"/>
      <c r="E144" s="493"/>
      <c r="F144" s="493"/>
      <c r="G144" s="493"/>
      <c r="H144" s="493"/>
      <c r="I144" s="493"/>
      <c r="J144" s="493"/>
      <c r="K144" s="493"/>
      <c r="L144" s="493"/>
      <c r="M144" s="493"/>
    </row>
    <row r="145" spans="1:13" x14ac:dyDescent="0.25">
      <c r="A145" s="493"/>
      <c r="B145" s="493"/>
      <c r="C145" s="493"/>
      <c r="D145" s="493"/>
      <c r="E145" s="493"/>
      <c r="F145" s="493"/>
      <c r="G145" s="493"/>
      <c r="H145" s="493"/>
      <c r="I145" s="493"/>
      <c r="J145" s="493"/>
      <c r="K145" s="493"/>
      <c r="L145" s="493"/>
      <c r="M145" s="493"/>
    </row>
    <row r="146" spans="1:13" x14ac:dyDescent="0.25">
      <c r="A146" s="493"/>
      <c r="B146" s="493"/>
      <c r="C146" s="493"/>
      <c r="D146" s="493"/>
      <c r="E146" s="493"/>
      <c r="F146" s="493"/>
      <c r="G146" s="493"/>
      <c r="H146" s="493"/>
      <c r="I146" s="493"/>
      <c r="J146" s="493"/>
      <c r="K146" s="493"/>
      <c r="L146" s="493"/>
      <c r="M146" s="493"/>
    </row>
    <row r="147" spans="1:13" x14ac:dyDescent="0.25">
      <c r="A147" s="493"/>
      <c r="B147" s="493"/>
      <c r="C147" s="493"/>
      <c r="D147" s="493"/>
      <c r="E147" s="493"/>
      <c r="F147" s="493"/>
      <c r="G147" s="493"/>
      <c r="H147" s="493"/>
      <c r="I147" s="493"/>
      <c r="J147" s="493"/>
      <c r="K147" s="493"/>
      <c r="L147" s="493"/>
      <c r="M147" s="493"/>
    </row>
    <row r="148" spans="1:13" x14ac:dyDescent="0.25">
      <c r="A148" s="493"/>
      <c r="B148" s="493"/>
      <c r="C148" s="493"/>
      <c r="D148" s="493"/>
      <c r="E148" s="493"/>
      <c r="F148" s="493"/>
      <c r="G148" s="493"/>
      <c r="H148" s="493"/>
      <c r="I148" s="493"/>
      <c r="J148" s="493"/>
      <c r="K148" s="493"/>
      <c r="L148" s="493"/>
      <c r="M148" s="493"/>
    </row>
    <row r="149" spans="1:13" x14ac:dyDescent="0.25">
      <c r="A149" s="493"/>
      <c r="B149" s="493"/>
      <c r="C149" s="493"/>
      <c r="D149" s="493"/>
      <c r="E149" s="493"/>
      <c r="F149" s="493"/>
      <c r="G149" s="493"/>
      <c r="H149" s="493"/>
      <c r="I149" s="493"/>
      <c r="J149" s="493"/>
      <c r="K149" s="493"/>
      <c r="L149" s="493"/>
      <c r="M149" s="493"/>
    </row>
    <row r="150" spans="1:13" x14ac:dyDescent="0.25">
      <c r="A150" s="493"/>
      <c r="B150" s="493"/>
      <c r="C150" s="493"/>
      <c r="D150" s="493"/>
      <c r="E150" s="493"/>
      <c r="F150" s="493"/>
      <c r="G150" s="493"/>
      <c r="H150" s="493"/>
      <c r="I150" s="493"/>
      <c r="J150" s="493"/>
      <c r="K150" s="493"/>
      <c r="L150" s="493"/>
      <c r="M150" s="493"/>
    </row>
    <row r="151" spans="1:13" x14ac:dyDescent="0.25">
      <c r="A151" s="493"/>
      <c r="B151" s="493"/>
      <c r="C151" s="493"/>
      <c r="D151" s="493"/>
      <c r="E151" s="493"/>
      <c r="F151" s="493"/>
      <c r="G151" s="493"/>
      <c r="H151" s="493"/>
      <c r="I151" s="493"/>
      <c r="J151" s="493"/>
      <c r="K151" s="493"/>
      <c r="L151" s="493"/>
      <c r="M151" s="493"/>
    </row>
    <row r="152" spans="1:13" x14ac:dyDescent="0.25">
      <c r="A152" s="493"/>
      <c r="B152" s="493"/>
      <c r="C152" s="493"/>
      <c r="D152" s="493"/>
      <c r="E152" s="493"/>
      <c r="F152" s="493"/>
      <c r="G152" s="493"/>
      <c r="H152" s="493"/>
      <c r="I152" s="493"/>
      <c r="J152" s="493"/>
      <c r="K152" s="493"/>
      <c r="L152" s="493"/>
      <c r="M152" s="493"/>
    </row>
    <row r="153" spans="1:13" x14ac:dyDescent="0.25">
      <c r="A153" s="493"/>
      <c r="B153" s="493"/>
      <c r="C153" s="493"/>
      <c r="D153" s="493"/>
      <c r="E153" s="493"/>
      <c r="F153" s="493"/>
      <c r="G153" s="493"/>
      <c r="H153" s="493"/>
      <c r="I153" s="493"/>
      <c r="J153" s="493"/>
      <c r="K153" s="493"/>
      <c r="L153" s="493"/>
      <c r="M153" s="493"/>
    </row>
    <row r="154" spans="1:13" x14ac:dyDescent="0.25">
      <c r="A154" s="493"/>
      <c r="B154" s="493"/>
      <c r="C154" s="493"/>
      <c r="D154" s="493"/>
      <c r="E154" s="493"/>
      <c r="F154" s="493"/>
      <c r="G154" s="493"/>
      <c r="H154" s="493"/>
      <c r="I154" s="493"/>
      <c r="J154" s="493"/>
      <c r="K154" s="493"/>
      <c r="L154" s="493"/>
      <c r="M154" s="493"/>
    </row>
    <row r="155" spans="1:13" x14ac:dyDescent="0.25">
      <c r="A155" s="493"/>
      <c r="B155" s="493"/>
      <c r="C155" s="493"/>
      <c r="D155" s="493"/>
      <c r="E155" s="493"/>
      <c r="F155" s="493"/>
      <c r="G155" s="493"/>
      <c r="H155" s="493"/>
      <c r="I155" s="493"/>
      <c r="J155" s="493"/>
      <c r="K155" s="493"/>
      <c r="L155" s="493"/>
      <c r="M155" s="493"/>
    </row>
    <row r="156" spans="1:13" x14ac:dyDescent="0.25">
      <c r="A156" s="493"/>
      <c r="B156" s="493"/>
      <c r="C156" s="493"/>
      <c r="D156" s="493"/>
      <c r="E156" s="493"/>
      <c r="F156" s="493"/>
      <c r="G156" s="493"/>
      <c r="H156" s="493"/>
      <c r="I156" s="493"/>
      <c r="J156" s="493"/>
      <c r="K156" s="493"/>
      <c r="L156" s="493"/>
      <c r="M156" s="493"/>
    </row>
    <row r="157" spans="1:13" x14ac:dyDescent="0.25">
      <c r="A157" s="493"/>
      <c r="B157" s="493"/>
      <c r="C157" s="493"/>
      <c r="D157" s="493"/>
      <c r="E157" s="493"/>
      <c r="F157" s="493"/>
      <c r="G157" s="493"/>
      <c r="H157" s="493"/>
      <c r="I157" s="493"/>
      <c r="J157" s="493"/>
      <c r="K157" s="493"/>
      <c r="L157" s="493"/>
      <c r="M157" s="493"/>
    </row>
    <row r="158" spans="1:13" x14ac:dyDescent="0.25">
      <c r="A158" s="493"/>
      <c r="B158" s="493"/>
      <c r="C158" s="493"/>
      <c r="D158" s="493"/>
      <c r="E158" s="493"/>
      <c r="F158" s="493"/>
      <c r="G158" s="493"/>
      <c r="H158" s="493"/>
      <c r="I158" s="493"/>
      <c r="J158" s="493"/>
      <c r="K158" s="493"/>
      <c r="L158" s="493"/>
      <c r="M158" s="493"/>
    </row>
    <row r="159" spans="1:13" x14ac:dyDescent="0.25">
      <c r="A159" s="493"/>
      <c r="B159" s="493"/>
      <c r="C159" s="493"/>
      <c r="D159" s="493"/>
      <c r="E159" s="493"/>
      <c r="F159" s="493"/>
      <c r="G159" s="493"/>
      <c r="H159" s="493"/>
      <c r="I159" s="493"/>
      <c r="J159" s="493"/>
      <c r="K159" s="493"/>
      <c r="L159" s="493"/>
      <c r="M159" s="493"/>
    </row>
    <row r="160" spans="1:13" x14ac:dyDescent="0.25">
      <c r="A160" s="493"/>
      <c r="B160" s="493"/>
      <c r="C160" s="493"/>
      <c r="D160" s="493"/>
      <c r="E160" s="493"/>
      <c r="F160" s="493"/>
      <c r="G160" s="493"/>
      <c r="H160" s="493"/>
      <c r="I160" s="493"/>
      <c r="J160" s="493"/>
      <c r="K160" s="493"/>
      <c r="L160" s="493"/>
      <c r="M160" s="493"/>
    </row>
    <row r="161" spans="1:13" x14ac:dyDescent="0.25">
      <c r="A161" s="493"/>
      <c r="B161" s="493"/>
      <c r="C161" s="493"/>
      <c r="D161" s="493"/>
      <c r="E161" s="493"/>
      <c r="F161" s="493"/>
      <c r="G161" s="493"/>
      <c r="H161" s="493"/>
      <c r="I161" s="493"/>
      <c r="J161" s="493"/>
      <c r="K161" s="493"/>
      <c r="L161" s="493"/>
      <c r="M161" s="493"/>
    </row>
    <row r="162" spans="1:13" x14ac:dyDescent="0.25">
      <c r="A162" s="493"/>
      <c r="B162" s="493"/>
      <c r="C162" s="493"/>
      <c r="D162" s="493"/>
      <c r="E162" s="493"/>
      <c r="F162" s="493"/>
      <c r="G162" s="493"/>
      <c r="H162" s="493"/>
      <c r="I162" s="493"/>
      <c r="J162" s="493"/>
      <c r="K162" s="493"/>
      <c r="L162" s="493"/>
      <c r="M162" s="493"/>
    </row>
    <row r="163" spans="1:13" x14ac:dyDescent="0.25">
      <c r="A163" s="493"/>
      <c r="B163" s="493"/>
      <c r="C163" s="493"/>
      <c r="D163" s="493"/>
      <c r="E163" s="493"/>
      <c r="F163" s="493"/>
      <c r="G163" s="493"/>
      <c r="H163" s="493"/>
      <c r="I163" s="493"/>
      <c r="J163" s="493"/>
      <c r="K163" s="493"/>
      <c r="L163" s="493"/>
      <c r="M163" s="493"/>
    </row>
    <row r="164" spans="1:13" x14ac:dyDescent="0.25">
      <c r="A164" s="493"/>
      <c r="B164" s="493"/>
      <c r="C164" s="493"/>
      <c r="D164" s="493"/>
      <c r="E164" s="493"/>
      <c r="F164" s="493"/>
      <c r="G164" s="493"/>
      <c r="H164" s="493"/>
      <c r="I164" s="493"/>
      <c r="J164" s="493"/>
      <c r="K164" s="493"/>
      <c r="L164" s="493"/>
      <c r="M164" s="493"/>
    </row>
    <row r="165" spans="1:13" x14ac:dyDescent="0.25">
      <c r="A165" s="493"/>
      <c r="B165" s="493"/>
      <c r="C165" s="493"/>
      <c r="D165" s="493"/>
      <c r="E165" s="493"/>
      <c r="F165" s="493"/>
      <c r="G165" s="493"/>
      <c r="H165" s="493"/>
      <c r="I165" s="493"/>
      <c r="J165" s="493"/>
      <c r="K165" s="493"/>
      <c r="L165" s="493"/>
      <c r="M165" s="493"/>
    </row>
    <row r="166" spans="1:13" x14ac:dyDescent="0.25">
      <c r="A166" s="493"/>
      <c r="B166" s="493"/>
      <c r="C166" s="493"/>
      <c r="D166" s="493"/>
      <c r="E166" s="493"/>
      <c r="F166" s="493"/>
      <c r="G166" s="493"/>
      <c r="H166" s="493"/>
      <c r="I166" s="493"/>
      <c r="J166" s="493"/>
      <c r="K166" s="493"/>
      <c r="L166" s="493"/>
      <c r="M166" s="493"/>
    </row>
    <row r="167" spans="1:13" x14ac:dyDescent="0.25">
      <c r="A167" s="493"/>
      <c r="B167" s="493"/>
      <c r="C167" s="493"/>
      <c r="D167" s="493"/>
      <c r="E167" s="493"/>
      <c r="F167" s="493"/>
      <c r="G167" s="493"/>
      <c r="H167" s="493"/>
      <c r="I167" s="493"/>
      <c r="J167" s="493"/>
      <c r="K167" s="493"/>
      <c r="L167" s="493"/>
      <c r="M167" s="493"/>
    </row>
    <row r="168" spans="1:13" x14ac:dyDescent="0.25">
      <c r="A168" s="493"/>
      <c r="B168" s="493"/>
      <c r="C168" s="493"/>
      <c r="D168" s="493"/>
      <c r="E168" s="493"/>
      <c r="F168" s="493"/>
      <c r="G168" s="493"/>
      <c r="H168" s="493"/>
      <c r="I168" s="493"/>
      <c r="J168" s="493"/>
      <c r="K168" s="493"/>
      <c r="L168" s="493"/>
      <c r="M168" s="493"/>
    </row>
    <row r="169" spans="1:13" x14ac:dyDescent="0.25">
      <c r="A169" s="493"/>
      <c r="B169" s="493"/>
      <c r="C169" s="493"/>
      <c r="D169" s="493"/>
      <c r="E169" s="493"/>
      <c r="F169" s="493"/>
      <c r="G169" s="493"/>
      <c r="H169" s="493"/>
      <c r="I169" s="493"/>
      <c r="J169" s="493"/>
      <c r="K169" s="493"/>
      <c r="L169" s="493"/>
      <c r="M169" s="493"/>
    </row>
    <row r="170" spans="1:13" x14ac:dyDescent="0.25">
      <c r="A170" s="493"/>
      <c r="B170" s="493"/>
      <c r="C170" s="493"/>
      <c r="D170" s="493"/>
      <c r="E170" s="493"/>
      <c r="F170" s="493"/>
      <c r="G170" s="493"/>
      <c r="H170" s="493"/>
      <c r="I170" s="493"/>
      <c r="J170" s="493"/>
      <c r="K170" s="493"/>
      <c r="L170" s="493"/>
      <c r="M170" s="493"/>
    </row>
    <row r="171" spans="1:13" x14ac:dyDescent="0.25">
      <c r="A171" s="493"/>
      <c r="B171" s="493"/>
      <c r="C171" s="493"/>
      <c r="D171" s="493"/>
      <c r="E171" s="493"/>
      <c r="F171" s="493"/>
      <c r="G171" s="493"/>
      <c r="H171" s="493"/>
      <c r="I171" s="493"/>
      <c r="J171" s="493"/>
      <c r="K171" s="493"/>
      <c r="L171" s="493"/>
      <c r="M171" s="493"/>
    </row>
    <row r="172" spans="1:13" x14ac:dyDescent="0.25">
      <c r="A172" s="493"/>
      <c r="B172" s="493"/>
      <c r="C172" s="493"/>
      <c r="D172" s="493"/>
      <c r="E172" s="493"/>
      <c r="F172" s="493"/>
      <c r="G172" s="493"/>
      <c r="H172" s="493"/>
      <c r="I172" s="493"/>
      <c r="J172" s="493"/>
      <c r="K172" s="493"/>
      <c r="L172" s="493"/>
      <c r="M172" s="493"/>
    </row>
    <row r="173" spans="1:13" x14ac:dyDescent="0.25">
      <c r="A173" s="493"/>
      <c r="B173" s="493"/>
      <c r="C173" s="493"/>
      <c r="D173" s="493"/>
      <c r="E173" s="493"/>
      <c r="F173" s="493"/>
      <c r="G173" s="493"/>
      <c r="H173" s="493"/>
      <c r="I173" s="493"/>
      <c r="J173" s="493"/>
      <c r="K173" s="493"/>
      <c r="L173" s="493"/>
      <c r="M173" s="493"/>
    </row>
    <row r="174" spans="1:13" x14ac:dyDescent="0.25">
      <c r="A174" s="493"/>
      <c r="B174" s="493"/>
      <c r="C174" s="493"/>
      <c r="D174" s="493"/>
      <c r="E174" s="493"/>
      <c r="F174" s="493"/>
      <c r="G174" s="493"/>
      <c r="H174" s="493"/>
      <c r="I174" s="493"/>
      <c r="J174" s="493"/>
      <c r="K174" s="493"/>
      <c r="L174" s="493"/>
      <c r="M174" s="493"/>
    </row>
    <row r="175" spans="1:13" x14ac:dyDescent="0.25">
      <c r="A175" s="493"/>
      <c r="B175" s="493"/>
      <c r="C175" s="493"/>
      <c r="D175" s="493"/>
      <c r="E175" s="493"/>
      <c r="F175" s="493"/>
      <c r="G175" s="493"/>
      <c r="H175" s="493"/>
      <c r="I175" s="493"/>
      <c r="J175" s="493"/>
      <c r="K175" s="493"/>
      <c r="L175" s="493"/>
      <c r="M175" s="493"/>
    </row>
    <row r="176" spans="1:13" x14ac:dyDescent="0.25">
      <c r="A176" s="493"/>
      <c r="B176" s="493"/>
      <c r="C176" s="493"/>
      <c r="D176" s="493"/>
      <c r="E176" s="493"/>
      <c r="F176" s="493"/>
      <c r="G176" s="493"/>
      <c r="H176" s="493"/>
      <c r="I176" s="493"/>
      <c r="J176" s="493"/>
      <c r="K176" s="493"/>
      <c r="L176" s="493"/>
      <c r="M176" s="493"/>
    </row>
    <row r="177" spans="1:13" x14ac:dyDescent="0.25">
      <c r="A177" s="493"/>
      <c r="B177" s="493"/>
      <c r="C177" s="493"/>
      <c r="D177" s="493"/>
      <c r="E177" s="493"/>
      <c r="F177" s="493"/>
      <c r="G177" s="493"/>
      <c r="H177" s="493"/>
      <c r="I177" s="493"/>
      <c r="J177" s="493"/>
      <c r="K177" s="493"/>
      <c r="L177" s="493"/>
      <c r="M177" s="493"/>
    </row>
    <row r="178" spans="1:13" x14ac:dyDescent="0.25">
      <c r="A178" s="493"/>
      <c r="B178" s="493"/>
      <c r="C178" s="493"/>
      <c r="D178" s="493"/>
      <c r="E178" s="493"/>
      <c r="F178" s="493"/>
      <c r="G178" s="493"/>
      <c r="H178" s="493"/>
      <c r="I178" s="493"/>
      <c r="J178" s="493"/>
      <c r="K178" s="493"/>
      <c r="L178" s="493"/>
      <c r="M178" s="493"/>
    </row>
    <row r="179" spans="1:13" x14ac:dyDescent="0.25">
      <c r="A179" s="493"/>
      <c r="B179" s="493"/>
      <c r="C179" s="493"/>
      <c r="D179" s="493"/>
      <c r="E179" s="493"/>
      <c r="F179" s="493"/>
      <c r="G179" s="493"/>
      <c r="H179" s="493"/>
      <c r="I179" s="493"/>
      <c r="J179" s="493"/>
      <c r="K179" s="493"/>
      <c r="L179" s="493"/>
      <c r="M179" s="493"/>
    </row>
    <row r="180" spans="1:13" x14ac:dyDescent="0.25">
      <c r="A180" s="493"/>
      <c r="B180" s="493"/>
      <c r="C180" s="493"/>
      <c r="D180" s="493"/>
      <c r="E180" s="493"/>
      <c r="F180" s="493"/>
      <c r="G180" s="493"/>
      <c r="H180" s="493"/>
      <c r="I180" s="493"/>
      <c r="J180" s="493"/>
      <c r="K180" s="493"/>
      <c r="L180" s="493"/>
      <c r="M180" s="493"/>
    </row>
    <row r="181" spans="1:13" x14ac:dyDescent="0.25">
      <c r="A181" s="493"/>
      <c r="B181" s="493"/>
      <c r="C181" s="493"/>
      <c r="D181" s="493"/>
      <c r="E181" s="493"/>
      <c r="F181" s="493"/>
      <c r="G181" s="493"/>
      <c r="H181" s="493"/>
      <c r="I181" s="493"/>
      <c r="J181" s="493"/>
      <c r="K181" s="493"/>
      <c r="L181" s="493"/>
      <c r="M181" s="493"/>
    </row>
    <row r="182" spans="1:13" x14ac:dyDescent="0.25">
      <c r="A182" s="493"/>
      <c r="B182" s="493"/>
      <c r="C182" s="493"/>
      <c r="D182" s="493"/>
      <c r="E182" s="493"/>
      <c r="F182" s="493"/>
      <c r="G182" s="493"/>
      <c r="H182" s="493"/>
      <c r="I182" s="493"/>
      <c r="J182" s="493"/>
      <c r="K182" s="493"/>
      <c r="L182" s="493"/>
      <c r="M182" s="493"/>
    </row>
    <row r="183" spans="1:13" x14ac:dyDescent="0.25">
      <c r="A183" s="493"/>
      <c r="B183" s="493"/>
      <c r="C183" s="493"/>
      <c r="D183" s="493"/>
      <c r="E183" s="493"/>
      <c r="F183" s="493"/>
      <c r="G183" s="493"/>
      <c r="H183" s="493"/>
      <c r="I183" s="493"/>
      <c r="J183" s="493"/>
      <c r="K183" s="493"/>
      <c r="L183" s="493"/>
      <c r="M183" s="493"/>
    </row>
    <row r="184" spans="1:13" x14ac:dyDescent="0.25">
      <c r="A184" s="493"/>
      <c r="B184" s="493"/>
      <c r="C184" s="493"/>
      <c r="D184" s="493"/>
      <c r="E184" s="493"/>
      <c r="F184" s="493"/>
      <c r="G184" s="493"/>
      <c r="H184" s="493"/>
      <c r="I184" s="493"/>
      <c r="J184" s="493"/>
      <c r="K184" s="493"/>
      <c r="L184" s="493"/>
      <c r="M184" s="493"/>
    </row>
    <row r="185" spans="1:13" x14ac:dyDescent="0.25">
      <c r="A185" s="493"/>
      <c r="B185" s="493"/>
      <c r="C185" s="493"/>
      <c r="D185" s="493"/>
      <c r="E185" s="493"/>
      <c r="F185" s="493"/>
      <c r="G185" s="493"/>
      <c r="H185" s="493"/>
      <c r="I185" s="493"/>
      <c r="J185" s="493"/>
      <c r="K185" s="493"/>
      <c r="L185" s="493"/>
      <c r="M185" s="493"/>
    </row>
    <row r="186" spans="1:13" x14ac:dyDescent="0.25">
      <c r="A186" s="493"/>
      <c r="B186" s="493"/>
      <c r="C186" s="493"/>
      <c r="D186" s="493"/>
      <c r="E186" s="493"/>
      <c r="F186" s="493"/>
      <c r="G186" s="493"/>
      <c r="H186" s="493"/>
      <c r="I186" s="493"/>
      <c r="J186" s="493"/>
      <c r="K186" s="493"/>
      <c r="L186" s="493"/>
      <c r="M186" s="493"/>
    </row>
    <row r="187" spans="1:13" x14ac:dyDescent="0.25">
      <c r="A187" s="493"/>
      <c r="B187" s="493"/>
      <c r="C187" s="493"/>
      <c r="D187" s="493"/>
      <c r="E187" s="493"/>
      <c r="F187" s="493"/>
      <c r="G187" s="493"/>
      <c r="H187" s="493"/>
      <c r="I187" s="493"/>
      <c r="J187" s="493"/>
      <c r="K187" s="493"/>
      <c r="L187" s="493"/>
      <c r="M187" s="493"/>
    </row>
    <row r="188" spans="1:13" x14ac:dyDescent="0.25">
      <c r="A188" s="493"/>
      <c r="B188" s="493"/>
      <c r="C188" s="493"/>
      <c r="D188" s="493"/>
      <c r="E188" s="493"/>
      <c r="F188" s="493"/>
      <c r="G188" s="493"/>
      <c r="H188" s="493"/>
      <c r="I188" s="493"/>
      <c r="J188" s="493"/>
      <c r="K188" s="493"/>
      <c r="L188" s="493"/>
      <c r="M188" s="493"/>
    </row>
    <row r="189" spans="1:13" x14ac:dyDescent="0.25">
      <c r="A189" s="493"/>
      <c r="B189" s="493"/>
      <c r="C189" s="493"/>
      <c r="D189" s="493"/>
      <c r="E189" s="493"/>
      <c r="F189" s="493"/>
      <c r="G189" s="493"/>
      <c r="H189" s="493"/>
      <c r="I189" s="493"/>
      <c r="J189" s="493"/>
      <c r="K189" s="493"/>
      <c r="L189" s="493"/>
      <c r="M189" s="493"/>
    </row>
    <row r="190" spans="1:13" x14ac:dyDescent="0.25">
      <c r="A190" s="493"/>
      <c r="B190" s="493"/>
      <c r="C190" s="493"/>
      <c r="D190" s="493"/>
      <c r="E190" s="493"/>
      <c r="F190" s="493"/>
      <c r="G190" s="493"/>
      <c r="H190" s="493"/>
      <c r="I190" s="493"/>
      <c r="J190" s="493"/>
      <c r="K190" s="493"/>
      <c r="L190" s="493"/>
      <c r="M190" s="493"/>
    </row>
    <row r="191" spans="1:13" x14ac:dyDescent="0.25">
      <c r="A191" s="493"/>
      <c r="B191" s="493"/>
      <c r="C191" s="493"/>
      <c r="D191" s="493"/>
      <c r="E191" s="493"/>
      <c r="F191" s="493"/>
      <c r="G191" s="493"/>
      <c r="H191" s="493"/>
      <c r="I191" s="493"/>
      <c r="J191" s="493"/>
      <c r="K191" s="493"/>
      <c r="L191" s="493"/>
      <c r="M191" s="493"/>
    </row>
    <row r="192" spans="1:13" x14ac:dyDescent="0.25">
      <c r="A192" s="493"/>
      <c r="B192" s="493"/>
      <c r="C192" s="493"/>
      <c r="D192" s="493"/>
      <c r="E192" s="493"/>
      <c r="F192" s="493"/>
      <c r="G192" s="493"/>
      <c r="H192" s="493"/>
      <c r="I192" s="493"/>
      <c r="J192" s="493"/>
      <c r="K192" s="493"/>
      <c r="L192" s="493"/>
      <c r="M192" s="493"/>
    </row>
    <row r="193" spans="1:13" x14ac:dyDescent="0.25">
      <c r="A193" s="493"/>
      <c r="B193" s="493"/>
      <c r="C193" s="493"/>
      <c r="D193" s="493"/>
      <c r="E193" s="493"/>
      <c r="F193" s="493"/>
      <c r="G193" s="493"/>
      <c r="H193" s="493"/>
      <c r="I193" s="493"/>
      <c r="J193" s="493"/>
      <c r="K193" s="493"/>
      <c r="L193" s="493"/>
      <c r="M193" s="493"/>
    </row>
    <row r="194" spans="1:13" x14ac:dyDescent="0.25">
      <c r="A194" s="493"/>
      <c r="B194" s="493"/>
      <c r="C194" s="493"/>
      <c r="D194" s="493"/>
      <c r="E194" s="493"/>
      <c r="F194" s="493"/>
      <c r="G194" s="493"/>
      <c r="H194" s="493"/>
      <c r="I194" s="493"/>
      <c r="J194" s="493"/>
      <c r="K194" s="493"/>
      <c r="L194" s="493"/>
      <c r="M194" s="493"/>
    </row>
  </sheetData>
  <mergeCells count="12">
    <mergeCell ref="B5:C5"/>
    <mergeCell ref="I5:K5"/>
    <mergeCell ref="N5:O5"/>
    <mergeCell ref="S5:U5"/>
    <mergeCell ref="Y5:AA5"/>
    <mergeCell ref="A1:W1"/>
    <mergeCell ref="Y1:AB1"/>
    <mergeCell ref="A2:V2"/>
    <mergeCell ref="Y2:AB2"/>
    <mergeCell ref="B4:L4"/>
    <mergeCell ref="N4:V4"/>
    <mergeCell ref="Y4:AB4"/>
  </mergeCells>
  <pageMargins left="0.75" right="0.75" top="1" bottom="1" header="0.5" footer="0.5"/>
  <pageSetup paperSize="5" scale="80" orientation="landscape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41">
    <pageSetUpPr fitToPage="1"/>
  </sheetPr>
  <dimension ref="A1:AD191"/>
  <sheetViews>
    <sheetView zoomScaleNormal="100" workbookViewId="0">
      <selection activeCell="B8" sqref="B8"/>
    </sheetView>
  </sheetViews>
  <sheetFormatPr defaultColWidth="9.1796875" defaultRowHeight="12.5" x14ac:dyDescent="0.25"/>
  <cols>
    <col min="1" max="1" width="13" style="492" customWidth="1"/>
    <col min="2" max="2" width="7.54296875" style="492" customWidth="1"/>
    <col min="3" max="3" width="4.81640625" style="492" hidden="1" customWidth="1"/>
    <col min="4" max="4" width="8.54296875" style="492" bestFit="1" customWidth="1"/>
    <col min="5" max="5" width="12" style="492" bestFit="1" customWidth="1"/>
    <col min="6" max="6" width="11.1796875" style="492" customWidth="1"/>
    <col min="7" max="7" width="12" style="492" bestFit="1" customWidth="1"/>
    <col min="8" max="8" width="11.1796875" style="492" customWidth="1"/>
    <col min="9" max="9" width="11.54296875" style="492" hidden="1" customWidth="1"/>
    <col min="10" max="10" width="11.54296875" style="492" bestFit="1" customWidth="1"/>
    <col min="11" max="11" width="4.81640625" style="492" hidden="1" customWidth="1"/>
    <col min="12" max="12" width="12.54296875" style="492" customWidth="1"/>
    <col min="13" max="13" width="2.54296875" style="492" customWidth="1"/>
    <col min="14" max="14" width="7" style="492" customWidth="1"/>
    <col min="15" max="15" width="7" style="492" hidden="1" customWidth="1"/>
    <col min="16" max="16" width="8.54296875" style="492" bestFit="1" customWidth="1"/>
    <col min="17" max="17" width="10.7265625" style="492" bestFit="1" customWidth="1"/>
    <col min="18" max="18" width="9.81640625" style="492" bestFit="1" customWidth="1"/>
    <col min="19" max="19" width="10.7265625" style="492" hidden="1" customWidth="1"/>
    <col min="20" max="20" width="9.81640625" style="492" bestFit="1" customWidth="1"/>
    <col min="21" max="21" width="4.81640625" style="492" hidden="1" customWidth="1"/>
    <col min="22" max="22" width="10.7265625" style="492" bestFit="1" customWidth="1"/>
    <col min="23" max="23" width="2.7265625" style="492" customWidth="1"/>
    <col min="24" max="24" width="13.81640625" style="492" bestFit="1" customWidth="1"/>
    <col min="25" max="25" width="12.81640625" style="492" hidden="1" customWidth="1"/>
    <col min="26" max="26" width="11.54296875" style="492" bestFit="1" customWidth="1"/>
    <col min="27" max="27" width="4.81640625" style="492" hidden="1" customWidth="1"/>
    <col min="28" max="28" width="10.453125" style="492" bestFit="1" customWidth="1"/>
    <col min="29" max="29" width="11.81640625" style="492" customWidth="1"/>
    <col min="30" max="30" width="9.7265625" style="492" bestFit="1" customWidth="1"/>
    <col min="31" max="16384" width="9.1796875" style="492"/>
  </cols>
  <sheetData>
    <row r="1" spans="1:30" ht="13" x14ac:dyDescent="0.3">
      <c r="A1" s="813" t="s">
        <v>497</v>
      </c>
      <c r="B1" s="813"/>
      <c r="C1" s="813"/>
      <c r="D1" s="813"/>
      <c r="E1" s="813"/>
      <c r="F1" s="813"/>
      <c r="G1" s="813"/>
      <c r="H1" s="813"/>
      <c r="I1" s="813"/>
      <c r="J1" s="813"/>
      <c r="K1" s="813"/>
      <c r="L1" s="813"/>
      <c r="M1" s="813"/>
      <c r="N1" s="813"/>
      <c r="O1" s="813"/>
      <c r="P1" s="813"/>
      <c r="Q1" s="813"/>
      <c r="R1" s="813"/>
      <c r="S1" s="813"/>
      <c r="T1" s="813"/>
      <c r="U1" s="813"/>
      <c r="V1" s="813"/>
      <c r="W1" s="813"/>
      <c r="X1" s="491"/>
      <c r="Y1" s="823"/>
      <c r="Z1" s="823"/>
      <c r="AA1" s="823"/>
      <c r="AB1" s="823"/>
    </row>
    <row r="2" spans="1:30" ht="13" x14ac:dyDescent="0.3">
      <c r="A2" s="815">
        <f>'[100]Sales Forecast'!E6</f>
        <v>44044</v>
      </c>
      <c r="B2" s="815"/>
      <c r="C2" s="815"/>
      <c r="D2" s="815"/>
      <c r="E2" s="815"/>
      <c r="F2" s="815"/>
      <c r="G2" s="815"/>
      <c r="H2" s="815"/>
      <c r="I2" s="815"/>
      <c r="J2" s="815"/>
      <c r="K2" s="815"/>
      <c r="L2" s="815"/>
      <c r="M2" s="815"/>
      <c r="N2" s="815"/>
      <c r="O2" s="815"/>
      <c r="P2" s="815"/>
      <c r="Q2" s="815"/>
      <c r="R2" s="815"/>
      <c r="S2" s="815"/>
      <c r="T2" s="815"/>
      <c r="U2" s="815"/>
      <c r="V2" s="815"/>
      <c r="Y2" s="824"/>
      <c r="Z2" s="824"/>
      <c r="AA2" s="824"/>
      <c r="AB2" s="824"/>
    </row>
    <row r="3" spans="1:30" ht="13" thickBot="1" x14ac:dyDescent="0.3">
      <c r="A3" s="493"/>
      <c r="B3" s="493"/>
      <c r="C3" s="493"/>
      <c r="D3" s="493"/>
      <c r="E3" s="493"/>
      <c r="F3" s="493"/>
      <c r="G3" s="493"/>
      <c r="H3" s="493"/>
      <c r="I3" s="493"/>
      <c r="J3" s="493"/>
      <c r="K3" s="493"/>
      <c r="L3" s="493"/>
      <c r="M3" s="493"/>
    </row>
    <row r="4" spans="1:30" ht="13.5" thickBot="1" x14ac:dyDescent="0.35">
      <c r="A4" s="493"/>
      <c r="B4" s="825" t="s">
        <v>498</v>
      </c>
      <c r="C4" s="826"/>
      <c r="D4" s="826"/>
      <c r="E4" s="826"/>
      <c r="F4" s="826"/>
      <c r="G4" s="826"/>
      <c r="H4" s="826"/>
      <c r="I4" s="826"/>
      <c r="J4" s="826"/>
      <c r="K4" s="826"/>
      <c r="L4" s="826"/>
      <c r="M4" s="493"/>
      <c r="N4" s="825" t="s">
        <v>499</v>
      </c>
      <c r="O4" s="826"/>
      <c r="P4" s="826"/>
      <c r="Q4" s="826"/>
      <c r="R4" s="826"/>
      <c r="S4" s="826"/>
      <c r="T4" s="826"/>
      <c r="U4" s="826"/>
      <c r="V4" s="826"/>
      <c r="Y4" s="827" t="s">
        <v>500</v>
      </c>
      <c r="Z4" s="828"/>
      <c r="AA4" s="828"/>
      <c r="AB4" s="828"/>
      <c r="AC4" s="494"/>
    </row>
    <row r="5" spans="1:30" x14ac:dyDescent="0.25">
      <c r="A5" s="493"/>
      <c r="B5" s="829" t="s">
        <v>501</v>
      </c>
      <c r="C5" s="829"/>
      <c r="D5" s="495" t="s">
        <v>284</v>
      </c>
      <c r="E5" s="495" t="s">
        <v>162</v>
      </c>
      <c r="F5" s="495" t="s">
        <v>162</v>
      </c>
      <c r="G5" s="495" t="s">
        <v>283</v>
      </c>
      <c r="H5" s="495" t="s">
        <v>283</v>
      </c>
      <c r="I5" s="829" t="s">
        <v>502</v>
      </c>
      <c r="J5" s="829"/>
      <c r="K5" s="829"/>
      <c r="L5" s="496" t="s">
        <v>503</v>
      </c>
      <c r="M5" s="493"/>
      <c r="N5" s="829" t="s">
        <v>501</v>
      </c>
      <c r="O5" s="829"/>
      <c r="P5" s="495" t="str">
        <f>D5</f>
        <v>Capacity</v>
      </c>
      <c r="Q5" s="495" t="s">
        <v>260</v>
      </c>
      <c r="R5" s="495" t="s">
        <v>260</v>
      </c>
      <c r="S5" s="829" t="s">
        <v>504</v>
      </c>
      <c r="T5" s="829"/>
      <c r="U5" s="829"/>
      <c r="V5" s="496" t="s">
        <v>505</v>
      </c>
      <c r="Y5" s="830" t="s">
        <v>506</v>
      </c>
      <c r="Z5" s="830"/>
      <c r="AA5" s="830"/>
      <c r="AB5" s="496" t="s">
        <v>507</v>
      </c>
      <c r="AC5" s="497"/>
    </row>
    <row r="6" spans="1:30" x14ac:dyDescent="0.25">
      <c r="A6" s="493" t="s">
        <v>508</v>
      </c>
      <c r="B6" s="498" t="s">
        <v>368</v>
      </c>
      <c r="C6" s="498" t="s">
        <v>366</v>
      </c>
      <c r="D6" s="498" t="s">
        <v>366</v>
      </c>
      <c r="E6" s="498" t="s">
        <v>509</v>
      </c>
      <c r="F6" s="498" t="s">
        <v>135</v>
      </c>
      <c r="G6" s="498" t="s">
        <v>509</v>
      </c>
      <c r="H6" s="498" t="s">
        <v>135</v>
      </c>
      <c r="I6" s="498" t="s">
        <v>510</v>
      </c>
      <c r="J6" s="498" t="str">
        <f>D5</f>
        <v>Capacity</v>
      </c>
      <c r="K6" s="498" t="s">
        <v>162</v>
      </c>
      <c r="L6" s="498" t="s">
        <v>162</v>
      </c>
      <c r="M6" s="499"/>
      <c r="N6" s="498" t="s">
        <v>368</v>
      </c>
      <c r="O6" s="498" t="s">
        <v>366</v>
      </c>
      <c r="P6" s="498" t="s">
        <v>366</v>
      </c>
      <c r="Q6" s="498" t="s">
        <v>509</v>
      </c>
      <c r="R6" s="498" t="s">
        <v>135</v>
      </c>
      <c r="S6" s="498" t="s">
        <v>510</v>
      </c>
      <c r="T6" s="498" t="str">
        <f>J6</f>
        <v>Capacity</v>
      </c>
      <c r="U6" s="498" t="s">
        <v>162</v>
      </c>
      <c r="V6" s="498" t="s">
        <v>162</v>
      </c>
      <c r="X6" s="498" t="s">
        <v>508</v>
      </c>
      <c r="Y6" s="498" t="s">
        <v>510</v>
      </c>
      <c r="Z6" s="498" t="str">
        <f>T6</f>
        <v>Capacity</v>
      </c>
      <c r="AA6" s="498" t="s">
        <v>162</v>
      </c>
      <c r="AB6" s="498" t="s">
        <v>162</v>
      </c>
      <c r="AC6" s="498"/>
    </row>
    <row r="7" spans="1:30" x14ac:dyDescent="0.25">
      <c r="A7" s="493"/>
      <c r="B7" s="493"/>
      <c r="C7" s="493"/>
      <c r="D7" s="493"/>
      <c r="E7" s="493"/>
      <c r="F7" s="493"/>
      <c r="G7" s="493"/>
      <c r="H7" s="493"/>
      <c r="I7" s="493"/>
      <c r="J7" s="493"/>
      <c r="K7" s="493"/>
      <c r="L7" s="493"/>
      <c r="M7" s="493"/>
      <c r="N7" s="493"/>
      <c r="O7" s="493"/>
      <c r="P7" s="493"/>
      <c r="Q7" s="493"/>
      <c r="R7" s="493"/>
      <c r="S7" s="493"/>
      <c r="T7" s="493"/>
      <c r="U7" s="493"/>
      <c r="V7" s="493"/>
    </row>
    <row r="8" spans="1:30" x14ac:dyDescent="0.25">
      <c r="A8" s="500">
        <v>1</v>
      </c>
      <c r="B8" s="529">
        <f>'Forecast MAC Total'!R21</f>
        <v>7.5700000000000003E-3</v>
      </c>
      <c r="C8" s="522" t="e">
        <f>#REF!</f>
        <v>#REF!</v>
      </c>
      <c r="D8" s="522">
        <f>+'May - Oct Capacity MSC by Class'!G20</f>
        <v>3.4700000000000002E-2</v>
      </c>
      <c r="E8" s="530">
        <f>+'Adj Sales Forecast'!E10</f>
        <v>1618941469</v>
      </c>
      <c r="F8" s="493">
        <v>0</v>
      </c>
      <c r="G8" s="8">
        <f>ROUND(E8*0.88,0)</f>
        <v>1424668493</v>
      </c>
      <c r="H8" s="8">
        <f>ROUND(F8*0.88,0)</f>
        <v>0</v>
      </c>
      <c r="I8" s="169" t="e">
        <f>ROUND(C8*G8,0)</f>
        <v>#REF!</v>
      </c>
      <c r="J8" s="169">
        <f>ROUND(D8*G8,0)</f>
        <v>49435997</v>
      </c>
      <c r="K8" s="169" t="e">
        <f t="shared" ref="K8:K19" si="0">I8+J8</f>
        <v>#REF!</v>
      </c>
      <c r="L8" s="169">
        <f t="shared" ref="L8:L19" si="1">ROUND(B8*G8,0)</f>
        <v>10784740</v>
      </c>
      <c r="M8" s="493"/>
      <c r="N8" s="493">
        <f t="shared" ref="N8:N19" si="2">$B$8</f>
        <v>7.5700000000000003E-3</v>
      </c>
      <c r="O8" s="493" t="e">
        <f>#REF!</f>
        <v>#REF!</v>
      </c>
      <c r="P8" s="508">
        <f>'May Price Out'!P8</f>
        <v>2.4369999999999999E-2</v>
      </c>
      <c r="Q8" s="502">
        <f>E8-G8</f>
        <v>194272976</v>
      </c>
      <c r="R8" s="502">
        <f>F8-H8</f>
        <v>0</v>
      </c>
      <c r="S8" s="169" t="e">
        <f t="shared" ref="S8:S19" si="3">ROUND(O8*Q8,0)</f>
        <v>#REF!</v>
      </c>
      <c r="T8" s="169">
        <f>ROUND(P8*Q8,0)</f>
        <v>4734432</v>
      </c>
      <c r="U8" s="169" t="e">
        <f t="shared" ref="U8:U19" si="4">S8+T8</f>
        <v>#REF!</v>
      </c>
      <c r="V8" s="169">
        <f t="shared" ref="V8:V19" si="5">ROUND(N8*Q8,0)</f>
        <v>1470646</v>
      </c>
      <c r="X8" s="500">
        <v>1</v>
      </c>
      <c r="Y8" s="503" t="e">
        <f t="shared" ref="Y8:Z19" si="6">I8+S8</f>
        <v>#REF!</v>
      </c>
      <c r="Z8" s="503">
        <f t="shared" si="6"/>
        <v>54170429</v>
      </c>
      <c r="AA8" s="503" t="e">
        <f t="shared" ref="AA8:AA19" si="7">Y8+Z8</f>
        <v>#REF!</v>
      </c>
      <c r="AB8" s="503">
        <f t="shared" ref="AB8:AB19" si="8">L8+V8</f>
        <v>12255386</v>
      </c>
    </row>
    <row r="9" spans="1:30" x14ac:dyDescent="0.25">
      <c r="A9" s="500" t="s">
        <v>511</v>
      </c>
      <c r="B9" s="529">
        <f>$B$8</f>
        <v>7.5700000000000003E-3</v>
      </c>
      <c r="C9" s="522" t="e">
        <f>#REF!</f>
        <v>#REF!</v>
      </c>
      <c r="D9" s="522">
        <f>+'May - Oct Capacity MSC by Class'!G40</f>
        <v>7.7899999999999997E-2</v>
      </c>
      <c r="E9" s="530">
        <f>+'Adj Sales Forecast'!E37</f>
        <v>3177962</v>
      </c>
      <c r="F9" s="493">
        <v>0</v>
      </c>
      <c r="G9" s="8">
        <f>ROUND(E9*0.88,0)</f>
        <v>2796607</v>
      </c>
      <c r="H9" s="8">
        <f>ROUND(F9*0.88,0)</f>
        <v>0</v>
      </c>
      <c r="I9" s="169" t="e">
        <f t="shared" ref="I9:I19" si="9">ROUND(C9*G9,0)</f>
        <v>#REF!</v>
      </c>
      <c r="J9" s="169">
        <f t="shared" ref="J9:J19" si="10">ROUND(D9*G9,0)</f>
        <v>217856</v>
      </c>
      <c r="K9" s="169" t="e">
        <f t="shared" si="0"/>
        <v>#REF!</v>
      </c>
      <c r="L9" s="169">
        <f t="shared" si="1"/>
        <v>21170</v>
      </c>
      <c r="M9" s="493"/>
      <c r="N9" s="493">
        <f t="shared" si="2"/>
        <v>7.5700000000000003E-3</v>
      </c>
      <c r="O9" s="493" t="e">
        <f>#REF!</f>
        <v>#REF!</v>
      </c>
      <c r="P9" s="509">
        <f>'May Price Out'!P9</f>
        <v>5.4699999999999999E-2</v>
      </c>
      <c r="Q9" s="502">
        <f>E9-G9</f>
        <v>381355</v>
      </c>
      <c r="R9" s="502">
        <f>F9-H9</f>
        <v>0</v>
      </c>
      <c r="S9" s="169" t="e">
        <f t="shared" si="3"/>
        <v>#REF!</v>
      </c>
      <c r="T9" s="169">
        <f t="shared" ref="T9:T19" si="11">ROUND(P9*Q9,0)</f>
        <v>20860</v>
      </c>
      <c r="U9" s="169" t="e">
        <f t="shared" si="4"/>
        <v>#REF!</v>
      </c>
      <c r="V9" s="169">
        <f t="shared" si="5"/>
        <v>2887</v>
      </c>
      <c r="X9" s="500" t="s">
        <v>511</v>
      </c>
      <c r="Y9" s="503" t="e">
        <f t="shared" si="6"/>
        <v>#REF!</v>
      </c>
      <c r="Z9" s="503">
        <f t="shared" si="6"/>
        <v>238716</v>
      </c>
      <c r="AA9" s="503" t="e">
        <f t="shared" si="7"/>
        <v>#REF!</v>
      </c>
      <c r="AB9" s="503">
        <f t="shared" si="8"/>
        <v>24057</v>
      </c>
      <c r="AD9" s="503"/>
    </row>
    <row r="10" spans="1:30" x14ac:dyDescent="0.25">
      <c r="A10" s="500" t="s">
        <v>512</v>
      </c>
      <c r="B10" s="529">
        <f t="shared" ref="B10:B42" si="12">$B$8</f>
        <v>7.5700000000000003E-3</v>
      </c>
      <c r="C10" s="533" t="e">
        <f>#REF!</f>
        <v>#REF!</v>
      </c>
      <c r="D10" s="522">
        <v>0</v>
      </c>
      <c r="E10" s="530">
        <f>+'Adj Sales Forecast'!E38</f>
        <v>4880569</v>
      </c>
      <c r="F10" s="493">
        <v>0</v>
      </c>
      <c r="G10" s="8">
        <f t="shared" ref="G10:H19" si="13">ROUND(E10*0.88,0)</f>
        <v>4294901</v>
      </c>
      <c r="H10" s="8"/>
      <c r="I10" s="169" t="e">
        <f t="shared" si="9"/>
        <v>#REF!</v>
      </c>
      <c r="J10" s="169">
        <f t="shared" si="10"/>
        <v>0</v>
      </c>
      <c r="K10" s="169" t="e">
        <f t="shared" si="0"/>
        <v>#REF!</v>
      </c>
      <c r="L10" s="169">
        <f t="shared" si="1"/>
        <v>32512</v>
      </c>
      <c r="M10" s="493"/>
      <c r="N10" s="493">
        <f t="shared" si="2"/>
        <v>7.5700000000000003E-3</v>
      </c>
      <c r="O10" s="504" t="e">
        <f>#REF!</f>
        <v>#REF!</v>
      </c>
      <c r="P10" s="509">
        <f>'May Price Out'!P10</f>
        <v>0</v>
      </c>
      <c r="Q10" s="502">
        <f t="shared" ref="Q10:R19" si="14">E10-G10</f>
        <v>585668</v>
      </c>
      <c r="R10" s="502"/>
      <c r="S10" s="169" t="e">
        <f t="shared" si="3"/>
        <v>#REF!</v>
      </c>
      <c r="T10" s="169">
        <f t="shared" si="11"/>
        <v>0</v>
      </c>
      <c r="U10" s="169" t="e">
        <f t="shared" si="4"/>
        <v>#REF!</v>
      </c>
      <c r="V10" s="169">
        <f t="shared" si="5"/>
        <v>4434</v>
      </c>
      <c r="X10" s="500" t="s">
        <v>512</v>
      </c>
      <c r="Y10" s="503" t="e">
        <f t="shared" si="6"/>
        <v>#REF!</v>
      </c>
      <c r="Z10" s="503">
        <f t="shared" si="6"/>
        <v>0</v>
      </c>
      <c r="AA10" s="503" t="e">
        <f t="shared" si="7"/>
        <v>#REF!</v>
      </c>
      <c r="AB10" s="503">
        <f t="shared" si="8"/>
        <v>36946</v>
      </c>
    </row>
    <row r="11" spans="1:30" x14ac:dyDescent="0.25">
      <c r="A11" s="500">
        <v>2</v>
      </c>
      <c r="B11" s="529">
        <f t="shared" si="12"/>
        <v>7.5700000000000003E-3</v>
      </c>
      <c r="C11" s="533" t="e">
        <f>#REF!</f>
        <v>#REF!</v>
      </c>
      <c r="D11" s="522">
        <f>+'May - Oct Capacity MSC by Class'!G21</f>
        <v>0.02</v>
      </c>
      <c r="E11" s="530">
        <f>+'Adj Sales Forecast'!E15</f>
        <v>207869104</v>
      </c>
      <c r="F11" s="493">
        <v>0</v>
      </c>
      <c r="G11" s="8">
        <f t="shared" si="13"/>
        <v>182924812</v>
      </c>
      <c r="H11" s="8">
        <f t="shared" si="13"/>
        <v>0</v>
      </c>
      <c r="I11" s="169" t="e">
        <f t="shared" si="9"/>
        <v>#REF!</v>
      </c>
      <c r="J11" s="169">
        <f t="shared" si="10"/>
        <v>3658496</v>
      </c>
      <c r="K11" s="169" t="e">
        <f t="shared" si="0"/>
        <v>#REF!</v>
      </c>
      <c r="L11" s="169">
        <f t="shared" si="1"/>
        <v>1384741</v>
      </c>
      <c r="M11" s="493"/>
      <c r="N11" s="493">
        <f t="shared" si="2"/>
        <v>7.5700000000000003E-3</v>
      </c>
      <c r="O11" s="504" t="e">
        <f>#REF!</f>
        <v>#REF!</v>
      </c>
      <c r="P11" s="509">
        <f>'May Price Out'!P11</f>
        <v>1.8599999999999998E-2</v>
      </c>
      <c r="Q11" s="502">
        <f t="shared" si="14"/>
        <v>24944292</v>
      </c>
      <c r="R11" s="502">
        <f t="shared" si="14"/>
        <v>0</v>
      </c>
      <c r="S11" s="169" t="e">
        <f t="shared" si="3"/>
        <v>#REF!</v>
      </c>
      <c r="T11" s="169">
        <f t="shared" si="11"/>
        <v>463964</v>
      </c>
      <c r="U11" s="169" t="e">
        <f t="shared" si="4"/>
        <v>#REF!</v>
      </c>
      <c r="V11" s="169">
        <f t="shared" si="5"/>
        <v>188828</v>
      </c>
      <c r="X11" s="500">
        <v>2</v>
      </c>
      <c r="Y11" s="503" t="e">
        <f t="shared" si="6"/>
        <v>#REF!</v>
      </c>
      <c r="Z11" s="503">
        <f t="shared" si="6"/>
        <v>4122460</v>
      </c>
      <c r="AA11" s="503" t="e">
        <f t="shared" si="7"/>
        <v>#REF!</v>
      </c>
      <c r="AB11" s="503">
        <f t="shared" si="8"/>
        <v>1573569</v>
      </c>
    </row>
    <row r="12" spans="1:30" x14ac:dyDescent="0.25">
      <c r="A12" s="500" t="s">
        <v>513</v>
      </c>
      <c r="B12" s="529">
        <f t="shared" si="12"/>
        <v>7.5700000000000003E-3</v>
      </c>
      <c r="C12" s="522" t="e">
        <f>#REF!</f>
        <v>#REF!</v>
      </c>
      <c r="D12" s="522">
        <f>+'May - Oct Capacity MSC by Class'!G43</f>
        <v>4.1200000000000001E-2</v>
      </c>
      <c r="E12" s="530">
        <f>+'Adj Sales Forecast'!E40</f>
        <v>4359578</v>
      </c>
      <c r="F12" s="493">
        <v>0</v>
      </c>
      <c r="G12" s="8">
        <f t="shared" si="13"/>
        <v>3836429</v>
      </c>
      <c r="H12" s="8">
        <f t="shared" si="13"/>
        <v>0</v>
      </c>
      <c r="I12" s="169" t="e">
        <f t="shared" si="9"/>
        <v>#REF!</v>
      </c>
      <c r="J12" s="169">
        <f t="shared" si="10"/>
        <v>158061</v>
      </c>
      <c r="K12" s="169" t="e">
        <f t="shared" si="0"/>
        <v>#REF!</v>
      </c>
      <c r="L12" s="169">
        <f t="shared" si="1"/>
        <v>29042</v>
      </c>
      <c r="M12" s="493"/>
      <c r="N12" s="493">
        <f t="shared" si="2"/>
        <v>7.5700000000000003E-3</v>
      </c>
      <c r="O12" s="493" t="e">
        <f>#REF!</f>
        <v>#REF!</v>
      </c>
      <c r="P12" s="509">
        <f>'May Price Out'!P12</f>
        <v>3.8199999999999998E-2</v>
      </c>
      <c r="Q12" s="502">
        <f t="shared" si="14"/>
        <v>523149</v>
      </c>
      <c r="R12" s="502">
        <f t="shared" si="14"/>
        <v>0</v>
      </c>
      <c r="S12" s="169" t="e">
        <f t="shared" si="3"/>
        <v>#REF!</v>
      </c>
      <c r="T12" s="169">
        <f t="shared" si="11"/>
        <v>19984</v>
      </c>
      <c r="U12" s="169" t="e">
        <f t="shared" si="4"/>
        <v>#REF!</v>
      </c>
      <c r="V12" s="169">
        <f t="shared" si="5"/>
        <v>3960</v>
      </c>
      <c r="X12" s="500" t="s">
        <v>513</v>
      </c>
      <c r="Y12" s="503" t="e">
        <f t="shared" si="6"/>
        <v>#REF!</v>
      </c>
      <c r="Z12" s="503">
        <f t="shared" si="6"/>
        <v>178045</v>
      </c>
      <c r="AA12" s="503" t="e">
        <f t="shared" si="7"/>
        <v>#REF!</v>
      </c>
      <c r="AB12" s="503">
        <f t="shared" si="8"/>
        <v>33002</v>
      </c>
    </row>
    <row r="13" spans="1:30" x14ac:dyDescent="0.25">
      <c r="A13" s="500" t="s">
        <v>514</v>
      </c>
      <c r="B13" s="529">
        <f t="shared" si="12"/>
        <v>7.5700000000000003E-3</v>
      </c>
      <c r="C13" s="533" t="e">
        <f>#REF!</f>
        <v>#REF!</v>
      </c>
      <c r="D13" s="522">
        <v>0</v>
      </c>
      <c r="E13" s="530">
        <f>+'Adj Sales Forecast'!E41</f>
        <v>5771318</v>
      </c>
      <c r="F13" s="493">
        <v>0</v>
      </c>
      <c r="G13" s="8">
        <f t="shared" si="13"/>
        <v>5078760</v>
      </c>
      <c r="H13" s="8">
        <f t="shared" si="13"/>
        <v>0</v>
      </c>
      <c r="I13" s="169" t="e">
        <f t="shared" si="9"/>
        <v>#REF!</v>
      </c>
      <c r="J13" s="169">
        <f t="shared" si="10"/>
        <v>0</v>
      </c>
      <c r="K13" s="169" t="e">
        <f t="shared" si="0"/>
        <v>#REF!</v>
      </c>
      <c r="L13" s="169">
        <f t="shared" si="1"/>
        <v>38446</v>
      </c>
      <c r="M13" s="493"/>
      <c r="N13" s="493">
        <f t="shared" si="2"/>
        <v>7.5700000000000003E-3</v>
      </c>
      <c r="O13" s="504" t="e">
        <f>#REF!</f>
        <v>#REF!</v>
      </c>
      <c r="P13" s="509">
        <f>'May Price Out'!P13</f>
        <v>0</v>
      </c>
      <c r="Q13" s="502">
        <f t="shared" si="14"/>
        <v>692558</v>
      </c>
      <c r="R13" s="502">
        <f t="shared" si="14"/>
        <v>0</v>
      </c>
      <c r="S13" s="169" t="e">
        <f t="shared" si="3"/>
        <v>#REF!</v>
      </c>
      <c r="T13" s="169">
        <f t="shared" si="11"/>
        <v>0</v>
      </c>
      <c r="U13" s="169" t="e">
        <f t="shared" si="4"/>
        <v>#REF!</v>
      </c>
      <c r="V13" s="169">
        <f t="shared" si="5"/>
        <v>5243</v>
      </c>
      <c r="X13" s="500" t="s">
        <v>514</v>
      </c>
      <c r="Y13" s="503" t="e">
        <f t="shared" si="6"/>
        <v>#REF!</v>
      </c>
      <c r="Z13" s="503">
        <f t="shared" si="6"/>
        <v>0</v>
      </c>
      <c r="AA13" s="503" t="e">
        <f t="shared" si="7"/>
        <v>#REF!</v>
      </c>
      <c r="AB13" s="503">
        <f t="shared" si="8"/>
        <v>43689</v>
      </c>
    </row>
    <row r="14" spans="1:30" x14ac:dyDescent="0.25">
      <c r="A14" s="500">
        <v>6</v>
      </c>
      <c r="B14" s="529">
        <f t="shared" si="12"/>
        <v>7.5700000000000003E-3</v>
      </c>
      <c r="C14" s="522" t="e">
        <f>#REF!</f>
        <v>#REF!</v>
      </c>
      <c r="D14" s="522">
        <f>+'May - Oct Capacity MSC by Class'!G25</f>
        <v>4.0000000000000002E-4</v>
      </c>
      <c r="E14" s="530">
        <f>+'Adj Sales Forecast'!E18</f>
        <v>473620</v>
      </c>
      <c r="F14" s="493">
        <v>0</v>
      </c>
      <c r="G14" s="8">
        <f t="shared" si="13"/>
        <v>416786</v>
      </c>
      <c r="H14" s="8">
        <f t="shared" si="13"/>
        <v>0</v>
      </c>
      <c r="I14" s="169" t="e">
        <f t="shared" si="9"/>
        <v>#REF!</v>
      </c>
      <c r="J14" s="169">
        <f t="shared" si="10"/>
        <v>167</v>
      </c>
      <c r="K14" s="169" t="e">
        <f t="shared" si="0"/>
        <v>#REF!</v>
      </c>
      <c r="L14" s="169">
        <f t="shared" si="1"/>
        <v>3155</v>
      </c>
      <c r="M14" s="493"/>
      <c r="N14" s="493">
        <f t="shared" si="2"/>
        <v>7.5700000000000003E-3</v>
      </c>
      <c r="O14" s="493" t="e">
        <f>#REF!</f>
        <v>#REF!</v>
      </c>
      <c r="P14" s="509">
        <f>'May Price Out'!P14</f>
        <v>4.0000000000000002E-4</v>
      </c>
      <c r="Q14" s="502">
        <f t="shared" si="14"/>
        <v>56834</v>
      </c>
      <c r="R14" s="502">
        <f t="shared" si="14"/>
        <v>0</v>
      </c>
      <c r="S14" s="169" t="e">
        <f t="shared" si="3"/>
        <v>#REF!</v>
      </c>
      <c r="T14" s="169">
        <f t="shared" si="11"/>
        <v>23</v>
      </c>
      <c r="U14" s="169" t="e">
        <f t="shared" si="4"/>
        <v>#REF!</v>
      </c>
      <c r="V14" s="169">
        <f t="shared" si="5"/>
        <v>430</v>
      </c>
      <c r="X14" s="500">
        <v>6</v>
      </c>
      <c r="Y14" s="503" t="e">
        <f t="shared" si="6"/>
        <v>#REF!</v>
      </c>
      <c r="Z14" s="503">
        <f t="shared" si="6"/>
        <v>190</v>
      </c>
      <c r="AA14" s="503" t="e">
        <f t="shared" si="7"/>
        <v>#REF!</v>
      </c>
      <c r="AB14" s="503">
        <f t="shared" si="8"/>
        <v>3585</v>
      </c>
    </row>
    <row r="15" spans="1:30" hidden="1" x14ac:dyDescent="0.25">
      <c r="A15" s="500">
        <v>7</v>
      </c>
      <c r="B15" s="529">
        <f t="shared" si="12"/>
        <v>7.5700000000000003E-3</v>
      </c>
      <c r="C15" s="522" t="e">
        <f>#REF!</f>
        <v>#REF!</v>
      </c>
      <c r="D15" s="522"/>
      <c r="E15" s="530"/>
      <c r="F15" s="493"/>
      <c r="G15" s="8"/>
      <c r="H15" s="8"/>
      <c r="I15" s="169"/>
      <c r="J15" s="169"/>
      <c r="K15" s="169"/>
      <c r="L15" s="169"/>
      <c r="M15" s="493"/>
      <c r="N15" s="493">
        <f t="shared" si="2"/>
        <v>7.5700000000000003E-3</v>
      </c>
      <c r="O15" s="493" t="e">
        <f>#REF!</f>
        <v>#REF!</v>
      </c>
      <c r="P15" s="508">
        <f>'May Price Out'!P15</f>
        <v>0</v>
      </c>
      <c r="Q15" s="502">
        <f t="shared" si="14"/>
        <v>0</v>
      </c>
      <c r="R15" s="502">
        <f t="shared" si="14"/>
        <v>0</v>
      </c>
      <c r="S15" s="169" t="e">
        <f t="shared" si="3"/>
        <v>#REF!</v>
      </c>
      <c r="T15" s="169">
        <f t="shared" si="11"/>
        <v>0</v>
      </c>
      <c r="U15" s="169" t="e">
        <f t="shared" si="4"/>
        <v>#REF!</v>
      </c>
      <c r="V15" s="169">
        <f t="shared" si="5"/>
        <v>0</v>
      </c>
      <c r="X15" s="500">
        <v>7</v>
      </c>
      <c r="Y15" s="503" t="e">
        <f t="shared" si="6"/>
        <v>#REF!</v>
      </c>
      <c r="Z15" s="503">
        <f t="shared" si="6"/>
        <v>0</v>
      </c>
      <c r="AA15" s="503" t="e">
        <f t="shared" si="7"/>
        <v>#REF!</v>
      </c>
      <c r="AB15" s="503">
        <f t="shared" si="8"/>
        <v>0</v>
      </c>
    </row>
    <row r="16" spans="1:30" hidden="1" x14ac:dyDescent="0.25">
      <c r="A16" s="500" t="s">
        <v>515</v>
      </c>
      <c r="B16" s="529">
        <f t="shared" si="12"/>
        <v>7.5700000000000003E-3</v>
      </c>
      <c r="C16" s="522" t="e">
        <f>#REF!</f>
        <v>#REF!</v>
      </c>
      <c r="D16" s="522"/>
      <c r="E16" s="530"/>
      <c r="F16" s="493"/>
      <c r="G16" s="8"/>
      <c r="H16" s="8"/>
      <c r="I16" s="169"/>
      <c r="J16" s="169"/>
      <c r="K16" s="169"/>
      <c r="L16" s="169"/>
      <c r="M16" s="493"/>
      <c r="N16" s="493">
        <f t="shared" si="2"/>
        <v>7.5700000000000003E-3</v>
      </c>
      <c r="O16" s="493" t="e">
        <f>#REF!</f>
        <v>#REF!</v>
      </c>
      <c r="P16" s="509">
        <f>'May Price Out'!P16</f>
        <v>0</v>
      </c>
      <c r="Q16" s="502">
        <f t="shared" si="14"/>
        <v>0</v>
      </c>
      <c r="R16" s="502">
        <f t="shared" si="14"/>
        <v>0</v>
      </c>
      <c r="S16" s="169" t="e">
        <f t="shared" si="3"/>
        <v>#REF!</v>
      </c>
      <c r="T16" s="169">
        <f t="shared" si="11"/>
        <v>0</v>
      </c>
      <c r="U16" s="169" t="e">
        <f t="shared" si="4"/>
        <v>#REF!</v>
      </c>
      <c r="V16" s="169">
        <f t="shared" si="5"/>
        <v>0</v>
      </c>
      <c r="X16" s="500" t="s">
        <v>515</v>
      </c>
      <c r="Y16" s="503" t="e">
        <f t="shared" si="6"/>
        <v>#REF!</v>
      </c>
      <c r="Z16" s="503">
        <f t="shared" si="6"/>
        <v>0</v>
      </c>
      <c r="AA16" s="503" t="e">
        <f t="shared" si="7"/>
        <v>#REF!</v>
      </c>
      <c r="AB16" s="503">
        <f t="shared" si="8"/>
        <v>0</v>
      </c>
    </row>
    <row r="17" spans="1:28" hidden="1" x14ac:dyDescent="0.25">
      <c r="A17" s="500" t="s">
        <v>516</v>
      </c>
      <c r="B17" s="529">
        <f t="shared" si="12"/>
        <v>7.5700000000000003E-3</v>
      </c>
      <c r="C17" s="533" t="e">
        <f>#REF!</f>
        <v>#REF!</v>
      </c>
      <c r="D17" s="522"/>
      <c r="E17" s="530"/>
      <c r="F17" s="493"/>
      <c r="G17" s="8"/>
      <c r="H17" s="8"/>
      <c r="I17" s="169"/>
      <c r="J17" s="169"/>
      <c r="K17" s="169"/>
      <c r="L17" s="169"/>
      <c r="M17" s="493"/>
      <c r="N17" s="493">
        <f t="shared" si="2"/>
        <v>7.5700000000000003E-3</v>
      </c>
      <c r="O17" s="504" t="e">
        <f>#REF!</f>
        <v>#REF!</v>
      </c>
      <c r="P17" s="509">
        <f>'May Price Out'!P17</f>
        <v>0</v>
      </c>
      <c r="Q17" s="502">
        <f t="shared" si="14"/>
        <v>0</v>
      </c>
      <c r="R17" s="502">
        <f t="shared" si="14"/>
        <v>0</v>
      </c>
      <c r="S17" s="169" t="e">
        <f t="shared" si="3"/>
        <v>#REF!</v>
      </c>
      <c r="T17" s="169">
        <f t="shared" si="11"/>
        <v>0</v>
      </c>
      <c r="U17" s="169" t="e">
        <f t="shared" si="4"/>
        <v>#REF!</v>
      </c>
      <c r="V17" s="169">
        <f t="shared" si="5"/>
        <v>0</v>
      </c>
      <c r="X17" s="500" t="s">
        <v>516</v>
      </c>
      <c r="Y17" s="503" t="e">
        <f t="shared" si="6"/>
        <v>#REF!</v>
      </c>
      <c r="Z17" s="503">
        <f t="shared" si="6"/>
        <v>0</v>
      </c>
      <c r="AA17" s="503" t="e">
        <f t="shared" si="7"/>
        <v>#REF!</v>
      </c>
      <c r="AB17" s="503">
        <f t="shared" si="8"/>
        <v>0</v>
      </c>
    </row>
    <row r="18" spans="1:28" x14ac:dyDescent="0.25">
      <c r="A18" s="500" t="s">
        <v>56</v>
      </c>
      <c r="B18" s="529">
        <f t="shared" si="12"/>
        <v>7.5700000000000003E-3</v>
      </c>
      <c r="C18" s="522" t="e">
        <f>#REF!</f>
        <v>#REF!</v>
      </c>
      <c r="D18" s="522">
        <f>+'May - Oct Capacity MSC by Class'!G30</f>
        <v>0</v>
      </c>
      <c r="E18" s="530">
        <f>+'Adj Sales Forecast'!E26</f>
        <v>0</v>
      </c>
      <c r="F18" s="493">
        <v>0</v>
      </c>
      <c r="G18" s="8">
        <f t="shared" si="13"/>
        <v>0</v>
      </c>
      <c r="H18" s="8">
        <f t="shared" si="13"/>
        <v>0</v>
      </c>
      <c r="I18" s="169" t="e">
        <f t="shared" si="9"/>
        <v>#REF!</v>
      </c>
      <c r="J18" s="169">
        <f t="shared" si="10"/>
        <v>0</v>
      </c>
      <c r="K18" s="169" t="e">
        <f t="shared" si="0"/>
        <v>#REF!</v>
      </c>
      <c r="L18" s="169">
        <f t="shared" si="1"/>
        <v>0</v>
      </c>
      <c r="M18" s="493"/>
      <c r="N18" s="493">
        <f t="shared" si="2"/>
        <v>7.5700000000000003E-3</v>
      </c>
      <c r="O18" s="493" t="e">
        <f>#REF!</f>
        <v>#REF!</v>
      </c>
      <c r="P18" s="509">
        <f>'May Price Out'!P18</f>
        <v>0</v>
      </c>
      <c r="Q18" s="502">
        <f t="shared" si="14"/>
        <v>0</v>
      </c>
      <c r="R18" s="502">
        <f t="shared" si="14"/>
        <v>0</v>
      </c>
      <c r="S18" s="169" t="e">
        <f t="shared" si="3"/>
        <v>#REF!</v>
      </c>
      <c r="T18" s="169">
        <f t="shared" si="11"/>
        <v>0</v>
      </c>
      <c r="U18" s="169" t="e">
        <f t="shared" si="4"/>
        <v>#REF!</v>
      </c>
      <c r="V18" s="169">
        <f t="shared" si="5"/>
        <v>0</v>
      </c>
      <c r="X18" s="500" t="s">
        <v>56</v>
      </c>
      <c r="Y18" s="503" t="e">
        <f t="shared" si="6"/>
        <v>#REF!</v>
      </c>
      <c r="Z18" s="503">
        <f t="shared" si="6"/>
        <v>0</v>
      </c>
      <c r="AA18" s="503" t="e">
        <f t="shared" si="7"/>
        <v>#REF!</v>
      </c>
      <c r="AB18" s="503">
        <f t="shared" si="8"/>
        <v>0</v>
      </c>
    </row>
    <row r="19" spans="1:28" x14ac:dyDescent="0.25">
      <c r="A19" s="500" t="s">
        <v>517</v>
      </c>
      <c r="B19" s="529">
        <f t="shared" si="12"/>
        <v>7.5700000000000003E-3</v>
      </c>
      <c r="C19" s="522" t="e">
        <f>#REF!</f>
        <v>#REF!</v>
      </c>
      <c r="D19" s="522">
        <f>+'May - Oct Capacity MSC by Class'!G32</f>
        <v>1.7100000000000001E-2</v>
      </c>
      <c r="E19" s="530">
        <f>+'Adj Sales Forecast'!E31</f>
        <v>80531</v>
      </c>
      <c r="F19" s="493">
        <v>0</v>
      </c>
      <c r="G19" s="8">
        <f t="shared" si="13"/>
        <v>70867</v>
      </c>
      <c r="H19" s="8">
        <f t="shared" si="13"/>
        <v>0</v>
      </c>
      <c r="I19" s="169" t="e">
        <f t="shared" si="9"/>
        <v>#REF!</v>
      </c>
      <c r="J19" s="169">
        <f t="shared" si="10"/>
        <v>1212</v>
      </c>
      <c r="K19" s="169" t="e">
        <f t="shared" si="0"/>
        <v>#REF!</v>
      </c>
      <c r="L19" s="169">
        <f t="shared" si="1"/>
        <v>536</v>
      </c>
      <c r="M19" s="493"/>
      <c r="N19" s="493">
        <f t="shared" si="2"/>
        <v>7.5700000000000003E-3</v>
      </c>
      <c r="O19" s="493" t="e">
        <f>#REF!</f>
        <v>#REF!</v>
      </c>
      <c r="P19" s="509">
        <f>'May Price Out'!P19</f>
        <v>1.5900000000000001E-2</v>
      </c>
      <c r="Q19" s="502">
        <f t="shared" si="14"/>
        <v>9664</v>
      </c>
      <c r="R19" s="502">
        <f t="shared" si="14"/>
        <v>0</v>
      </c>
      <c r="S19" s="169" t="e">
        <f t="shared" si="3"/>
        <v>#REF!</v>
      </c>
      <c r="T19" s="169">
        <f t="shared" si="11"/>
        <v>154</v>
      </c>
      <c r="U19" s="169" t="e">
        <f t="shared" si="4"/>
        <v>#REF!</v>
      </c>
      <c r="V19" s="169">
        <f t="shared" si="5"/>
        <v>73</v>
      </c>
      <c r="X19" s="500" t="s">
        <v>517</v>
      </c>
      <c r="Y19" s="503" t="e">
        <f t="shared" si="6"/>
        <v>#REF!</v>
      </c>
      <c r="Z19" s="503">
        <f t="shared" si="6"/>
        <v>1366</v>
      </c>
      <c r="AA19" s="503" t="e">
        <f t="shared" si="7"/>
        <v>#REF!</v>
      </c>
      <c r="AB19" s="503">
        <f t="shared" si="8"/>
        <v>609</v>
      </c>
    </row>
    <row r="20" spans="1:28" x14ac:dyDescent="0.25">
      <c r="A20" s="493"/>
      <c r="B20" s="522"/>
      <c r="C20" s="522"/>
      <c r="D20" s="522"/>
      <c r="E20" s="522"/>
      <c r="F20" s="493"/>
      <c r="G20" s="493"/>
      <c r="H20" s="493"/>
      <c r="I20" s="493"/>
      <c r="J20" s="493"/>
      <c r="K20" s="493"/>
      <c r="L20" s="493"/>
      <c r="M20" s="493"/>
      <c r="N20" s="493"/>
      <c r="O20" s="493"/>
      <c r="P20" s="493"/>
      <c r="Q20" s="493"/>
      <c r="R20" s="493"/>
      <c r="S20" s="493"/>
      <c r="T20" s="493"/>
      <c r="U20" s="493"/>
      <c r="V20" s="493"/>
      <c r="X20" s="493"/>
      <c r="Y20" s="503"/>
      <c r="Z20" s="503"/>
      <c r="AA20" s="503"/>
      <c r="AB20" s="503"/>
    </row>
    <row r="21" spans="1:28" x14ac:dyDescent="0.25">
      <c r="A21" s="493" t="s">
        <v>518</v>
      </c>
      <c r="B21" s="529">
        <f t="shared" si="12"/>
        <v>7.5700000000000003E-3</v>
      </c>
      <c r="C21" s="522" t="e">
        <f>#REF!</f>
        <v>#REF!</v>
      </c>
      <c r="D21" s="534">
        <f>+'May - Oct Capacity MSC by Class'!G24</f>
        <v>5.9</v>
      </c>
      <c r="E21" s="530">
        <f>+'Adj Sales Forecast'!E16</f>
        <v>49803</v>
      </c>
      <c r="F21" s="8">
        <f>'[100]Adj Demand Forecast '!E6</f>
        <v>113</v>
      </c>
      <c r="G21" s="8">
        <f t="shared" ref="G21:H24" si="15">ROUND(E21*0.88,0)</f>
        <v>43827</v>
      </c>
      <c r="H21" s="8">
        <f t="shared" si="15"/>
        <v>99</v>
      </c>
      <c r="I21" s="169" t="e">
        <f t="shared" ref="I21:J24" si="16">ROUND(C21*G21,0)</f>
        <v>#REF!</v>
      </c>
      <c r="J21" s="169">
        <f t="shared" si="16"/>
        <v>584</v>
      </c>
      <c r="K21" s="169" t="e">
        <f>I21+J21</f>
        <v>#REF!</v>
      </c>
      <c r="L21" s="169">
        <f>ROUND(B21*G21,0)</f>
        <v>332</v>
      </c>
      <c r="M21" s="493"/>
      <c r="N21" s="493">
        <f>$B$8</f>
        <v>7.5700000000000003E-3</v>
      </c>
      <c r="O21" s="493" t="e">
        <f>#REF!</f>
        <v>#REF!</v>
      </c>
      <c r="P21" s="505">
        <f>'May Price Out'!P21</f>
        <v>5.46</v>
      </c>
      <c r="Q21" s="502">
        <f t="shared" ref="Q21:R24" si="17">E21-G21</f>
        <v>5976</v>
      </c>
      <c r="R21" s="502">
        <f t="shared" si="17"/>
        <v>14</v>
      </c>
      <c r="S21" s="169" t="e">
        <f t="shared" ref="S21:T24" si="18">ROUND(O21*Q21,0)</f>
        <v>#REF!</v>
      </c>
      <c r="T21" s="169">
        <f t="shared" si="18"/>
        <v>76</v>
      </c>
      <c r="U21" s="169" t="e">
        <f>S21+T21</f>
        <v>#REF!</v>
      </c>
      <c r="V21" s="169">
        <f>ROUND(N21*Q21,0)</f>
        <v>45</v>
      </c>
      <c r="X21" s="493" t="s">
        <v>518</v>
      </c>
      <c r="Y21" s="503" t="e">
        <f t="shared" ref="Y21:Z24" si="19">I21+S21</f>
        <v>#REF!</v>
      </c>
      <c r="Z21" s="503">
        <f t="shared" si="19"/>
        <v>660</v>
      </c>
      <c r="AA21" s="503" t="e">
        <f>Y21+Z21</f>
        <v>#REF!</v>
      </c>
      <c r="AB21" s="503">
        <f>L21+V21</f>
        <v>377</v>
      </c>
    </row>
    <row r="22" spans="1:28" x14ac:dyDescent="0.25">
      <c r="A22" s="493" t="s">
        <v>303</v>
      </c>
      <c r="B22" s="529">
        <f t="shared" si="12"/>
        <v>7.5700000000000003E-3</v>
      </c>
      <c r="C22" s="522" t="e">
        <f>#REF!</f>
        <v>#REF!</v>
      </c>
      <c r="D22" s="534">
        <f>+'May - Oct Capacity MSC by Class'!G27</f>
        <v>7.48</v>
      </c>
      <c r="E22" s="530">
        <f>+'Adj Sales Forecast'!E22</f>
        <v>172000000</v>
      </c>
      <c r="F22" s="8">
        <f>'[100]Adj Demand Forecast '!E8</f>
        <v>367040</v>
      </c>
      <c r="G22" s="8">
        <f t="shared" si="15"/>
        <v>151360000</v>
      </c>
      <c r="H22" s="8">
        <f t="shared" si="15"/>
        <v>322995</v>
      </c>
      <c r="I22" s="169" t="e">
        <f t="shared" si="16"/>
        <v>#REF!</v>
      </c>
      <c r="J22" s="169">
        <f t="shared" si="16"/>
        <v>2416003</v>
      </c>
      <c r="K22" s="169" t="e">
        <f>I22+J22</f>
        <v>#REF!</v>
      </c>
      <c r="L22" s="169">
        <f>ROUND(B22*G22,0)</f>
        <v>1145795</v>
      </c>
      <c r="M22" s="493"/>
      <c r="N22" s="493">
        <f>$B$8</f>
        <v>7.5700000000000003E-3</v>
      </c>
      <c r="O22" s="493" t="e">
        <f>#REF!</f>
        <v>#REF!</v>
      </c>
      <c r="P22" s="505">
        <f>'May Price Out'!P22</f>
        <v>6.92</v>
      </c>
      <c r="Q22" s="502">
        <f t="shared" si="17"/>
        <v>20640000</v>
      </c>
      <c r="R22" s="502">
        <f t="shared" si="17"/>
        <v>44045</v>
      </c>
      <c r="S22" s="169" t="e">
        <f t="shared" si="18"/>
        <v>#REF!</v>
      </c>
      <c r="T22" s="169">
        <f t="shared" si="18"/>
        <v>304791</v>
      </c>
      <c r="U22" s="169" t="e">
        <f>S22+T22</f>
        <v>#REF!</v>
      </c>
      <c r="V22" s="169">
        <f>ROUND(N22*Q22,0)</f>
        <v>156245</v>
      </c>
      <c r="X22" s="493" t="s">
        <v>303</v>
      </c>
      <c r="Y22" s="503" t="e">
        <f t="shared" si="19"/>
        <v>#REF!</v>
      </c>
      <c r="Z22" s="503">
        <f t="shared" si="19"/>
        <v>2720794</v>
      </c>
      <c r="AA22" s="503" t="e">
        <f>Y22+Z22</f>
        <v>#REF!</v>
      </c>
      <c r="AB22" s="503">
        <f>L22+V22</f>
        <v>1302040</v>
      </c>
    </row>
    <row r="23" spans="1:28" x14ac:dyDescent="0.25">
      <c r="A23" s="493" t="s">
        <v>305</v>
      </c>
      <c r="B23" s="529">
        <f t="shared" si="12"/>
        <v>7.5700000000000003E-3</v>
      </c>
      <c r="C23" s="522" t="e">
        <f>#REF!</f>
        <v>#REF!</v>
      </c>
      <c r="D23" s="534">
        <f>+'May - Oct Capacity MSC by Class'!G29</f>
        <v>4.9400000000000004</v>
      </c>
      <c r="E23" s="530">
        <f>+'Adj Sales Forecast'!E27</f>
        <v>1492000000</v>
      </c>
      <c r="F23" s="8">
        <f>'[100]Adj Demand Forecast '!E14</f>
        <v>4521424.2</v>
      </c>
      <c r="G23" s="8">
        <f t="shared" si="15"/>
        <v>1312960000</v>
      </c>
      <c r="H23" s="8">
        <f t="shared" si="15"/>
        <v>3978853</v>
      </c>
      <c r="I23" s="169" t="e">
        <f t="shared" si="16"/>
        <v>#REF!</v>
      </c>
      <c r="J23" s="169">
        <f t="shared" si="16"/>
        <v>19655534</v>
      </c>
      <c r="K23" s="169" t="e">
        <f>I23+J23</f>
        <v>#REF!</v>
      </c>
      <c r="L23" s="169">
        <f>ROUND(B23*G23,0)</f>
        <v>9939107</v>
      </c>
      <c r="M23" s="493"/>
      <c r="N23" s="493">
        <f>$B$8</f>
        <v>7.5700000000000003E-3</v>
      </c>
      <c r="O23" s="493" t="e">
        <f>#REF!</f>
        <v>#REF!</v>
      </c>
      <c r="P23" s="505">
        <f>'May Price Out'!P23</f>
        <v>4.57</v>
      </c>
      <c r="Q23" s="502">
        <f t="shared" si="17"/>
        <v>179040000</v>
      </c>
      <c r="R23" s="502">
        <f t="shared" si="17"/>
        <v>542571.20000000019</v>
      </c>
      <c r="S23" s="169" t="e">
        <f t="shared" si="18"/>
        <v>#REF!</v>
      </c>
      <c r="T23" s="169">
        <f t="shared" si="18"/>
        <v>2479550</v>
      </c>
      <c r="U23" s="169" t="e">
        <f>S23+T23</f>
        <v>#REF!</v>
      </c>
      <c r="V23" s="169">
        <f>ROUND(N23*Q23,0)</f>
        <v>1355333</v>
      </c>
      <c r="X23" s="493" t="s">
        <v>305</v>
      </c>
      <c r="Y23" s="503" t="e">
        <f t="shared" si="19"/>
        <v>#REF!</v>
      </c>
      <c r="Z23" s="503">
        <f t="shared" si="19"/>
        <v>22135084</v>
      </c>
      <c r="AA23" s="503" t="e">
        <f>Y23+Z23</f>
        <v>#REF!</v>
      </c>
      <c r="AB23" s="503">
        <f>L23+V23</f>
        <v>11294440</v>
      </c>
    </row>
    <row r="24" spans="1:28" x14ac:dyDescent="0.25">
      <c r="A24" s="493" t="s">
        <v>310</v>
      </c>
      <c r="B24" s="529">
        <f t="shared" si="12"/>
        <v>7.5700000000000003E-3</v>
      </c>
      <c r="C24" s="522" t="e">
        <f>#REF!</f>
        <v>#REF!</v>
      </c>
      <c r="D24" s="534">
        <f>+'May - Oct Capacity MSC by Class'!G33</f>
        <v>7.23</v>
      </c>
      <c r="E24" s="530">
        <f>+'Adj Sales Forecast'!E32</f>
        <v>10919469</v>
      </c>
      <c r="F24" s="8">
        <f>'[100]Adj Demand Forecast '!E20</f>
        <v>24000</v>
      </c>
      <c r="G24" s="8">
        <f t="shared" si="15"/>
        <v>9609133</v>
      </c>
      <c r="H24" s="8">
        <f t="shared" si="15"/>
        <v>21120</v>
      </c>
      <c r="I24" s="169" t="e">
        <f t="shared" si="16"/>
        <v>#REF!</v>
      </c>
      <c r="J24" s="169">
        <f t="shared" si="16"/>
        <v>152698</v>
      </c>
      <c r="K24" s="169" t="e">
        <f>I24+J24</f>
        <v>#REF!</v>
      </c>
      <c r="L24" s="169">
        <f>ROUND(B24*G24,0)</f>
        <v>72741</v>
      </c>
      <c r="M24" s="493"/>
      <c r="N24" s="493">
        <f>$B$8</f>
        <v>7.5700000000000003E-3</v>
      </c>
      <c r="O24" s="493" t="e">
        <f>#REF!</f>
        <v>#REF!</v>
      </c>
      <c r="P24" s="505">
        <f>'May Price Out'!P24</f>
        <v>6.69</v>
      </c>
      <c r="Q24" s="502">
        <f t="shared" si="17"/>
        <v>1310336</v>
      </c>
      <c r="R24" s="502">
        <f t="shared" si="17"/>
        <v>2880</v>
      </c>
      <c r="S24" s="169" t="e">
        <f t="shared" si="18"/>
        <v>#REF!</v>
      </c>
      <c r="T24" s="169">
        <f t="shared" si="18"/>
        <v>19267</v>
      </c>
      <c r="U24" s="169" t="e">
        <f>S24+T24</f>
        <v>#REF!</v>
      </c>
      <c r="V24" s="169">
        <f>ROUND(N24*Q24,0)</f>
        <v>9919</v>
      </c>
      <c r="X24" s="493" t="s">
        <v>310</v>
      </c>
      <c r="Y24" s="503" t="e">
        <f t="shared" si="19"/>
        <v>#REF!</v>
      </c>
      <c r="Z24" s="503">
        <f t="shared" si="19"/>
        <v>171965</v>
      </c>
      <c r="AA24" s="503" t="e">
        <f>Y24+Z24</f>
        <v>#REF!</v>
      </c>
      <c r="AB24" s="503">
        <f>L24+V24</f>
        <v>82660</v>
      </c>
    </row>
    <row r="25" spans="1:28" x14ac:dyDescent="0.25">
      <c r="A25" s="493"/>
      <c r="B25" s="522"/>
      <c r="C25" s="522"/>
      <c r="D25" s="522"/>
      <c r="E25" s="522"/>
      <c r="F25" s="8"/>
      <c r="G25" s="8"/>
      <c r="H25" s="8"/>
      <c r="I25" s="493"/>
      <c r="J25" s="493"/>
      <c r="K25" s="493"/>
      <c r="L25" s="493"/>
      <c r="M25" s="493"/>
      <c r="N25" s="493"/>
      <c r="O25" s="493"/>
      <c r="P25" s="493"/>
      <c r="Q25" s="493"/>
      <c r="R25" s="8"/>
      <c r="S25" s="169"/>
      <c r="T25" s="169"/>
      <c r="U25" s="169"/>
      <c r="V25" s="169"/>
      <c r="X25" s="493"/>
      <c r="Y25" s="503"/>
      <c r="Z25" s="503"/>
      <c r="AA25" s="503"/>
      <c r="AB25" s="503"/>
    </row>
    <row r="26" spans="1:28" x14ac:dyDescent="0.25">
      <c r="A26" s="493" t="s">
        <v>519</v>
      </c>
      <c r="B26" s="529">
        <f t="shared" si="12"/>
        <v>7.5700000000000003E-3</v>
      </c>
      <c r="C26" s="533" t="e">
        <f>#REF!</f>
        <v>#REF!</v>
      </c>
      <c r="D26" s="534">
        <f>+'May - Oct Capacity MSC by Class'!G45</f>
        <v>8.15</v>
      </c>
      <c r="E26" s="476">
        <f>+'Forecasted TOD kWh by Period'!E35</f>
        <v>78598500</v>
      </c>
      <c r="F26" s="8">
        <f>'[100]Forecasted TOD kW by Period'!J25</f>
        <v>26579</v>
      </c>
      <c r="G26" s="8">
        <f t="shared" ref="G26:G31" si="20">ROUND(E26*0.88,0)</f>
        <v>69166680</v>
      </c>
      <c r="H26" s="8">
        <f>ROUND(F26*0.88,0)</f>
        <v>23390</v>
      </c>
      <c r="I26" s="169" t="e">
        <f t="shared" ref="I26:J31" si="21">ROUND(C26*G26,0)</f>
        <v>#REF!</v>
      </c>
      <c r="J26" s="169">
        <f t="shared" si="21"/>
        <v>190629</v>
      </c>
      <c r="K26" s="169" t="e">
        <f>I26+J26</f>
        <v>#REF!</v>
      </c>
      <c r="L26" s="169">
        <f>ROUND(B26*G26,0)</f>
        <v>523592</v>
      </c>
      <c r="M26" s="493"/>
      <c r="N26" s="493">
        <f t="shared" ref="N26:N31" si="22">$B$8</f>
        <v>7.5700000000000003E-3</v>
      </c>
      <c r="O26" s="504" t="e">
        <f>#REF!</f>
        <v>#REF!</v>
      </c>
      <c r="P26" s="505">
        <f>'May Price Out'!P26</f>
        <v>7.54</v>
      </c>
      <c r="Q26" s="502">
        <f>E26-G26</f>
        <v>9431820</v>
      </c>
      <c r="R26" s="502">
        <f>F26-H26</f>
        <v>3189</v>
      </c>
      <c r="S26" s="169" t="e">
        <f t="shared" ref="S26:T31" si="23">ROUND(O26*Q26,0)</f>
        <v>#REF!</v>
      </c>
      <c r="T26" s="169">
        <f t="shared" si="23"/>
        <v>24045</v>
      </c>
      <c r="U26" s="169" t="e">
        <f t="shared" ref="U26:U31" si="24">S26+T26</f>
        <v>#REF!</v>
      </c>
      <c r="V26" s="169">
        <f t="shared" ref="V26:V31" si="25">ROUND(N26*Q26,0)</f>
        <v>71399</v>
      </c>
      <c r="X26" s="493" t="s">
        <v>519</v>
      </c>
      <c r="Y26" s="503" t="e">
        <f t="shared" ref="Y26:Z31" si="26">I26+S26</f>
        <v>#REF!</v>
      </c>
      <c r="Z26" s="503">
        <f t="shared" si="26"/>
        <v>214674</v>
      </c>
      <c r="AA26" s="503" t="e">
        <f t="shared" ref="AA26:AA31" si="27">Y26+Z26</f>
        <v>#REF!</v>
      </c>
      <c r="AB26" s="503">
        <f t="shared" ref="AB26:AB31" si="28">L26+V26</f>
        <v>594991</v>
      </c>
    </row>
    <row r="27" spans="1:28" x14ac:dyDescent="0.25">
      <c r="A27" s="493" t="s">
        <v>520</v>
      </c>
      <c r="B27" s="529">
        <f t="shared" si="12"/>
        <v>7.5700000000000003E-3</v>
      </c>
      <c r="C27" s="533" t="e">
        <f>#REF!</f>
        <v>#REF!</v>
      </c>
      <c r="D27" s="522"/>
      <c r="E27" s="476">
        <f>+'Forecasted TOD kWh by Period'!E36</f>
        <v>104401500</v>
      </c>
      <c r="F27" s="8"/>
      <c r="G27" s="8">
        <f t="shared" si="20"/>
        <v>91873320</v>
      </c>
      <c r="H27" s="8"/>
      <c r="I27" s="169" t="e">
        <f t="shared" si="21"/>
        <v>#REF!</v>
      </c>
      <c r="J27" s="169">
        <f t="shared" si="21"/>
        <v>0</v>
      </c>
      <c r="K27" s="169" t="e">
        <f>I27+J27</f>
        <v>#REF!</v>
      </c>
      <c r="L27" s="169">
        <f>ROUND(B27*G27,0)</f>
        <v>695481</v>
      </c>
      <c r="M27" s="493"/>
      <c r="N27" s="493">
        <f t="shared" si="22"/>
        <v>7.5700000000000003E-3</v>
      </c>
      <c r="O27" s="504" t="e">
        <f>#REF!</f>
        <v>#REF!</v>
      </c>
      <c r="P27" s="493">
        <f>'May Price Out'!P27</f>
        <v>0</v>
      </c>
      <c r="Q27" s="502">
        <f>E27-G27</f>
        <v>12528180</v>
      </c>
      <c r="R27" s="502"/>
      <c r="S27" s="169" t="e">
        <f t="shared" si="23"/>
        <v>#REF!</v>
      </c>
      <c r="T27" s="169">
        <f t="shared" si="23"/>
        <v>0</v>
      </c>
      <c r="U27" s="169" t="e">
        <f t="shared" si="24"/>
        <v>#REF!</v>
      </c>
      <c r="V27" s="169">
        <f t="shared" si="25"/>
        <v>94838</v>
      </c>
      <c r="X27" s="493" t="s">
        <v>520</v>
      </c>
      <c r="Y27" s="503" t="e">
        <f t="shared" si="26"/>
        <v>#REF!</v>
      </c>
      <c r="Z27" s="503">
        <f t="shared" si="26"/>
        <v>0</v>
      </c>
      <c r="AA27" s="503" t="e">
        <f t="shared" si="27"/>
        <v>#REF!</v>
      </c>
      <c r="AB27" s="503">
        <f t="shared" si="28"/>
        <v>790319</v>
      </c>
    </row>
    <row r="28" spans="1:28" x14ac:dyDescent="0.25">
      <c r="A28" s="493" t="s">
        <v>521</v>
      </c>
      <c r="B28" s="529">
        <f t="shared" si="12"/>
        <v>7.5700000000000003E-3</v>
      </c>
      <c r="C28" s="533" t="e">
        <f>#REF!</f>
        <v>#REF!</v>
      </c>
      <c r="D28" s="534">
        <f>+'May - Oct Capacity MSC by Class'!G46</f>
        <v>5.05</v>
      </c>
      <c r="E28" s="530">
        <f>+'Forecasted TOD kWh by Period'!E39</f>
        <v>772710300</v>
      </c>
      <c r="F28" s="8">
        <f>'[100]Forecasted TOD kW by Period'!J29</f>
        <v>241321</v>
      </c>
      <c r="G28" s="8">
        <f t="shared" si="20"/>
        <v>679985064</v>
      </c>
      <c r="H28" s="8">
        <f>ROUND(F28*0.88,0)</f>
        <v>212362</v>
      </c>
      <c r="I28" s="169" t="e">
        <f t="shared" si="21"/>
        <v>#REF!</v>
      </c>
      <c r="J28" s="169">
        <f t="shared" si="21"/>
        <v>1072428</v>
      </c>
      <c r="K28" s="169" t="e">
        <f>I28+J28</f>
        <v>#REF!</v>
      </c>
      <c r="L28" s="169">
        <f>ROUND(B28*G28,0)</f>
        <v>5147487</v>
      </c>
      <c r="M28" s="493"/>
      <c r="N28" s="493">
        <f t="shared" si="22"/>
        <v>7.5700000000000003E-3</v>
      </c>
      <c r="O28" s="504" t="e">
        <f>#REF!</f>
        <v>#REF!</v>
      </c>
      <c r="P28" s="505">
        <f>'May Price Out'!P28</f>
        <v>4.68</v>
      </c>
      <c r="Q28" s="502">
        <f>E28-G28</f>
        <v>92725236</v>
      </c>
      <c r="R28" s="502">
        <f>F28-H28</f>
        <v>28959</v>
      </c>
      <c r="S28" s="169" t="e">
        <f t="shared" si="23"/>
        <v>#REF!</v>
      </c>
      <c r="T28" s="169">
        <f t="shared" si="23"/>
        <v>135528</v>
      </c>
      <c r="U28" s="169" t="e">
        <f t="shared" si="24"/>
        <v>#REF!</v>
      </c>
      <c r="V28" s="169">
        <f t="shared" si="25"/>
        <v>701930</v>
      </c>
      <c r="X28" s="493" t="s">
        <v>521</v>
      </c>
      <c r="Y28" s="503" t="e">
        <f t="shared" si="26"/>
        <v>#REF!</v>
      </c>
      <c r="Z28" s="503">
        <f t="shared" si="26"/>
        <v>1207956</v>
      </c>
      <c r="AA28" s="503" t="e">
        <f t="shared" si="27"/>
        <v>#REF!</v>
      </c>
      <c r="AB28" s="503">
        <f t="shared" si="28"/>
        <v>5849417</v>
      </c>
    </row>
    <row r="29" spans="1:28" x14ac:dyDescent="0.25">
      <c r="A29" s="493" t="s">
        <v>522</v>
      </c>
      <c r="B29" s="529">
        <f t="shared" si="12"/>
        <v>7.5700000000000003E-3</v>
      </c>
      <c r="C29" s="533" t="e">
        <f>#REF!</f>
        <v>#REF!</v>
      </c>
      <c r="D29" s="522"/>
      <c r="E29" s="530">
        <f>+'Forecasted TOD kWh by Period'!E40</f>
        <v>850289700</v>
      </c>
      <c r="F29" s="8"/>
      <c r="G29" s="8">
        <f t="shared" si="20"/>
        <v>748254936</v>
      </c>
      <c r="H29" s="8"/>
      <c r="I29" s="169" t="e">
        <f t="shared" si="21"/>
        <v>#REF!</v>
      </c>
      <c r="J29" s="169">
        <f t="shared" si="21"/>
        <v>0</v>
      </c>
      <c r="K29" s="169" t="e">
        <f>I29+J29</f>
        <v>#REF!</v>
      </c>
      <c r="L29" s="169">
        <f>ROUND(B29*G29,0)</f>
        <v>5664290</v>
      </c>
      <c r="M29" s="493"/>
      <c r="N29" s="493">
        <f t="shared" si="22"/>
        <v>7.5700000000000003E-3</v>
      </c>
      <c r="O29" s="504" t="e">
        <f>#REF!</f>
        <v>#REF!</v>
      </c>
      <c r="P29" s="493">
        <f>'May Price Out'!P29</f>
        <v>0</v>
      </c>
      <c r="Q29" s="502">
        <f>E29-G29</f>
        <v>102034764</v>
      </c>
      <c r="R29" s="502"/>
      <c r="S29" s="169" t="e">
        <f t="shared" si="23"/>
        <v>#REF!</v>
      </c>
      <c r="T29" s="169">
        <f t="shared" si="23"/>
        <v>0</v>
      </c>
      <c r="U29" s="169" t="e">
        <f t="shared" si="24"/>
        <v>#REF!</v>
      </c>
      <c r="V29" s="169">
        <f t="shared" si="25"/>
        <v>772403</v>
      </c>
      <c r="X29" s="493" t="s">
        <v>522</v>
      </c>
      <c r="Y29" s="503" t="e">
        <f t="shared" si="26"/>
        <v>#REF!</v>
      </c>
      <c r="Z29" s="503">
        <f t="shared" si="26"/>
        <v>0</v>
      </c>
      <c r="AA29" s="503" t="e">
        <f t="shared" si="27"/>
        <v>#REF!</v>
      </c>
      <c r="AB29" s="503">
        <f t="shared" si="28"/>
        <v>6436693</v>
      </c>
    </row>
    <row r="30" spans="1:28" x14ac:dyDescent="0.25">
      <c r="A30" s="493" t="s">
        <v>523</v>
      </c>
      <c r="B30" s="529">
        <f t="shared" si="12"/>
        <v>7.5700000000000003E-3</v>
      </c>
      <c r="C30" s="533" t="e">
        <f>#REF!</f>
        <v>#REF!</v>
      </c>
      <c r="D30" s="534">
        <f>+'May - Oct Capacity MSC by Class'!G47</f>
        <v>7.69</v>
      </c>
      <c r="E30" s="476">
        <f>+'Adj Sales Forecast'!E33</f>
        <v>0</v>
      </c>
      <c r="F30" s="8">
        <f>'[100]Adj Demand Forecast '!B21</f>
        <v>0</v>
      </c>
      <c r="G30" s="8">
        <f t="shared" si="20"/>
        <v>0</v>
      </c>
      <c r="H30" s="8">
        <f>ROUND(F30*0.88,0)</f>
        <v>0</v>
      </c>
      <c r="I30" s="169" t="e">
        <f t="shared" si="21"/>
        <v>#REF!</v>
      </c>
      <c r="J30" s="169">
        <f t="shared" si="21"/>
        <v>0</v>
      </c>
      <c r="K30" s="169" t="e">
        <f>I30+J30</f>
        <v>#REF!</v>
      </c>
      <c r="L30" s="169">
        <f>ROUND(B30*G30,0)</f>
        <v>0</v>
      </c>
      <c r="M30" s="493"/>
      <c r="N30" s="493">
        <f t="shared" si="22"/>
        <v>7.5700000000000003E-3</v>
      </c>
      <c r="O30" s="504" t="e">
        <f>#REF!</f>
        <v>#REF!</v>
      </c>
      <c r="P30" s="505">
        <f>'May Price Out'!P30</f>
        <v>7.12</v>
      </c>
      <c r="Q30" s="65">
        <f>E30-G30</f>
        <v>0</v>
      </c>
      <c r="R30" s="65">
        <f>F30-H30</f>
        <v>0</v>
      </c>
      <c r="S30" s="169" t="e">
        <f t="shared" si="23"/>
        <v>#REF!</v>
      </c>
      <c r="T30" s="169">
        <f t="shared" si="23"/>
        <v>0</v>
      </c>
      <c r="U30" s="169" t="e">
        <f t="shared" si="24"/>
        <v>#REF!</v>
      </c>
      <c r="V30" s="169">
        <f t="shared" si="25"/>
        <v>0</v>
      </c>
      <c r="X30" s="493" t="s">
        <v>523</v>
      </c>
      <c r="Y30" s="503" t="e">
        <f t="shared" si="26"/>
        <v>#REF!</v>
      </c>
      <c r="Z30" s="503">
        <f t="shared" si="26"/>
        <v>0</v>
      </c>
      <c r="AA30" s="503" t="e">
        <f t="shared" si="27"/>
        <v>#REF!</v>
      </c>
      <c r="AB30" s="503">
        <f t="shared" si="28"/>
        <v>0</v>
      </c>
    </row>
    <row r="31" spans="1:28" x14ac:dyDescent="0.25">
      <c r="A31" s="493" t="s">
        <v>524</v>
      </c>
      <c r="B31" s="529">
        <f t="shared" si="12"/>
        <v>7.5700000000000003E-3</v>
      </c>
      <c r="C31" s="533" t="e">
        <f>#REF!</f>
        <v>#REF!</v>
      </c>
      <c r="D31" s="522"/>
      <c r="E31" s="535">
        <v>0</v>
      </c>
      <c r="F31" s="8"/>
      <c r="G31" s="8">
        <f t="shared" si="20"/>
        <v>0</v>
      </c>
      <c r="H31" s="8"/>
      <c r="I31" s="169" t="e">
        <f t="shared" si="21"/>
        <v>#REF!</v>
      </c>
      <c r="J31" s="169">
        <f t="shared" si="21"/>
        <v>0</v>
      </c>
      <c r="K31" s="169" t="e">
        <f>ROUND(D31*I31,0)</f>
        <v>#REF!</v>
      </c>
      <c r="L31" s="169">
        <f>ROUND(E31*J31,0)</f>
        <v>0</v>
      </c>
      <c r="M31" s="493"/>
      <c r="N31" s="493">
        <f t="shared" si="22"/>
        <v>7.5700000000000003E-3</v>
      </c>
      <c r="O31" s="504" t="e">
        <f>#REF!</f>
        <v>#REF!</v>
      </c>
      <c r="P31" s="493">
        <f>'May Price Out'!P31</f>
        <v>0</v>
      </c>
      <c r="Q31" s="65">
        <v>0</v>
      </c>
      <c r="R31" s="65">
        <v>0</v>
      </c>
      <c r="S31" s="169" t="e">
        <f t="shared" si="23"/>
        <v>#REF!</v>
      </c>
      <c r="T31" s="169">
        <f t="shared" si="23"/>
        <v>0</v>
      </c>
      <c r="U31" s="169" t="e">
        <f t="shared" si="24"/>
        <v>#REF!</v>
      </c>
      <c r="V31" s="169">
        <f t="shared" si="25"/>
        <v>0</v>
      </c>
      <c r="X31" s="493" t="s">
        <v>524</v>
      </c>
      <c r="Y31" s="503" t="e">
        <f t="shared" si="26"/>
        <v>#REF!</v>
      </c>
      <c r="Z31" s="503">
        <f t="shared" si="26"/>
        <v>0</v>
      </c>
      <c r="AA31" s="503" t="e">
        <f t="shared" si="27"/>
        <v>#REF!</v>
      </c>
      <c r="AB31" s="503">
        <f t="shared" si="28"/>
        <v>0</v>
      </c>
    </row>
    <row r="32" spans="1:28" x14ac:dyDescent="0.25">
      <c r="A32" s="493"/>
      <c r="B32" s="533"/>
      <c r="C32" s="533"/>
      <c r="D32" s="522"/>
      <c r="E32" s="522"/>
      <c r="F32" s="8"/>
      <c r="G32" s="8"/>
      <c r="H32" s="8"/>
      <c r="I32" s="493"/>
      <c r="J32" s="493"/>
      <c r="K32" s="493"/>
      <c r="L32" s="493"/>
      <c r="M32" s="493"/>
      <c r="N32" s="493"/>
      <c r="O32" s="504"/>
      <c r="P32" s="493"/>
      <c r="Q32" s="493"/>
      <c r="R32" s="8"/>
      <c r="S32" s="493"/>
      <c r="T32" s="493"/>
      <c r="U32" s="493"/>
      <c r="V32" s="493"/>
      <c r="X32" s="493"/>
      <c r="Y32" s="503"/>
      <c r="Z32" s="503"/>
      <c r="AA32" s="503"/>
      <c r="AB32" s="503"/>
    </row>
    <row r="33" spans="1:28" x14ac:dyDescent="0.25">
      <c r="A33" s="493" t="s">
        <v>525</v>
      </c>
      <c r="B33" s="529">
        <f t="shared" si="12"/>
        <v>7.5700000000000003E-3</v>
      </c>
      <c r="C33" s="533" t="e">
        <f>#REF!</f>
        <v>#REF!</v>
      </c>
      <c r="D33" s="534">
        <f>+'May - Oct Capacity MSC by Class'!G24</f>
        <v>5.9</v>
      </c>
      <c r="E33" s="530">
        <f>+'Forecasted TOD kWh by Period'!E8</f>
        <v>3919500</v>
      </c>
      <c r="F33" s="8">
        <f>'[100]Forecasted TOD kW by Period'!J5</f>
        <v>20277</v>
      </c>
      <c r="G33" s="8">
        <f t="shared" ref="G33:G42" si="29">ROUND(E33*0.88,0)</f>
        <v>3449160</v>
      </c>
      <c r="H33" s="8">
        <f>ROUND(F33*0.88,0)</f>
        <v>17844</v>
      </c>
      <c r="I33" s="169" t="e">
        <f t="shared" ref="I33:J42" si="30">ROUND(C33*G33,0)</f>
        <v>#REF!</v>
      </c>
      <c r="J33" s="169">
        <f t="shared" si="30"/>
        <v>105280</v>
      </c>
      <c r="K33" s="169" t="e">
        <f t="shared" ref="K33:K42" si="31">I33+J33</f>
        <v>#REF!</v>
      </c>
      <c r="L33" s="169">
        <f t="shared" ref="L33:L42" si="32">ROUND(B33*G33,0)</f>
        <v>26110</v>
      </c>
      <c r="M33" s="493"/>
      <c r="N33" s="493">
        <f t="shared" ref="N33:N42" si="33">$B$8</f>
        <v>7.5700000000000003E-3</v>
      </c>
      <c r="O33" s="504" t="e">
        <f>#REF!</f>
        <v>#REF!</v>
      </c>
      <c r="P33" s="505">
        <f>'May Price Out'!P33</f>
        <v>5.46</v>
      </c>
      <c r="Q33" s="502">
        <f t="shared" ref="Q33:Q42" si="34">E33-G33</f>
        <v>470340</v>
      </c>
      <c r="R33" s="502">
        <f>F33-H33</f>
        <v>2433</v>
      </c>
      <c r="S33" s="169" t="e">
        <f t="shared" ref="S33:T42" si="35">ROUND(O33*Q33,0)</f>
        <v>#REF!</v>
      </c>
      <c r="T33" s="169">
        <f t="shared" si="35"/>
        <v>13284</v>
      </c>
      <c r="U33" s="169" t="e">
        <f t="shared" ref="U33:U42" si="36">S33+T33</f>
        <v>#REF!</v>
      </c>
      <c r="V33" s="169">
        <f t="shared" ref="V33:V42" si="37">ROUND(N33*Q33,0)</f>
        <v>3560</v>
      </c>
      <c r="X33" s="493" t="s">
        <v>525</v>
      </c>
      <c r="Y33" s="503" t="e">
        <f t="shared" ref="Y33:Z42" si="38">I33+S33</f>
        <v>#REF!</v>
      </c>
      <c r="Z33" s="503">
        <f t="shared" si="38"/>
        <v>118564</v>
      </c>
      <c r="AA33" s="503" t="e">
        <f t="shared" ref="AA33:AA42" si="39">Y33+Z33</f>
        <v>#REF!</v>
      </c>
      <c r="AB33" s="503">
        <f t="shared" ref="AB33:AB42" si="40">L33+V33</f>
        <v>29670</v>
      </c>
    </row>
    <row r="34" spans="1:28" x14ac:dyDescent="0.25">
      <c r="A34" s="493" t="s">
        <v>526</v>
      </c>
      <c r="B34" s="529">
        <f t="shared" si="12"/>
        <v>7.5700000000000003E-3</v>
      </c>
      <c r="C34" s="533" t="e">
        <f>#REF!</f>
        <v>#REF!</v>
      </c>
      <c r="D34" s="522"/>
      <c r="E34" s="530">
        <f>+'Forecasted TOD kWh by Period'!E9</f>
        <v>5080500</v>
      </c>
      <c r="F34" s="8"/>
      <c r="G34" s="8">
        <f t="shared" si="29"/>
        <v>4470840</v>
      </c>
      <c r="H34" s="8"/>
      <c r="I34" s="169" t="e">
        <f t="shared" si="30"/>
        <v>#REF!</v>
      </c>
      <c r="J34" s="169">
        <f t="shared" si="30"/>
        <v>0</v>
      </c>
      <c r="K34" s="169" t="e">
        <f t="shared" si="31"/>
        <v>#REF!</v>
      </c>
      <c r="L34" s="169">
        <f t="shared" si="32"/>
        <v>33844</v>
      </c>
      <c r="M34" s="493"/>
      <c r="N34" s="493">
        <f t="shared" si="33"/>
        <v>7.5700000000000003E-3</v>
      </c>
      <c r="O34" s="504" t="e">
        <f>#REF!</f>
        <v>#REF!</v>
      </c>
      <c r="P34" s="493">
        <f>'May Price Out'!P34</f>
        <v>0</v>
      </c>
      <c r="Q34" s="502">
        <f t="shared" si="34"/>
        <v>609660</v>
      </c>
      <c r="R34" s="502"/>
      <c r="S34" s="169" t="e">
        <f t="shared" si="35"/>
        <v>#REF!</v>
      </c>
      <c r="T34" s="169">
        <f t="shared" si="35"/>
        <v>0</v>
      </c>
      <c r="U34" s="169" t="e">
        <f t="shared" si="36"/>
        <v>#REF!</v>
      </c>
      <c r="V34" s="169">
        <f t="shared" si="37"/>
        <v>4615</v>
      </c>
      <c r="X34" s="493" t="s">
        <v>526</v>
      </c>
      <c r="Y34" s="503" t="e">
        <f t="shared" si="38"/>
        <v>#REF!</v>
      </c>
      <c r="Z34" s="503">
        <f t="shared" si="38"/>
        <v>0</v>
      </c>
      <c r="AA34" s="503" t="e">
        <f t="shared" si="39"/>
        <v>#REF!</v>
      </c>
      <c r="AB34" s="503">
        <f t="shared" si="40"/>
        <v>38459</v>
      </c>
    </row>
    <row r="35" spans="1:28" x14ac:dyDescent="0.25">
      <c r="A35" s="493" t="s">
        <v>527</v>
      </c>
      <c r="B35" s="529">
        <f t="shared" si="12"/>
        <v>7.5700000000000003E-3</v>
      </c>
      <c r="C35" s="533" t="e">
        <f>#REF!</f>
        <v>#REF!</v>
      </c>
      <c r="D35" s="534">
        <f>+'May - Oct Capacity MSC by Class'!G28</f>
        <v>5.0199999999999996</v>
      </c>
      <c r="E35" s="530">
        <f>+'Forecasted TOD kWh by Period'!E12</f>
        <v>12236000</v>
      </c>
      <c r="F35" s="8">
        <f>'[100]Forecasted TOD kW by Period'!J9</f>
        <v>27816</v>
      </c>
      <c r="G35" s="8">
        <f t="shared" si="29"/>
        <v>10767680</v>
      </c>
      <c r="H35" s="8">
        <f>ROUND(F35*0.88,0)</f>
        <v>24478</v>
      </c>
      <c r="I35" s="169" t="e">
        <f t="shared" si="30"/>
        <v>#REF!</v>
      </c>
      <c r="J35" s="169">
        <f t="shared" si="30"/>
        <v>122880</v>
      </c>
      <c r="K35" s="169" t="e">
        <f t="shared" si="31"/>
        <v>#REF!</v>
      </c>
      <c r="L35" s="169">
        <f t="shared" si="32"/>
        <v>81511</v>
      </c>
      <c r="M35" s="493"/>
      <c r="N35" s="493">
        <f t="shared" si="33"/>
        <v>7.5700000000000003E-3</v>
      </c>
      <c r="O35" s="504" t="e">
        <f>#REF!</f>
        <v>#REF!</v>
      </c>
      <c r="P35" s="505">
        <f>'May Price Out'!P35</f>
        <v>4.6500000000000004</v>
      </c>
      <c r="Q35" s="502">
        <f t="shared" si="34"/>
        <v>1468320</v>
      </c>
      <c r="R35" s="502">
        <f>F35-H35</f>
        <v>3338</v>
      </c>
      <c r="S35" s="169" t="e">
        <f t="shared" si="35"/>
        <v>#REF!</v>
      </c>
      <c r="T35" s="169">
        <f t="shared" si="35"/>
        <v>15522</v>
      </c>
      <c r="U35" s="169" t="e">
        <f t="shared" si="36"/>
        <v>#REF!</v>
      </c>
      <c r="V35" s="169">
        <f t="shared" si="37"/>
        <v>11115</v>
      </c>
      <c r="X35" s="493" t="s">
        <v>527</v>
      </c>
      <c r="Y35" s="503" t="e">
        <f t="shared" si="38"/>
        <v>#REF!</v>
      </c>
      <c r="Z35" s="503">
        <f t="shared" si="38"/>
        <v>138402</v>
      </c>
      <c r="AA35" s="503" t="e">
        <f t="shared" si="39"/>
        <v>#REF!</v>
      </c>
      <c r="AB35" s="503">
        <f t="shared" si="40"/>
        <v>92626</v>
      </c>
    </row>
    <row r="36" spans="1:28" x14ac:dyDescent="0.25">
      <c r="A36" s="493" t="s">
        <v>528</v>
      </c>
      <c r="B36" s="529">
        <f t="shared" si="12"/>
        <v>7.5700000000000003E-3</v>
      </c>
      <c r="C36" s="533" t="e">
        <f>#REF!</f>
        <v>#REF!</v>
      </c>
      <c r="D36" s="522"/>
      <c r="E36" s="530">
        <f>+'Forecasted TOD kWh by Period'!E13</f>
        <v>15764000</v>
      </c>
      <c r="F36" s="8"/>
      <c r="G36" s="8">
        <f t="shared" si="29"/>
        <v>13872320</v>
      </c>
      <c r="H36" s="8"/>
      <c r="I36" s="169" t="e">
        <f t="shared" si="30"/>
        <v>#REF!</v>
      </c>
      <c r="J36" s="169">
        <f t="shared" si="30"/>
        <v>0</v>
      </c>
      <c r="K36" s="169" t="e">
        <f t="shared" si="31"/>
        <v>#REF!</v>
      </c>
      <c r="L36" s="169">
        <f t="shared" si="32"/>
        <v>105013</v>
      </c>
      <c r="M36" s="493"/>
      <c r="N36" s="493">
        <f t="shared" si="33"/>
        <v>7.5700000000000003E-3</v>
      </c>
      <c r="O36" s="504" t="e">
        <f>#REF!</f>
        <v>#REF!</v>
      </c>
      <c r="P36" s="493">
        <f>'May Price Out'!P36</f>
        <v>0</v>
      </c>
      <c r="Q36" s="502">
        <f t="shared" si="34"/>
        <v>1891680</v>
      </c>
      <c r="R36" s="502"/>
      <c r="S36" s="169" t="e">
        <f t="shared" si="35"/>
        <v>#REF!</v>
      </c>
      <c r="T36" s="169">
        <f t="shared" si="35"/>
        <v>0</v>
      </c>
      <c r="U36" s="169" t="e">
        <f t="shared" si="36"/>
        <v>#REF!</v>
      </c>
      <c r="V36" s="169">
        <f t="shared" si="37"/>
        <v>14320</v>
      </c>
      <c r="X36" s="493" t="s">
        <v>528</v>
      </c>
      <c r="Y36" s="503" t="e">
        <f t="shared" si="38"/>
        <v>#REF!</v>
      </c>
      <c r="Z36" s="503">
        <f t="shared" si="38"/>
        <v>0</v>
      </c>
      <c r="AA36" s="503" t="e">
        <f t="shared" si="39"/>
        <v>#REF!</v>
      </c>
      <c r="AB36" s="503">
        <f t="shared" si="40"/>
        <v>119333</v>
      </c>
    </row>
    <row r="37" spans="1:28" x14ac:dyDescent="0.25">
      <c r="A37" s="493" t="s">
        <v>529</v>
      </c>
      <c r="B37" s="529">
        <f t="shared" si="12"/>
        <v>7.5700000000000003E-3</v>
      </c>
      <c r="C37" s="533" t="e">
        <f>#REF!</f>
        <v>#REF!</v>
      </c>
      <c r="D37" s="534">
        <f>+'May - Oct Capacity MSC by Class'!G31</f>
        <v>5.59</v>
      </c>
      <c r="E37" s="530">
        <f>+'Forecasted TOD kWh by Period'!E16</f>
        <v>364227000</v>
      </c>
      <c r="F37" s="8">
        <f>'[100]Forecasted TOD kW by Period'!J13</f>
        <v>1611889</v>
      </c>
      <c r="G37" s="8">
        <f t="shared" si="29"/>
        <v>320519760</v>
      </c>
      <c r="H37" s="8">
        <f>ROUND(F37*0.88,0)</f>
        <v>1418462</v>
      </c>
      <c r="I37" s="169" t="e">
        <f t="shared" si="30"/>
        <v>#REF!</v>
      </c>
      <c r="J37" s="169">
        <f t="shared" si="30"/>
        <v>7929203</v>
      </c>
      <c r="K37" s="169" t="e">
        <f t="shared" si="31"/>
        <v>#REF!</v>
      </c>
      <c r="L37" s="169">
        <f t="shared" si="32"/>
        <v>2426335</v>
      </c>
      <c r="M37" s="493"/>
      <c r="N37" s="493">
        <f t="shared" si="33"/>
        <v>7.5700000000000003E-3</v>
      </c>
      <c r="O37" s="504" t="e">
        <f>#REF!</f>
        <v>#REF!</v>
      </c>
      <c r="P37" s="505">
        <f>'May Price Out'!P37</f>
        <v>5.17</v>
      </c>
      <c r="Q37" s="502">
        <f t="shared" si="34"/>
        <v>43707240</v>
      </c>
      <c r="R37" s="502">
        <f>F37-H37</f>
        <v>193427</v>
      </c>
      <c r="S37" s="169" t="e">
        <f t="shared" si="35"/>
        <v>#REF!</v>
      </c>
      <c r="T37" s="169">
        <f t="shared" si="35"/>
        <v>1000018</v>
      </c>
      <c r="U37" s="169" t="e">
        <f t="shared" si="36"/>
        <v>#REF!</v>
      </c>
      <c r="V37" s="169">
        <f t="shared" si="37"/>
        <v>330864</v>
      </c>
      <c r="X37" s="493" t="s">
        <v>529</v>
      </c>
      <c r="Y37" s="503" t="e">
        <f t="shared" si="38"/>
        <v>#REF!</v>
      </c>
      <c r="Z37" s="503">
        <f t="shared" si="38"/>
        <v>8929221</v>
      </c>
      <c r="AA37" s="503" t="e">
        <f t="shared" si="39"/>
        <v>#REF!</v>
      </c>
      <c r="AB37" s="503">
        <f t="shared" si="40"/>
        <v>2757199</v>
      </c>
    </row>
    <row r="38" spans="1:28" x14ac:dyDescent="0.25">
      <c r="A38" s="493" t="s">
        <v>530</v>
      </c>
      <c r="B38" s="529">
        <f t="shared" si="12"/>
        <v>7.5700000000000003E-3</v>
      </c>
      <c r="C38" s="533" t="e">
        <f>#REF!</f>
        <v>#REF!</v>
      </c>
      <c r="D38" s="522"/>
      <c r="E38" s="530">
        <f>+'Forecasted TOD kWh by Period'!E17</f>
        <v>362773000</v>
      </c>
      <c r="F38" s="8"/>
      <c r="G38" s="8">
        <f t="shared" si="29"/>
        <v>319240240</v>
      </c>
      <c r="H38" s="8"/>
      <c r="I38" s="169" t="e">
        <f t="shared" si="30"/>
        <v>#REF!</v>
      </c>
      <c r="J38" s="169">
        <f t="shared" si="30"/>
        <v>0</v>
      </c>
      <c r="K38" s="169" t="e">
        <f t="shared" si="31"/>
        <v>#REF!</v>
      </c>
      <c r="L38" s="169">
        <f t="shared" si="32"/>
        <v>2416649</v>
      </c>
      <c r="M38" s="493"/>
      <c r="N38" s="493">
        <f t="shared" si="33"/>
        <v>7.5700000000000003E-3</v>
      </c>
      <c r="O38" s="504" t="e">
        <f>#REF!</f>
        <v>#REF!</v>
      </c>
      <c r="P38" s="493">
        <f>'May Price Out'!P38</f>
        <v>0</v>
      </c>
      <c r="Q38" s="502">
        <f t="shared" si="34"/>
        <v>43532760</v>
      </c>
      <c r="R38" s="502"/>
      <c r="S38" s="169" t="e">
        <f t="shared" si="35"/>
        <v>#REF!</v>
      </c>
      <c r="T38" s="169">
        <f t="shared" si="35"/>
        <v>0</v>
      </c>
      <c r="U38" s="169" t="e">
        <f t="shared" si="36"/>
        <v>#REF!</v>
      </c>
      <c r="V38" s="169">
        <f t="shared" si="37"/>
        <v>329543</v>
      </c>
      <c r="X38" s="493" t="s">
        <v>530</v>
      </c>
      <c r="Y38" s="503" t="e">
        <f t="shared" si="38"/>
        <v>#REF!</v>
      </c>
      <c r="Z38" s="503">
        <f t="shared" si="38"/>
        <v>0</v>
      </c>
      <c r="AA38" s="503" t="e">
        <f t="shared" si="39"/>
        <v>#REF!</v>
      </c>
      <c r="AB38" s="503">
        <f t="shared" si="40"/>
        <v>2746192</v>
      </c>
    </row>
    <row r="39" spans="1:28" x14ac:dyDescent="0.25">
      <c r="A39" s="493" t="s">
        <v>531</v>
      </c>
      <c r="B39" s="529">
        <f t="shared" si="12"/>
        <v>7.5700000000000003E-3</v>
      </c>
      <c r="C39" s="533" t="e">
        <f>#REF!</f>
        <v>#REF!</v>
      </c>
      <c r="D39" s="534">
        <f>+'May - Oct Capacity MSC by Class'!G34</f>
        <v>9.07</v>
      </c>
      <c r="E39" s="530">
        <f>+'Forecasted TOD kWh by Period'!E20</f>
        <v>5238000</v>
      </c>
      <c r="F39" s="8">
        <f>'[100]Forecasted TOD kW by Period'!J17</f>
        <v>21115</v>
      </c>
      <c r="G39" s="8">
        <f t="shared" si="29"/>
        <v>4609440</v>
      </c>
      <c r="H39" s="8">
        <f>ROUND(F39*0.88,0)</f>
        <v>18581</v>
      </c>
      <c r="I39" s="169" t="e">
        <f t="shared" si="30"/>
        <v>#REF!</v>
      </c>
      <c r="J39" s="169">
        <f t="shared" si="30"/>
        <v>168530</v>
      </c>
      <c r="K39" s="169" t="e">
        <f t="shared" si="31"/>
        <v>#REF!</v>
      </c>
      <c r="L39" s="169">
        <f t="shared" si="32"/>
        <v>34893</v>
      </c>
      <c r="M39" s="493"/>
      <c r="N39" s="493">
        <f t="shared" si="33"/>
        <v>7.5700000000000003E-3</v>
      </c>
      <c r="O39" s="504" t="e">
        <f>#REF!</f>
        <v>#REF!</v>
      </c>
      <c r="P39" s="505">
        <f>'May Price Out'!P39</f>
        <v>8.4</v>
      </c>
      <c r="Q39" s="502">
        <f t="shared" si="34"/>
        <v>628560</v>
      </c>
      <c r="R39" s="502">
        <f>F39-H39</f>
        <v>2534</v>
      </c>
      <c r="S39" s="169" t="e">
        <f t="shared" si="35"/>
        <v>#REF!</v>
      </c>
      <c r="T39" s="169">
        <f t="shared" si="35"/>
        <v>21286</v>
      </c>
      <c r="U39" s="169" t="e">
        <f t="shared" si="36"/>
        <v>#REF!</v>
      </c>
      <c r="V39" s="169">
        <f t="shared" si="37"/>
        <v>4758</v>
      </c>
      <c r="X39" s="493" t="s">
        <v>531</v>
      </c>
      <c r="Y39" s="503" t="e">
        <f t="shared" si="38"/>
        <v>#REF!</v>
      </c>
      <c r="Z39" s="503">
        <f t="shared" si="38"/>
        <v>189816</v>
      </c>
      <c r="AA39" s="503" t="e">
        <f t="shared" si="39"/>
        <v>#REF!</v>
      </c>
      <c r="AB39" s="503">
        <f t="shared" si="40"/>
        <v>39651</v>
      </c>
    </row>
    <row r="40" spans="1:28" x14ac:dyDescent="0.25">
      <c r="A40" s="493" t="s">
        <v>532</v>
      </c>
      <c r="B40" s="529">
        <f t="shared" si="12"/>
        <v>7.5700000000000003E-3</v>
      </c>
      <c r="C40" s="533" t="e">
        <f>#REF!</f>
        <v>#REF!</v>
      </c>
      <c r="D40" s="522"/>
      <c r="E40" s="530">
        <f>+'Forecasted TOD kWh by Period'!E21</f>
        <v>6762000</v>
      </c>
      <c r="F40" s="8"/>
      <c r="G40" s="8">
        <f t="shared" si="29"/>
        <v>5950560</v>
      </c>
      <c r="H40" s="8"/>
      <c r="I40" s="169" t="e">
        <f t="shared" si="30"/>
        <v>#REF!</v>
      </c>
      <c r="J40" s="169">
        <f t="shared" si="30"/>
        <v>0</v>
      </c>
      <c r="K40" s="169" t="e">
        <f t="shared" si="31"/>
        <v>#REF!</v>
      </c>
      <c r="L40" s="169">
        <f t="shared" si="32"/>
        <v>45046</v>
      </c>
      <c r="M40" s="493"/>
      <c r="N40" s="493">
        <f t="shared" si="33"/>
        <v>7.5700000000000003E-3</v>
      </c>
      <c r="O40" s="504" t="e">
        <f>#REF!</f>
        <v>#REF!</v>
      </c>
      <c r="P40" s="493">
        <f>'May Price Out'!P40</f>
        <v>0</v>
      </c>
      <c r="Q40" s="502">
        <f t="shared" si="34"/>
        <v>811440</v>
      </c>
      <c r="R40" s="502"/>
      <c r="S40" s="169" t="e">
        <f t="shared" si="35"/>
        <v>#REF!</v>
      </c>
      <c r="T40" s="169">
        <f t="shared" si="35"/>
        <v>0</v>
      </c>
      <c r="U40" s="169" t="e">
        <f t="shared" si="36"/>
        <v>#REF!</v>
      </c>
      <c r="V40" s="169">
        <f t="shared" si="37"/>
        <v>6143</v>
      </c>
      <c r="X40" s="493" t="s">
        <v>532</v>
      </c>
      <c r="Y40" s="503" t="e">
        <f t="shared" si="38"/>
        <v>#REF!</v>
      </c>
      <c r="Z40" s="503">
        <f t="shared" si="38"/>
        <v>0</v>
      </c>
      <c r="AA40" s="503" t="e">
        <f t="shared" si="39"/>
        <v>#REF!</v>
      </c>
      <c r="AB40" s="503">
        <f t="shared" si="40"/>
        <v>51189</v>
      </c>
    </row>
    <row r="41" spans="1:28" x14ac:dyDescent="0.25">
      <c r="A41" s="493" t="s">
        <v>533</v>
      </c>
      <c r="B41" s="529">
        <f t="shared" si="12"/>
        <v>7.5700000000000003E-3</v>
      </c>
      <c r="C41" s="533" t="e">
        <f>#REF!</f>
        <v>#REF!</v>
      </c>
      <c r="D41" s="534">
        <f>+'May - Oct Capacity MSC by Class'!G35</f>
        <v>0.08</v>
      </c>
      <c r="E41" s="530">
        <f>+'Forecasted TOD kWh by Period'!E24</f>
        <v>485964</v>
      </c>
      <c r="F41" s="8">
        <f>'[100]Forecasted TOD kW by Period'!J21</f>
        <v>10497</v>
      </c>
      <c r="G41" s="8">
        <f t="shared" si="29"/>
        <v>427648</v>
      </c>
      <c r="H41" s="8">
        <f>ROUND(F41*0.88,0)</f>
        <v>9237</v>
      </c>
      <c r="I41" s="169" t="e">
        <f t="shared" si="30"/>
        <v>#REF!</v>
      </c>
      <c r="J41" s="169">
        <f t="shared" si="30"/>
        <v>739</v>
      </c>
      <c r="K41" s="169" t="e">
        <f t="shared" si="31"/>
        <v>#REF!</v>
      </c>
      <c r="L41" s="169">
        <f t="shared" si="32"/>
        <v>3237</v>
      </c>
      <c r="M41" s="493"/>
      <c r="N41" s="493">
        <f t="shared" si="33"/>
        <v>7.5700000000000003E-3</v>
      </c>
      <c r="O41" s="504" t="e">
        <f>#REF!</f>
        <v>#REF!</v>
      </c>
      <c r="P41" s="505">
        <f>'May Price Out'!P41</f>
        <v>0.08</v>
      </c>
      <c r="Q41" s="506">
        <f t="shared" si="34"/>
        <v>58316</v>
      </c>
      <c r="R41" s="506">
        <f>F41-H41</f>
        <v>1260</v>
      </c>
      <c r="S41" s="169" t="e">
        <f t="shared" si="35"/>
        <v>#REF!</v>
      </c>
      <c r="T41" s="169">
        <f t="shared" si="35"/>
        <v>101</v>
      </c>
      <c r="U41" s="169" t="e">
        <f t="shared" si="36"/>
        <v>#REF!</v>
      </c>
      <c r="V41" s="169">
        <f t="shared" si="37"/>
        <v>441</v>
      </c>
      <c r="X41" s="493" t="s">
        <v>533</v>
      </c>
      <c r="Y41" s="503" t="e">
        <f t="shared" si="38"/>
        <v>#REF!</v>
      </c>
      <c r="Z41" s="503">
        <f t="shared" si="38"/>
        <v>840</v>
      </c>
      <c r="AA41" s="503" t="e">
        <f t="shared" si="39"/>
        <v>#REF!</v>
      </c>
      <c r="AB41" s="503">
        <f t="shared" si="40"/>
        <v>3678</v>
      </c>
    </row>
    <row r="42" spans="1:28" x14ac:dyDescent="0.25">
      <c r="A42" s="493" t="s">
        <v>534</v>
      </c>
      <c r="B42" s="529">
        <f t="shared" si="12"/>
        <v>7.5700000000000003E-3</v>
      </c>
      <c r="C42" s="533" t="e">
        <f>#REF!</f>
        <v>#REF!</v>
      </c>
      <c r="D42" s="522"/>
      <c r="E42" s="530">
        <f>+'Forecasted TOD kWh by Period'!E25</f>
        <v>596603</v>
      </c>
      <c r="F42" s="493"/>
      <c r="G42" s="8">
        <f t="shared" si="29"/>
        <v>525011</v>
      </c>
      <c r="H42" s="8"/>
      <c r="I42" s="169" t="e">
        <f t="shared" si="30"/>
        <v>#REF!</v>
      </c>
      <c r="J42" s="169">
        <f t="shared" si="30"/>
        <v>0</v>
      </c>
      <c r="K42" s="169" t="e">
        <f t="shared" si="31"/>
        <v>#REF!</v>
      </c>
      <c r="L42" s="169">
        <f t="shared" si="32"/>
        <v>3974</v>
      </c>
      <c r="M42" s="493"/>
      <c r="N42" s="493">
        <f t="shared" si="33"/>
        <v>7.5700000000000003E-3</v>
      </c>
      <c r="O42" s="504" t="e">
        <f>#REF!</f>
        <v>#REF!</v>
      </c>
      <c r="P42" s="492">
        <f>'May Price Out'!P42</f>
        <v>0</v>
      </c>
      <c r="Q42" s="506">
        <f t="shared" si="34"/>
        <v>71592</v>
      </c>
      <c r="R42" s="396"/>
      <c r="S42" s="169" t="e">
        <f t="shared" si="35"/>
        <v>#REF!</v>
      </c>
      <c r="T42" s="169">
        <f t="shared" si="35"/>
        <v>0</v>
      </c>
      <c r="U42" s="169" t="e">
        <f t="shared" si="36"/>
        <v>#REF!</v>
      </c>
      <c r="V42" s="169">
        <f t="shared" si="37"/>
        <v>542</v>
      </c>
      <c r="X42" s="493" t="s">
        <v>534</v>
      </c>
      <c r="Y42" s="503" t="e">
        <f t="shared" si="38"/>
        <v>#REF!</v>
      </c>
      <c r="Z42" s="503">
        <f t="shared" si="38"/>
        <v>0</v>
      </c>
      <c r="AA42" s="503" t="e">
        <f t="shared" si="39"/>
        <v>#REF!</v>
      </c>
      <c r="AB42" s="503">
        <f t="shared" si="40"/>
        <v>4516</v>
      </c>
    </row>
    <row r="43" spans="1:28" x14ac:dyDescent="0.25">
      <c r="A43" s="493"/>
      <c r="B43" s="493"/>
      <c r="C43" s="493"/>
      <c r="D43" s="493"/>
      <c r="E43" s="493"/>
      <c r="F43" s="493"/>
      <c r="G43" s="493"/>
      <c r="H43" s="493"/>
      <c r="I43" s="493"/>
      <c r="J43" s="493"/>
      <c r="K43" s="493"/>
      <c r="L43" s="493"/>
      <c r="M43" s="493"/>
      <c r="O43" s="493"/>
      <c r="S43" s="493"/>
      <c r="T43" s="493"/>
      <c r="U43" s="493"/>
      <c r="V43" s="493"/>
      <c r="X43" s="493"/>
      <c r="Y43" s="503"/>
      <c r="Z43" s="503"/>
      <c r="AA43" s="503"/>
      <c r="AB43" s="503"/>
    </row>
    <row r="44" spans="1:28" x14ac:dyDescent="0.25">
      <c r="A44" s="493" t="s">
        <v>162</v>
      </c>
      <c r="B44" s="493"/>
      <c r="C44" s="493"/>
      <c r="D44" s="493"/>
      <c r="E44" s="507">
        <f>SUM(E8:E19)+SUM(E21:E24)+SUM(E26:E31)+SUM(E33:E42)</f>
        <v>6103605990</v>
      </c>
      <c r="F44" s="493"/>
      <c r="G44" s="507">
        <f>SUM(G8:G19)+SUM(G21:G24)+SUM(G26:G31)+SUM(G33:G42)</f>
        <v>5371173274</v>
      </c>
      <c r="H44" s="493"/>
      <c r="I44" s="503" t="e">
        <f>SUM(I8:I43)</f>
        <v>#REF!</v>
      </c>
      <c r="J44" s="169">
        <f>SUM(J8:J19)+SUM(J21:J24)+SUM(J26:J31)+SUM(J33:J42)</f>
        <v>85286297</v>
      </c>
      <c r="K44" s="503" t="e">
        <f>SUM(K8:K43)</f>
        <v>#REF!</v>
      </c>
      <c r="L44" s="169">
        <f>SUM(L8:L19)+SUM(L21:L24)+SUM(L26:L31)+SUM(L33:L42)</f>
        <v>40659779</v>
      </c>
      <c r="M44" s="493"/>
      <c r="Q44" s="507">
        <f>SUM(Q8:Q19)+SUM(Q21:Q24)+SUM(Q26:Q31)+SUM(Q33:Q42)</f>
        <v>732432716</v>
      </c>
      <c r="S44" s="503" t="e">
        <f>SUM(S8:S43)</f>
        <v>#REF!</v>
      </c>
      <c r="T44" s="169">
        <f>SUM(T8:T19)+SUM(T21:T24)+SUM(T26:T31)+SUM(T33:T42)</f>
        <v>9252885</v>
      </c>
      <c r="U44" s="503" t="e">
        <f>SUM(U8:U43)</f>
        <v>#REF!</v>
      </c>
      <c r="V44" s="169">
        <f>SUM(V8:V19)+SUM(V21:V24)+SUM(V26:V31)+SUM(V33:V42)</f>
        <v>5544514</v>
      </c>
      <c r="X44" s="493" t="s">
        <v>162</v>
      </c>
      <c r="Y44" s="503" t="e">
        <f>I44+S44</f>
        <v>#REF!</v>
      </c>
      <c r="Z44" s="503">
        <f>J44+T44</f>
        <v>94539182</v>
      </c>
      <c r="AA44" s="503" t="e">
        <f>Y44+Z44</f>
        <v>#REF!</v>
      </c>
      <c r="AB44" s="503">
        <f>L44+V44</f>
        <v>46204293</v>
      </c>
    </row>
    <row r="45" spans="1:28" x14ac:dyDescent="0.25">
      <c r="A45" s="493"/>
      <c r="B45" s="493"/>
      <c r="C45" s="493"/>
      <c r="D45" s="493"/>
      <c r="E45" s="493"/>
      <c r="F45" s="493"/>
      <c r="G45" s="493"/>
      <c r="H45" s="493"/>
      <c r="I45" s="493"/>
      <c r="J45" s="493"/>
      <c r="K45" s="493"/>
      <c r="L45" s="493"/>
      <c r="M45" s="493"/>
      <c r="N45" s="493"/>
    </row>
    <row r="46" spans="1:28" x14ac:dyDescent="0.25">
      <c r="A46" s="493"/>
      <c r="B46" s="493"/>
      <c r="C46" s="493"/>
      <c r="D46" s="493"/>
      <c r="E46" s="493"/>
      <c r="F46" s="493"/>
      <c r="G46" s="493"/>
      <c r="H46" s="493"/>
      <c r="I46" s="493"/>
      <c r="J46" s="493"/>
      <c r="K46" s="493"/>
      <c r="L46" s="493"/>
      <c r="M46" s="493"/>
      <c r="N46" s="493"/>
    </row>
    <row r="47" spans="1:28" x14ac:dyDescent="0.25">
      <c r="A47" s="493"/>
      <c r="B47" s="493"/>
      <c r="C47" s="493"/>
      <c r="D47" s="493"/>
      <c r="E47" s="493"/>
      <c r="F47" s="493"/>
      <c r="G47" s="493"/>
      <c r="H47" s="493"/>
      <c r="I47" s="493"/>
      <c r="J47" s="493"/>
      <c r="K47" s="493"/>
      <c r="L47" s="493"/>
      <c r="M47" s="493"/>
    </row>
    <row r="48" spans="1:28" x14ac:dyDescent="0.25">
      <c r="A48" s="493"/>
      <c r="B48" s="493"/>
      <c r="C48" s="493"/>
      <c r="D48" s="493"/>
      <c r="E48" s="493"/>
      <c r="F48" s="493"/>
      <c r="G48" s="493"/>
      <c r="H48" s="493"/>
      <c r="I48" s="493"/>
      <c r="J48" s="493"/>
      <c r="K48" s="493"/>
      <c r="L48" s="493"/>
      <c r="M48" s="493"/>
    </row>
    <row r="49" spans="1:13" x14ac:dyDescent="0.25">
      <c r="A49" s="493"/>
      <c r="B49" s="493"/>
      <c r="C49" s="493"/>
      <c r="D49" s="493"/>
      <c r="E49" s="493"/>
      <c r="F49" s="493"/>
      <c r="G49" s="493"/>
      <c r="H49" s="493"/>
      <c r="I49" s="493"/>
      <c r="J49" s="493"/>
      <c r="K49" s="493"/>
      <c r="L49" s="493"/>
      <c r="M49" s="493"/>
    </row>
    <row r="50" spans="1:13" x14ac:dyDescent="0.25">
      <c r="A50" s="493"/>
      <c r="B50" s="493"/>
      <c r="C50" s="493"/>
      <c r="D50" s="493"/>
      <c r="E50" s="493"/>
      <c r="F50" s="493"/>
      <c r="G50" s="493"/>
      <c r="H50" s="493"/>
      <c r="I50" s="493"/>
      <c r="J50" s="493"/>
      <c r="K50" s="493"/>
      <c r="L50" s="493"/>
    </row>
    <row r="51" spans="1:13" x14ac:dyDescent="0.25">
      <c r="A51" s="493"/>
      <c r="B51" s="493"/>
      <c r="C51" s="493"/>
      <c r="D51" s="493"/>
      <c r="E51" s="493"/>
      <c r="F51" s="493"/>
      <c r="G51" s="493"/>
      <c r="H51" s="493"/>
      <c r="I51" s="493"/>
      <c r="J51" s="493"/>
      <c r="K51" s="493"/>
      <c r="L51" s="493"/>
    </row>
    <row r="52" spans="1:13" x14ac:dyDescent="0.25">
      <c r="A52" s="493"/>
      <c r="B52" s="493"/>
      <c r="C52" s="493"/>
      <c r="D52" s="493"/>
      <c r="E52" s="493"/>
      <c r="F52" s="493"/>
      <c r="G52" s="493"/>
      <c r="H52" s="493"/>
      <c r="I52" s="493"/>
      <c r="J52" s="493"/>
      <c r="K52" s="493"/>
      <c r="L52" s="493"/>
    </row>
    <row r="53" spans="1:13" x14ac:dyDescent="0.25">
      <c r="A53" s="493"/>
      <c r="B53" s="493"/>
      <c r="C53" s="493"/>
      <c r="D53" s="493"/>
      <c r="E53" s="493"/>
      <c r="F53" s="493"/>
      <c r="G53" s="493"/>
      <c r="H53" s="493"/>
      <c r="I53" s="493"/>
      <c r="J53" s="493"/>
      <c r="K53" s="493"/>
      <c r="L53" s="493"/>
    </row>
    <row r="54" spans="1:13" x14ac:dyDescent="0.25">
      <c r="A54" s="493"/>
      <c r="B54" s="493"/>
      <c r="C54" s="493"/>
      <c r="D54" s="493"/>
      <c r="E54" s="493"/>
      <c r="F54" s="493"/>
      <c r="G54" s="493"/>
      <c r="H54" s="493"/>
      <c r="I54" s="493"/>
      <c r="J54" s="493"/>
      <c r="K54" s="493"/>
      <c r="L54" s="493"/>
    </row>
    <row r="55" spans="1:13" x14ac:dyDescent="0.25">
      <c r="A55" s="493"/>
      <c r="B55" s="493"/>
      <c r="C55" s="493"/>
      <c r="D55" s="493"/>
      <c r="E55" s="493"/>
      <c r="F55" s="493"/>
      <c r="G55" s="493"/>
      <c r="H55" s="493"/>
      <c r="I55" s="493"/>
      <c r="J55" s="493"/>
      <c r="K55" s="493"/>
      <c r="L55" s="493"/>
    </row>
    <row r="56" spans="1:13" x14ac:dyDescent="0.25">
      <c r="A56" s="493"/>
      <c r="B56" s="493"/>
      <c r="C56" s="493"/>
      <c r="D56" s="493"/>
      <c r="E56" s="493"/>
      <c r="F56" s="493"/>
      <c r="G56" s="493"/>
      <c r="H56" s="493"/>
      <c r="I56" s="493"/>
      <c r="J56" s="493"/>
      <c r="K56" s="493"/>
      <c r="L56" s="493"/>
    </row>
    <row r="57" spans="1:13" x14ac:dyDescent="0.25">
      <c r="A57" s="493"/>
      <c r="B57" s="493"/>
      <c r="C57" s="493"/>
      <c r="D57" s="493"/>
      <c r="E57" s="493"/>
      <c r="F57" s="493"/>
      <c r="G57" s="493"/>
      <c r="H57" s="493"/>
      <c r="I57" s="493"/>
      <c r="J57" s="493"/>
      <c r="K57" s="493"/>
      <c r="L57" s="493"/>
    </row>
    <row r="58" spans="1:13" x14ac:dyDescent="0.25">
      <c r="A58" s="493"/>
      <c r="B58" s="493"/>
      <c r="C58" s="493"/>
      <c r="D58" s="493"/>
      <c r="E58" s="493"/>
      <c r="F58" s="493"/>
      <c r="G58" s="493"/>
      <c r="H58" s="493"/>
      <c r="I58" s="493"/>
      <c r="J58" s="493"/>
      <c r="K58" s="493"/>
      <c r="L58" s="493"/>
    </row>
    <row r="59" spans="1:13" x14ac:dyDescent="0.25">
      <c r="A59" s="493"/>
      <c r="B59" s="493"/>
      <c r="C59" s="493"/>
      <c r="D59" s="493"/>
      <c r="E59" s="493"/>
      <c r="F59" s="493"/>
      <c r="G59" s="493"/>
      <c r="H59" s="493"/>
      <c r="I59" s="493"/>
      <c r="J59" s="493"/>
      <c r="K59" s="493"/>
      <c r="L59" s="493"/>
    </row>
    <row r="60" spans="1:13" x14ac:dyDescent="0.25">
      <c r="A60" s="493"/>
      <c r="B60" s="493"/>
      <c r="C60" s="493"/>
      <c r="D60" s="493"/>
      <c r="E60" s="493"/>
      <c r="F60" s="493"/>
      <c r="G60" s="493"/>
      <c r="H60" s="493"/>
      <c r="I60" s="493"/>
      <c r="J60" s="493"/>
      <c r="K60" s="493"/>
      <c r="L60" s="493"/>
    </row>
    <row r="61" spans="1:13" x14ac:dyDescent="0.25">
      <c r="A61" s="493"/>
      <c r="B61" s="493"/>
      <c r="C61" s="493"/>
      <c r="D61" s="493"/>
      <c r="E61" s="493"/>
      <c r="F61" s="493"/>
      <c r="G61" s="493"/>
      <c r="H61" s="493"/>
      <c r="I61" s="493"/>
      <c r="J61" s="493"/>
      <c r="K61" s="493"/>
      <c r="L61" s="493"/>
    </row>
    <row r="62" spans="1:13" x14ac:dyDescent="0.25">
      <c r="A62" s="493"/>
      <c r="B62" s="493"/>
      <c r="C62" s="493"/>
      <c r="D62" s="493"/>
      <c r="E62" s="493"/>
      <c r="F62" s="493"/>
      <c r="G62" s="493"/>
      <c r="H62" s="493"/>
      <c r="I62" s="493"/>
      <c r="J62" s="493"/>
      <c r="K62" s="493"/>
      <c r="L62" s="493"/>
    </row>
    <row r="63" spans="1:13" x14ac:dyDescent="0.25">
      <c r="A63" s="493"/>
      <c r="B63" s="493"/>
      <c r="C63" s="493"/>
      <c r="D63" s="493"/>
      <c r="E63" s="493"/>
      <c r="F63" s="493"/>
      <c r="G63" s="493"/>
      <c r="H63" s="493"/>
      <c r="I63" s="493"/>
      <c r="J63" s="493"/>
      <c r="K63" s="493"/>
      <c r="L63" s="493"/>
    </row>
    <row r="64" spans="1:13" x14ac:dyDescent="0.25">
      <c r="A64" s="493"/>
      <c r="B64" s="493"/>
      <c r="C64" s="493"/>
      <c r="D64" s="493"/>
      <c r="E64" s="493"/>
      <c r="F64" s="493"/>
      <c r="G64" s="493"/>
      <c r="H64" s="493"/>
      <c r="I64" s="493"/>
      <c r="J64" s="493"/>
      <c r="K64" s="493"/>
      <c r="L64" s="493"/>
    </row>
    <row r="65" spans="1:13" x14ac:dyDescent="0.25">
      <c r="A65" s="493"/>
      <c r="B65" s="493"/>
      <c r="C65" s="493"/>
      <c r="D65" s="493"/>
      <c r="E65" s="493"/>
      <c r="F65" s="493"/>
      <c r="G65" s="493"/>
      <c r="H65" s="493"/>
      <c r="I65" s="493"/>
      <c r="J65" s="493"/>
      <c r="K65" s="493"/>
      <c r="L65" s="493"/>
    </row>
    <row r="66" spans="1:13" x14ac:dyDescent="0.25">
      <c r="A66" s="493"/>
      <c r="B66" s="493"/>
      <c r="C66" s="493"/>
      <c r="D66" s="493"/>
      <c r="E66" s="493"/>
      <c r="F66" s="493"/>
      <c r="G66" s="493"/>
      <c r="H66" s="493"/>
      <c r="I66" s="493"/>
      <c r="J66" s="493"/>
      <c r="K66" s="493"/>
      <c r="L66" s="493"/>
    </row>
    <row r="67" spans="1:13" x14ac:dyDescent="0.25">
      <c r="A67" s="493"/>
      <c r="B67" s="493"/>
      <c r="C67" s="493"/>
      <c r="D67" s="493"/>
      <c r="E67" s="493"/>
      <c r="F67" s="493"/>
      <c r="G67" s="493"/>
      <c r="H67" s="493"/>
      <c r="I67" s="493"/>
      <c r="J67" s="493"/>
      <c r="K67" s="493"/>
      <c r="L67" s="493"/>
    </row>
    <row r="68" spans="1:13" x14ac:dyDescent="0.25">
      <c r="A68" s="493"/>
      <c r="B68" s="493"/>
      <c r="C68" s="493"/>
      <c r="D68" s="493"/>
      <c r="E68" s="493"/>
      <c r="F68" s="493"/>
      <c r="G68" s="493"/>
      <c r="H68" s="493"/>
      <c r="I68" s="493"/>
      <c r="J68" s="493"/>
      <c r="K68" s="493"/>
      <c r="L68" s="493"/>
    </row>
    <row r="69" spans="1:13" x14ac:dyDescent="0.25">
      <c r="A69" s="493"/>
      <c r="B69" s="493"/>
      <c r="C69" s="493"/>
      <c r="D69" s="493"/>
      <c r="E69" s="493"/>
      <c r="F69" s="493"/>
      <c r="G69" s="493"/>
      <c r="H69" s="493"/>
      <c r="I69" s="493"/>
      <c r="J69" s="493"/>
      <c r="K69" s="493"/>
      <c r="L69" s="493"/>
    </row>
    <row r="70" spans="1:13" x14ac:dyDescent="0.25">
      <c r="A70" s="493"/>
      <c r="B70" s="493"/>
      <c r="C70" s="493"/>
      <c r="D70" s="493"/>
      <c r="E70" s="493"/>
      <c r="F70" s="493"/>
      <c r="G70" s="493"/>
      <c r="H70" s="493"/>
      <c r="I70" s="493"/>
      <c r="J70" s="493"/>
      <c r="K70" s="493"/>
      <c r="L70" s="493"/>
      <c r="M70" s="493"/>
    </row>
    <row r="71" spans="1:13" x14ac:dyDescent="0.25">
      <c r="A71" s="493"/>
      <c r="B71" s="493"/>
      <c r="C71" s="493"/>
      <c r="D71" s="493"/>
      <c r="E71" s="493"/>
      <c r="F71" s="493"/>
      <c r="G71" s="493"/>
      <c r="H71" s="493"/>
      <c r="I71" s="493"/>
      <c r="J71" s="493"/>
      <c r="K71" s="493"/>
      <c r="L71" s="493"/>
      <c r="M71" s="493"/>
    </row>
    <row r="72" spans="1:13" x14ac:dyDescent="0.25">
      <c r="A72" s="493"/>
      <c r="B72" s="493"/>
      <c r="C72" s="493"/>
      <c r="D72" s="493"/>
      <c r="E72" s="493"/>
      <c r="F72" s="493"/>
      <c r="G72" s="493"/>
      <c r="H72" s="493"/>
      <c r="I72" s="493"/>
      <c r="J72" s="493"/>
      <c r="K72" s="493"/>
      <c r="L72" s="493"/>
      <c r="M72" s="493"/>
    </row>
    <row r="73" spans="1:13" x14ac:dyDescent="0.25">
      <c r="A73" s="493"/>
      <c r="B73" s="493"/>
      <c r="C73" s="493"/>
      <c r="D73" s="493"/>
      <c r="E73" s="493"/>
      <c r="F73" s="493"/>
      <c r="G73" s="493"/>
      <c r="H73" s="493"/>
      <c r="I73" s="493"/>
      <c r="J73" s="493"/>
      <c r="K73" s="493"/>
      <c r="L73" s="493"/>
    </row>
    <row r="74" spans="1:13" x14ac:dyDescent="0.25">
      <c r="A74" s="493"/>
      <c r="B74" s="493"/>
      <c r="C74" s="493"/>
      <c r="D74" s="493"/>
      <c r="E74" s="493"/>
      <c r="F74" s="493"/>
      <c r="G74" s="493"/>
      <c r="H74" s="493"/>
      <c r="I74" s="493"/>
      <c r="J74" s="493"/>
      <c r="K74" s="493"/>
      <c r="L74" s="493"/>
    </row>
    <row r="75" spans="1:13" x14ac:dyDescent="0.25">
      <c r="A75" s="493"/>
      <c r="B75" s="493"/>
      <c r="C75" s="493"/>
      <c r="D75" s="493"/>
      <c r="E75" s="493"/>
      <c r="F75" s="493"/>
      <c r="G75" s="493"/>
      <c r="H75" s="493"/>
      <c r="I75" s="493"/>
      <c r="J75" s="493"/>
      <c r="K75" s="493"/>
      <c r="L75" s="493"/>
    </row>
    <row r="76" spans="1:13" x14ac:dyDescent="0.25">
      <c r="A76" s="493"/>
      <c r="B76" s="493"/>
      <c r="C76" s="493"/>
      <c r="D76" s="493"/>
      <c r="E76" s="493"/>
      <c r="F76" s="493"/>
      <c r="G76" s="493"/>
      <c r="H76" s="493"/>
      <c r="I76" s="493"/>
      <c r="J76" s="493"/>
      <c r="K76" s="493"/>
      <c r="L76" s="493"/>
    </row>
    <row r="77" spans="1:13" x14ac:dyDescent="0.25">
      <c r="A77" s="493"/>
      <c r="B77" s="493"/>
      <c r="C77" s="493"/>
      <c r="D77" s="493"/>
      <c r="E77" s="493"/>
      <c r="F77" s="493"/>
      <c r="G77" s="493"/>
      <c r="H77" s="493"/>
      <c r="I77" s="493"/>
      <c r="J77" s="493"/>
      <c r="K77" s="493"/>
      <c r="L77" s="493"/>
    </row>
    <row r="78" spans="1:13" x14ac:dyDescent="0.25">
      <c r="A78" s="493"/>
      <c r="B78" s="493"/>
      <c r="C78" s="493"/>
      <c r="D78" s="493"/>
      <c r="E78" s="493"/>
      <c r="F78" s="493"/>
      <c r="G78" s="493"/>
      <c r="H78" s="493"/>
      <c r="I78" s="493"/>
      <c r="J78" s="493"/>
      <c r="K78" s="493"/>
      <c r="L78" s="493"/>
    </row>
    <row r="79" spans="1:13" x14ac:dyDescent="0.25">
      <c r="A79" s="493"/>
      <c r="B79" s="493"/>
      <c r="C79" s="493"/>
      <c r="D79" s="493"/>
      <c r="E79" s="493"/>
      <c r="F79" s="493"/>
      <c r="G79" s="493"/>
      <c r="H79" s="493"/>
      <c r="I79" s="493"/>
      <c r="J79" s="493"/>
      <c r="K79" s="493"/>
      <c r="L79" s="493"/>
    </row>
    <row r="80" spans="1:13" x14ac:dyDescent="0.25">
      <c r="A80" s="493"/>
      <c r="B80" s="493"/>
      <c r="C80" s="493"/>
      <c r="D80" s="493"/>
      <c r="E80" s="493"/>
      <c r="F80" s="493"/>
      <c r="G80" s="493"/>
      <c r="H80" s="493"/>
      <c r="I80" s="493"/>
      <c r="J80" s="493"/>
      <c r="K80" s="493"/>
      <c r="L80" s="493"/>
    </row>
    <row r="81" spans="1:13" x14ac:dyDescent="0.25">
      <c r="A81" s="493"/>
      <c r="B81" s="493"/>
      <c r="C81" s="493"/>
      <c r="D81" s="493"/>
      <c r="E81" s="493"/>
      <c r="F81" s="493"/>
      <c r="G81" s="493"/>
      <c r="H81" s="493"/>
      <c r="I81" s="493"/>
      <c r="J81" s="493"/>
      <c r="K81" s="493"/>
      <c r="L81" s="493"/>
    </row>
    <row r="82" spans="1:13" x14ac:dyDescent="0.25">
      <c r="A82" s="493"/>
      <c r="B82" s="493"/>
      <c r="C82" s="493"/>
      <c r="D82" s="493"/>
      <c r="E82" s="493"/>
      <c r="F82" s="493"/>
      <c r="G82" s="493"/>
      <c r="H82" s="493"/>
      <c r="I82" s="493"/>
      <c r="J82" s="493"/>
      <c r="K82" s="493"/>
      <c r="L82" s="493"/>
    </row>
    <row r="83" spans="1:13" x14ac:dyDescent="0.25">
      <c r="A83" s="493"/>
      <c r="B83" s="493"/>
      <c r="C83" s="493"/>
      <c r="D83" s="493"/>
      <c r="E83" s="493"/>
      <c r="F83" s="493"/>
      <c r="G83" s="493"/>
      <c r="H83" s="493"/>
      <c r="I83" s="493"/>
      <c r="J83" s="493"/>
      <c r="K83" s="493"/>
      <c r="L83" s="493"/>
    </row>
    <row r="84" spans="1:13" x14ac:dyDescent="0.25">
      <c r="A84" s="493"/>
      <c r="B84" s="493"/>
      <c r="C84" s="493"/>
      <c r="D84" s="493"/>
      <c r="E84" s="493"/>
      <c r="F84" s="493"/>
      <c r="G84" s="493"/>
      <c r="H84" s="493"/>
      <c r="I84" s="493"/>
      <c r="J84" s="493"/>
      <c r="K84" s="493"/>
      <c r="L84" s="493"/>
    </row>
    <row r="85" spans="1:13" x14ac:dyDescent="0.25">
      <c r="A85" s="493"/>
      <c r="B85" s="493"/>
      <c r="C85" s="493"/>
      <c r="D85" s="493"/>
      <c r="E85" s="493"/>
      <c r="F85" s="493"/>
      <c r="G85" s="493"/>
      <c r="H85" s="493"/>
      <c r="I85" s="493"/>
      <c r="J85" s="493"/>
      <c r="K85" s="493"/>
      <c r="L85" s="493"/>
    </row>
    <row r="86" spans="1:13" x14ac:dyDescent="0.25">
      <c r="A86" s="493"/>
      <c r="B86" s="493"/>
      <c r="C86" s="493"/>
      <c r="D86" s="493"/>
      <c r="E86" s="493"/>
      <c r="F86" s="493"/>
      <c r="G86" s="493"/>
      <c r="H86" s="493"/>
      <c r="I86" s="493"/>
      <c r="J86" s="493"/>
      <c r="K86" s="493"/>
      <c r="L86" s="493"/>
    </row>
    <row r="87" spans="1:13" x14ac:dyDescent="0.25">
      <c r="A87" s="493"/>
      <c r="B87" s="493"/>
      <c r="C87" s="493"/>
      <c r="D87" s="493"/>
      <c r="E87" s="493"/>
      <c r="F87" s="493"/>
      <c r="G87" s="493"/>
      <c r="H87" s="493"/>
      <c r="I87" s="493"/>
      <c r="J87" s="493"/>
      <c r="K87" s="493"/>
      <c r="L87" s="493"/>
    </row>
    <row r="88" spans="1:13" x14ac:dyDescent="0.25">
      <c r="A88" s="493"/>
      <c r="B88" s="493"/>
      <c r="C88" s="493"/>
      <c r="D88" s="493"/>
      <c r="E88" s="493"/>
      <c r="F88" s="493"/>
      <c r="G88" s="493"/>
      <c r="H88" s="493"/>
      <c r="I88" s="493"/>
      <c r="J88" s="493"/>
      <c r="K88" s="493"/>
      <c r="L88" s="493"/>
    </row>
    <row r="89" spans="1:13" x14ac:dyDescent="0.25">
      <c r="A89" s="493"/>
      <c r="B89" s="493"/>
      <c r="C89" s="493"/>
      <c r="D89" s="493"/>
      <c r="E89" s="493"/>
      <c r="F89" s="493"/>
      <c r="G89" s="493"/>
      <c r="H89" s="493"/>
      <c r="I89" s="493"/>
      <c r="J89" s="493"/>
      <c r="K89" s="493"/>
      <c r="L89" s="493"/>
    </row>
    <row r="90" spans="1:13" x14ac:dyDescent="0.25">
      <c r="A90" s="493"/>
      <c r="B90" s="493"/>
      <c r="C90" s="493"/>
      <c r="D90" s="493"/>
      <c r="E90" s="493"/>
      <c r="F90" s="493"/>
      <c r="G90" s="493"/>
      <c r="H90" s="493"/>
      <c r="I90" s="493"/>
      <c r="J90" s="493"/>
      <c r="K90" s="493"/>
      <c r="L90" s="493"/>
      <c r="M90" s="493"/>
    </row>
    <row r="91" spans="1:13" x14ac:dyDescent="0.25">
      <c r="A91" s="493"/>
      <c r="B91" s="493"/>
      <c r="C91" s="493"/>
      <c r="D91" s="493"/>
      <c r="E91" s="493"/>
      <c r="F91" s="493"/>
      <c r="G91" s="493"/>
      <c r="H91" s="493"/>
      <c r="I91" s="493"/>
      <c r="J91" s="493"/>
      <c r="K91" s="493"/>
      <c r="L91" s="493"/>
      <c r="M91" s="493"/>
    </row>
    <row r="92" spans="1:13" x14ac:dyDescent="0.25">
      <c r="A92" s="493"/>
      <c r="B92" s="493"/>
      <c r="C92" s="493"/>
      <c r="D92" s="493"/>
      <c r="E92" s="493"/>
      <c r="F92" s="493"/>
      <c r="G92" s="493"/>
      <c r="H92" s="493"/>
      <c r="I92" s="493"/>
      <c r="J92" s="493"/>
      <c r="K92" s="493"/>
      <c r="L92" s="493"/>
      <c r="M92" s="493"/>
    </row>
    <row r="93" spans="1:13" x14ac:dyDescent="0.25">
      <c r="A93" s="493"/>
      <c r="B93" s="493"/>
      <c r="C93" s="493"/>
      <c r="D93" s="493"/>
      <c r="E93" s="493"/>
      <c r="F93" s="493"/>
      <c r="G93" s="493"/>
      <c r="H93" s="493"/>
      <c r="I93" s="493"/>
      <c r="J93" s="493"/>
      <c r="K93" s="493"/>
      <c r="L93" s="493"/>
      <c r="M93" s="493"/>
    </row>
    <row r="94" spans="1:13" x14ac:dyDescent="0.25">
      <c r="A94" s="493"/>
      <c r="B94" s="493"/>
      <c r="C94" s="493"/>
      <c r="D94" s="493"/>
      <c r="E94" s="493"/>
      <c r="F94" s="493"/>
      <c r="G94" s="493"/>
      <c r="H94" s="493"/>
      <c r="I94" s="493"/>
      <c r="J94" s="493"/>
      <c r="K94" s="493"/>
      <c r="L94" s="493"/>
      <c r="M94" s="493"/>
    </row>
    <row r="95" spans="1:13" x14ac:dyDescent="0.25">
      <c r="A95" s="493"/>
      <c r="B95" s="493"/>
      <c r="C95" s="493"/>
      <c r="D95" s="493"/>
      <c r="E95" s="493"/>
      <c r="F95" s="493"/>
      <c r="G95" s="493"/>
      <c r="H95" s="493"/>
      <c r="I95" s="493"/>
      <c r="J95" s="493"/>
      <c r="K95" s="493"/>
      <c r="L95" s="493"/>
      <c r="M95" s="493"/>
    </row>
    <row r="96" spans="1:13" x14ac:dyDescent="0.25">
      <c r="A96" s="493"/>
      <c r="B96" s="493"/>
      <c r="C96" s="493"/>
      <c r="D96" s="493"/>
      <c r="E96" s="493"/>
      <c r="F96" s="493"/>
      <c r="G96" s="493"/>
      <c r="H96" s="493"/>
      <c r="I96" s="493"/>
      <c r="J96" s="493"/>
      <c r="K96" s="493"/>
      <c r="L96" s="493"/>
      <c r="M96" s="493"/>
    </row>
    <row r="97" spans="1:13" x14ac:dyDescent="0.25">
      <c r="A97" s="493"/>
      <c r="B97" s="493"/>
      <c r="C97" s="493"/>
      <c r="D97" s="493"/>
      <c r="E97" s="493"/>
      <c r="F97" s="493"/>
      <c r="G97" s="493"/>
      <c r="H97" s="493"/>
      <c r="I97" s="493"/>
      <c r="J97" s="493"/>
      <c r="K97" s="493"/>
      <c r="L97" s="493"/>
      <c r="M97" s="493"/>
    </row>
    <row r="98" spans="1:13" x14ac:dyDescent="0.25">
      <c r="A98" s="493"/>
      <c r="B98" s="493"/>
      <c r="C98" s="493"/>
      <c r="D98" s="493"/>
      <c r="E98" s="493"/>
      <c r="F98" s="493"/>
      <c r="G98" s="493"/>
      <c r="H98" s="493"/>
      <c r="I98" s="493"/>
      <c r="J98" s="493"/>
      <c r="K98" s="493"/>
      <c r="L98" s="493"/>
      <c r="M98" s="493"/>
    </row>
    <row r="99" spans="1:13" x14ac:dyDescent="0.25">
      <c r="A99" s="493"/>
      <c r="B99" s="493"/>
      <c r="C99" s="493"/>
      <c r="D99" s="493"/>
      <c r="E99" s="493"/>
      <c r="F99" s="493"/>
      <c r="G99" s="493"/>
      <c r="H99" s="493"/>
      <c r="I99" s="493"/>
      <c r="J99" s="493"/>
      <c r="K99" s="493"/>
      <c r="L99" s="493"/>
      <c r="M99" s="493"/>
    </row>
    <row r="100" spans="1:13" x14ac:dyDescent="0.25">
      <c r="A100" s="493"/>
      <c r="B100" s="493"/>
      <c r="C100" s="493"/>
      <c r="D100" s="493"/>
      <c r="E100" s="493"/>
      <c r="F100" s="493"/>
      <c r="G100" s="493"/>
      <c r="H100" s="493"/>
      <c r="I100" s="493"/>
      <c r="J100" s="493"/>
      <c r="K100" s="493"/>
      <c r="L100" s="493"/>
      <c r="M100" s="493"/>
    </row>
    <row r="101" spans="1:13" x14ac:dyDescent="0.25">
      <c r="A101" s="493"/>
      <c r="B101" s="493"/>
      <c r="C101" s="493"/>
      <c r="D101" s="493"/>
      <c r="E101" s="493"/>
      <c r="F101" s="493"/>
      <c r="G101" s="493"/>
      <c r="H101" s="493"/>
      <c r="I101" s="493"/>
      <c r="J101" s="493"/>
      <c r="K101" s="493"/>
      <c r="L101" s="493"/>
      <c r="M101" s="493"/>
    </row>
    <row r="102" spans="1:13" x14ac:dyDescent="0.25">
      <c r="A102" s="493"/>
      <c r="B102" s="493"/>
      <c r="C102" s="493"/>
      <c r="D102" s="493"/>
      <c r="E102" s="493"/>
      <c r="F102" s="493"/>
      <c r="G102" s="493"/>
      <c r="H102" s="493"/>
      <c r="I102" s="493"/>
      <c r="J102" s="493"/>
      <c r="K102" s="493"/>
      <c r="L102" s="493"/>
      <c r="M102" s="493"/>
    </row>
    <row r="103" spans="1:13" x14ac:dyDescent="0.25">
      <c r="A103" s="493"/>
      <c r="B103" s="493"/>
      <c r="C103" s="493"/>
      <c r="D103" s="493"/>
      <c r="E103" s="493"/>
      <c r="F103" s="493"/>
      <c r="G103" s="493"/>
      <c r="H103" s="493"/>
      <c r="I103" s="493"/>
      <c r="J103" s="493"/>
      <c r="K103" s="493"/>
      <c r="L103" s="493"/>
      <c r="M103" s="493"/>
    </row>
    <row r="104" spans="1:13" x14ac:dyDescent="0.25">
      <c r="A104" s="493"/>
      <c r="B104" s="493"/>
      <c r="C104" s="493"/>
      <c r="D104" s="493"/>
      <c r="E104" s="493"/>
      <c r="F104" s="493"/>
      <c r="G104" s="493"/>
      <c r="H104" s="493"/>
      <c r="I104" s="493"/>
      <c r="J104" s="493"/>
      <c r="K104" s="493"/>
      <c r="L104" s="493"/>
      <c r="M104" s="493"/>
    </row>
    <row r="105" spans="1:13" x14ac:dyDescent="0.25">
      <c r="A105" s="493"/>
      <c r="B105" s="493"/>
      <c r="C105" s="493"/>
      <c r="D105" s="493"/>
      <c r="E105" s="493"/>
      <c r="F105" s="493"/>
      <c r="G105" s="493"/>
      <c r="H105" s="493"/>
      <c r="I105" s="493"/>
      <c r="J105" s="493"/>
      <c r="K105" s="493"/>
      <c r="L105" s="493"/>
      <c r="M105" s="493"/>
    </row>
    <row r="106" spans="1:13" x14ac:dyDescent="0.25">
      <c r="A106" s="493"/>
      <c r="B106" s="493"/>
      <c r="C106" s="493"/>
      <c r="D106" s="493"/>
      <c r="E106" s="493"/>
      <c r="F106" s="493"/>
      <c r="G106" s="493"/>
      <c r="H106" s="493"/>
      <c r="I106" s="493"/>
      <c r="J106" s="493"/>
      <c r="K106" s="493"/>
      <c r="L106" s="493"/>
      <c r="M106" s="493"/>
    </row>
    <row r="107" spans="1:13" x14ac:dyDescent="0.25">
      <c r="A107" s="493"/>
      <c r="B107" s="493"/>
      <c r="C107" s="493"/>
      <c r="D107" s="493"/>
      <c r="E107" s="493"/>
      <c r="F107" s="493"/>
      <c r="G107" s="493"/>
      <c r="H107" s="493"/>
      <c r="I107" s="493"/>
      <c r="J107" s="493"/>
      <c r="K107" s="493"/>
      <c r="L107" s="493"/>
      <c r="M107" s="493"/>
    </row>
    <row r="108" spans="1:13" x14ac:dyDescent="0.25">
      <c r="A108" s="493"/>
      <c r="B108" s="493"/>
      <c r="C108" s="493"/>
      <c r="D108" s="493"/>
      <c r="E108" s="493"/>
      <c r="F108" s="493"/>
      <c r="G108" s="493"/>
      <c r="H108" s="493"/>
      <c r="I108" s="493"/>
      <c r="J108" s="493"/>
      <c r="K108" s="493"/>
      <c r="L108" s="493"/>
      <c r="M108" s="493"/>
    </row>
    <row r="109" spans="1:13" x14ac:dyDescent="0.25">
      <c r="A109" s="493"/>
      <c r="B109" s="493"/>
      <c r="C109" s="493"/>
      <c r="D109" s="493"/>
      <c r="E109" s="493"/>
      <c r="F109" s="493"/>
      <c r="G109" s="493"/>
      <c r="H109" s="493"/>
      <c r="I109" s="493"/>
      <c r="J109" s="493"/>
      <c r="K109" s="493"/>
      <c r="L109" s="493"/>
      <c r="M109" s="493"/>
    </row>
    <row r="110" spans="1:13" x14ac:dyDescent="0.25">
      <c r="A110" s="493"/>
      <c r="B110" s="493"/>
      <c r="C110" s="493"/>
      <c r="D110" s="493"/>
      <c r="E110" s="493"/>
      <c r="F110" s="493"/>
      <c r="G110" s="493"/>
      <c r="H110" s="493"/>
      <c r="I110" s="493"/>
      <c r="J110" s="493"/>
      <c r="K110" s="493"/>
      <c r="L110" s="493"/>
      <c r="M110" s="493"/>
    </row>
    <row r="111" spans="1:13" x14ac:dyDescent="0.25">
      <c r="A111" s="493"/>
      <c r="B111" s="493"/>
      <c r="C111" s="493"/>
      <c r="D111" s="493"/>
      <c r="E111" s="493"/>
      <c r="F111" s="493"/>
      <c r="G111" s="493"/>
      <c r="H111" s="493"/>
      <c r="I111" s="493"/>
      <c r="J111" s="493"/>
      <c r="K111" s="493"/>
      <c r="L111" s="493"/>
      <c r="M111" s="493"/>
    </row>
    <row r="112" spans="1:13" x14ac:dyDescent="0.25">
      <c r="A112" s="493"/>
      <c r="B112" s="493"/>
      <c r="C112" s="493"/>
      <c r="D112" s="493"/>
      <c r="E112" s="493"/>
      <c r="F112" s="493"/>
      <c r="G112" s="493"/>
      <c r="H112" s="493"/>
      <c r="I112" s="493"/>
      <c r="J112" s="493"/>
      <c r="K112" s="493"/>
      <c r="L112" s="493"/>
      <c r="M112" s="493"/>
    </row>
    <row r="113" spans="1:13" x14ac:dyDescent="0.25">
      <c r="A113" s="493"/>
      <c r="B113" s="493"/>
      <c r="C113" s="493"/>
      <c r="D113" s="493"/>
      <c r="E113" s="493"/>
      <c r="F113" s="493"/>
      <c r="G113" s="493"/>
      <c r="H113" s="493"/>
      <c r="I113" s="493"/>
      <c r="J113" s="493"/>
      <c r="K113" s="493"/>
      <c r="L113" s="493"/>
      <c r="M113" s="493"/>
    </row>
    <row r="114" spans="1:13" x14ac:dyDescent="0.25">
      <c r="A114" s="493"/>
      <c r="B114" s="493"/>
      <c r="C114" s="493"/>
      <c r="D114" s="493"/>
      <c r="E114" s="493"/>
      <c r="F114" s="493"/>
      <c r="G114" s="493"/>
      <c r="H114" s="493"/>
      <c r="I114" s="493"/>
      <c r="J114" s="493"/>
      <c r="K114" s="493"/>
      <c r="L114" s="493"/>
      <c r="M114" s="493"/>
    </row>
    <row r="115" spans="1:13" x14ac:dyDescent="0.25">
      <c r="A115" s="493"/>
      <c r="B115" s="493"/>
      <c r="C115" s="493"/>
      <c r="D115" s="493"/>
      <c r="E115" s="493"/>
      <c r="F115" s="493"/>
      <c r="G115" s="493"/>
      <c r="H115" s="493"/>
      <c r="I115" s="493"/>
      <c r="J115" s="493"/>
      <c r="K115" s="493"/>
      <c r="L115" s="493"/>
      <c r="M115" s="493"/>
    </row>
    <row r="116" spans="1:13" x14ac:dyDescent="0.25">
      <c r="A116" s="493"/>
      <c r="B116" s="493"/>
      <c r="C116" s="493"/>
      <c r="D116" s="493"/>
      <c r="E116" s="493"/>
      <c r="F116" s="493"/>
      <c r="G116" s="493"/>
      <c r="H116" s="493"/>
      <c r="I116" s="493"/>
      <c r="J116" s="493"/>
      <c r="K116" s="493"/>
      <c r="L116" s="493"/>
      <c r="M116" s="493"/>
    </row>
    <row r="117" spans="1:13" x14ac:dyDescent="0.25">
      <c r="A117" s="493"/>
      <c r="B117" s="493"/>
      <c r="C117" s="493"/>
      <c r="D117" s="493"/>
      <c r="E117" s="493"/>
      <c r="F117" s="493"/>
      <c r="G117" s="493"/>
      <c r="H117" s="493"/>
      <c r="I117" s="493"/>
      <c r="J117" s="493"/>
      <c r="K117" s="493"/>
      <c r="L117" s="493"/>
      <c r="M117" s="493"/>
    </row>
    <row r="118" spans="1:13" x14ac:dyDescent="0.25">
      <c r="A118" s="493"/>
      <c r="B118" s="493"/>
      <c r="C118" s="493"/>
      <c r="D118" s="493"/>
      <c r="E118" s="493"/>
      <c r="F118" s="493"/>
      <c r="G118" s="493"/>
      <c r="H118" s="493"/>
      <c r="I118" s="493"/>
      <c r="J118" s="493"/>
      <c r="K118" s="493"/>
      <c r="L118" s="493"/>
      <c r="M118" s="493"/>
    </row>
    <row r="119" spans="1:13" x14ac:dyDescent="0.25">
      <c r="A119" s="493"/>
      <c r="B119" s="493"/>
      <c r="C119" s="493"/>
      <c r="D119" s="493"/>
      <c r="E119" s="493"/>
      <c r="F119" s="493"/>
      <c r="G119" s="493"/>
      <c r="H119" s="493"/>
      <c r="I119" s="493"/>
      <c r="J119" s="493"/>
      <c r="K119" s="493"/>
      <c r="L119" s="493"/>
      <c r="M119" s="493"/>
    </row>
    <row r="120" spans="1:13" x14ac:dyDescent="0.25">
      <c r="A120" s="493"/>
      <c r="B120" s="493"/>
      <c r="C120" s="493"/>
      <c r="D120" s="493"/>
      <c r="E120" s="493"/>
      <c r="F120" s="493"/>
      <c r="G120" s="493"/>
      <c r="H120" s="493"/>
      <c r="I120" s="493"/>
      <c r="J120" s="493"/>
      <c r="K120" s="493"/>
      <c r="L120" s="493"/>
      <c r="M120" s="493"/>
    </row>
    <row r="121" spans="1:13" x14ac:dyDescent="0.25">
      <c r="A121" s="493"/>
      <c r="B121" s="493"/>
      <c r="C121" s="493"/>
      <c r="D121" s="493"/>
      <c r="E121" s="493"/>
      <c r="F121" s="493"/>
      <c r="G121" s="493"/>
      <c r="H121" s="493"/>
      <c r="I121" s="493"/>
      <c r="J121" s="493"/>
      <c r="K121" s="493"/>
      <c r="L121" s="493"/>
      <c r="M121" s="493"/>
    </row>
    <row r="122" spans="1:13" x14ac:dyDescent="0.25">
      <c r="A122" s="493"/>
      <c r="B122" s="493"/>
      <c r="C122" s="493"/>
      <c r="D122" s="493"/>
      <c r="E122" s="493"/>
      <c r="F122" s="493"/>
      <c r="G122" s="493"/>
      <c r="H122" s="493"/>
      <c r="I122" s="493"/>
      <c r="J122" s="493"/>
      <c r="K122" s="493"/>
      <c r="L122" s="493"/>
      <c r="M122" s="493"/>
    </row>
    <row r="123" spans="1:13" x14ac:dyDescent="0.25">
      <c r="A123" s="493"/>
      <c r="B123" s="493"/>
      <c r="C123" s="493"/>
      <c r="D123" s="493"/>
      <c r="E123" s="493"/>
      <c r="F123" s="493"/>
      <c r="G123" s="493"/>
      <c r="H123" s="493"/>
      <c r="I123" s="493"/>
      <c r="J123" s="493"/>
      <c r="K123" s="493"/>
      <c r="L123" s="493"/>
      <c r="M123" s="493"/>
    </row>
    <row r="124" spans="1:13" x14ac:dyDescent="0.25">
      <c r="A124" s="493"/>
      <c r="B124" s="493"/>
      <c r="C124" s="493"/>
      <c r="D124" s="493"/>
      <c r="E124" s="493"/>
      <c r="F124" s="493"/>
      <c r="G124" s="493"/>
      <c r="H124" s="493"/>
      <c r="I124" s="493"/>
      <c r="J124" s="493"/>
      <c r="K124" s="493"/>
      <c r="L124" s="493"/>
      <c r="M124" s="493"/>
    </row>
    <row r="125" spans="1:13" x14ac:dyDescent="0.25">
      <c r="A125" s="493"/>
      <c r="B125" s="493"/>
      <c r="C125" s="493"/>
      <c r="D125" s="493"/>
      <c r="E125" s="493"/>
      <c r="F125" s="493"/>
      <c r="G125" s="493"/>
      <c r="H125" s="493"/>
      <c r="I125" s="493"/>
      <c r="J125" s="493"/>
      <c r="K125" s="493"/>
      <c r="L125" s="493"/>
      <c r="M125" s="493"/>
    </row>
    <row r="126" spans="1:13" x14ac:dyDescent="0.25">
      <c r="A126" s="493"/>
      <c r="B126" s="493"/>
      <c r="C126" s="493"/>
      <c r="D126" s="493"/>
      <c r="E126" s="493"/>
      <c r="F126" s="493"/>
      <c r="G126" s="493"/>
      <c r="H126" s="493"/>
      <c r="I126" s="493"/>
      <c r="J126" s="493"/>
      <c r="K126" s="493"/>
      <c r="L126" s="493"/>
      <c r="M126" s="493"/>
    </row>
    <row r="127" spans="1:13" x14ac:dyDescent="0.25">
      <c r="A127" s="493"/>
      <c r="B127" s="493"/>
      <c r="C127" s="493"/>
      <c r="D127" s="493"/>
      <c r="E127" s="493"/>
      <c r="F127" s="493"/>
      <c r="G127" s="493"/>
      <c r="H127" s="493"/>
      <c r="I127" s="493"/>
      <c r="J127" s="493"/>
      <c r="K127" s="493"/>
      <c r="L127" s="493"/>
      <c r="M127" s="493"/>
    </row>
    <row r="128" spans="1:13" x14ac:dyDescent="0.25">
      <c r="A128" s="493"/>
      <c r="B128" s="493"/>
      <c r="C128" s="493"/>
      <c r="D128" s="493"/>
      <c r="E128" s="493"/>
      <c r="F128" s="493"/>
      <c r="G128" s="493"/>
      <c r="H128" s="493"/>
      <c r="I128" s="493"/>
      <c r="J128" s="493"/>
      <c r="K128" s="493"/>
      <c r="L128" s="493"/>
      <c r="M128" s="493"/>
    </row>
    <row r="129" spans="1:13" x14ac:dyDescent="0.25">
      <c r="A129" s="493"/>
      <c r="B129" s="493"/>
      <c r="C129" s="493"/>
      <c r="D129" s="493"/>
      <c r="E129" s="493"/>
      <c r="F129" s="493"/>
      <c r="G129" s="493"/>
      <c r="H129" s="493"/>
      <c r="I129" s="493"/>
      <c r="J129" s="493"/>
      <c r="K129" s="493"/>
      <c r="L129" s="493"/>
      <c r="M129" s="493"/>
    </row>
    <row r="130" spans="1:13" x14ac:dyDescent="0.25">
      <c r="A130" s="493"/>
      <c r="B130" s="493"/>
      <c r="C130" s="493"/>
      <c r="D130" s="493"/>
      <c r="E130" s="493"/>
      <c r="F130" s="493"/>
      <c r="G130" s="493"/>
      <c r="H130" s="493"/>
      <c r="I130" s="493"/>
      <c r="J130" s="493"/>
      <c r="K130" s="493"/>
      <c r="L130" s="493"/>
      <c r="M130" s="493"/>
    </row>
    <row r="131" spans="1:13" x14ac:dyDescent="0.25">
      <c r="A131" s="493"/>
      <c r="B131" s="493"/>
      <c r="C131" s="493"/>
      <c r="D131" s="493"/>
      <c r="E131" s="493"/>
      <c r="F131" s="493"/>
      <c r="G131" s="493"/>
      <c r="H131" s="493"/>
      <c r="I131" s="493"/>
      <c r="J131" s="493"/>
      <c r="K131" s="493"/>
      <c r="L131" s="493"/>
      <c r="M131" s="493"/>
    </row>
    <row r="132" spans="1:13" x14ac:dyDescent="0.25">
      <c r="A132" s="493"/>
      <c r="B132" s="493"/>
      <c r="C132" s="493"/>
      <c r="D132" s="493"/>
      <c r="E132" s="493"/>
      <c r="F132" s="493"/>
      <c r="G132" s="493"/>
      <c r="H132" s="493"/>
      <c r="I132" s="493"/>
      <c r="J132" s="493"/>
      <c r="K132" s="493"/>
      <c r="L132" s="493"/>
      <c r="M132" s="493"/>
    </row>
    <row r="133" spans="1:13" x14ac:dyDescent="0.25">
      <c r="A133" s="493"/>
      <c r="B133" s="493"/>
      <c r="C133" s="493"/>
      <c r="D133" s="493"/>
      <c r="E133" s="493"/>
      <c r="F133" s="493"/>
      <c r="G133" s="493"/>
      <c r="H133" s="493"/>
      <c r="I133" s="493"/>
      <c r="J133" s="493"/>
      <c r="K133" s="493"/>
      <c r="L133" s="493"/>
      <c r="M133" s="493"/>
    </row>
    <row r="134" spans="1:13" x14ac:dyDescent="0.25">
      <c r="A134" s="493"/>
      <c r="B134" s="493"/>
      <c r="C134" s="493"/>
      <c r="D134" s="493"/>
      <c r="E134" s="493"/>
      <c r="F134" s="493"/>
      <c r="G134" s="493"/>
      <c r="H134" s="493"/>
      <c r="I134" s="493"/>
      <c r="J134" s="493"/>
      <c r="K134" s="493"/>
      <c r="L134" s="493"/>
      <c r="M134" s="493"/>
    </row>
    <row r="135" spans="1:13" x14ac:dyDescent="0.25">
      <c r="A135" s="493"/>
      <c r="B135" s="493"/>
      <c r="C135" s="493"/>
      <c r="D135" s="493"/>
      <c r="E135" s="493"/>
      <c r="F135" s="493"/>
      <c r="G135" s="493"/>
      <c r="H135" s="493"/>
      <c r="I135" s="493"/>
      <c r="J135" s="493"/>
      <c r="K135" s="493"/>
      <c r="L135" s="493"/>
      <c r="M135" s="493"/>
    </row>
    <row r="136" spans="1:13" x14ac:dyDescent="0.25">
      <c r="A136" s="493"/>
      <c r="B136" s="493"/>
      <c r="C136" s="493"/>
      <c r="D136" s="493"/>
      <c r="E136" s="493"/>
      <c r="F136" s="493"/>
      <c r="G136" s="493"/>
      <c r="H136" s="493"/>
      <c r="I136" s="493"/>
      <c r="J136" s="493"/>
      <c r="K136" s="493"/>
      <c r="L136" s="493"/>
      <c r="M136" s="493"/>
    </row>
    <row r="137" spans="1:13" x14ac:dyDescent="0.25">
      <c r="A137" s="493"/>
      <c r="B137" s="493"/>
      <c r="C137" s="493"/>
      <c r="D137" s="493"/>
      <c r="E137" s="493"/>
      <c r="F137" s="493"/>
      <c r="G137" s="493"/>
      <c r="H137" s="493"/>
      <c r="I137" s="493"/>
      <c r="J137" s="493"/>
      <c r="K137" s="493"/>
      <c r="L137" s="493"/>
      <c r="M137" s="493"/>
    </row>
    <row r="138" spans="1:13" x14ac:dyDescent="0.25">
      <c r="A138" s="493"/>
      <c r="B138" s="493"/>
      <c r="C138" s="493"/>
      <c r="D138" s="493"/>
      <c r="E138" s="493"/>
      <c r="F138" s="493"/>
      <c r="G138" s="493"/>
      <c r="H138" s="493"/>
      <c r="I138" s="493"/>
      <c r="J138" s="493"/>
      <c r="K138" s="493"/>
      <c r="L138" s="493"/>
      <c r="M138" s="493"/>
    </row>
    <row r="139" spans="1:13" x14ac:dyDescent="0.25">
      <c r="A139" s="493"/>
      <c r="B139" s="493"/>
      <c r="C139" s="493"/>
      <c r="D139" s="493"/>
      <c r="E139" s="493"/>
      <c r="F139" s="493"/>
      <c r="G139" s="493"/>
      <c r="H139" s="493"/>
      <c r="I139" s="493"/>
      <c r="J139" s="493"/>
      <c r="K139" s="493"/>
      <c r="L139" s="493"/>
      <c r="M139" s="493"/>
    </row>
    <row r="140" spans="1:13" x14ac:dyDescent="0.25">
      <c r="A140" s="493"/>
      <c r="B140" s="493"/>
      <c r="C140" s="493"/>
      <c r="D140" s="493"/>
      <c r="E140" s="493"/>
      <c r="F140" s="493"/>
      <c r="G140" s="493"/>
      <c r="H140" s="493"/>
      <c r="I140" s="493"/>
      <c r="J140" s="493"/>
      <c r="K140" s="493"/>
      <c r="L140" s="493"/>
      <c r="M140" s="493"/>
    </row>
    <row r="141" spans="1:13" x14ac:dyDescent="0.25">
      <c r="A141" s="493"/>
      <c r="B141" s="493"/>
      <c r="C141" s="493"/>
      <c r="D141" s="493"/>
      <c r="E141" s="493"/>
      <c r="F141" s="493"/>
      <c r="G141" s="493"/>
      <c r="H141" s="493"/>
      <c r="I141" s="493"/>
      <c r="J141" s="493"/>
      <c r="K141" s="493"/>
      <c r="L141" s="493"/>
      <c r="M141" s="493"/>
    </row>
    <row r="142" spans="1:13" x14ac:dyDescent="0.25">
      <c r="A142" s="493"/>
      <c r="B142" s="493"/>
      <c r="C142" s="493"/>
      <c r="D142" s="493"/>
      <c r="E142" s="493"/>
      <c r="F142" s="493"/>
      <c r="G142" s="493"/>
      <c r="H142" s="493"/>
      <c r="I142" s="493"/>
      <c r="J142" s="493"/>
      <c r="K142" s="493"/>
      <c r="L142" s="493"/>
      <c r="M142" s="493"/>
    </row>
    <row r="143" spans="1:13" x14ac:dyDescent="0.25">
      <c r="A143" s="493"/>
      <c r="B143" s="493"/>
      <c r="C143" s="493"/>
      <c r="D143" s="493"/>
      <c r="E143" s="493"/>
      <c r="F143" s="493"/>
      <c r="G143" s="493"/>
      <c r="H143" s="493"/>
      <c r="I143" s="493"/>
      <c r="J143" s="493"/>
      <c r="K143" s="493"/>
      <c r="L143" s="493"/>
      <c r="M143" s="493"/>
    </row>
    <row r="144" spans="1:13" x14ac:dyDescent="0.25">
      <c r="A144" s="493"/>
      <c r="B144" s="493"/>
      <c r="C144" s="493"/>
      <c r="D144" s="493"/>
      <c r="E144" s="493"/>
      <c r="F144" s="493"/>
      <c r="G144" s="493"/>
      <c r="H144" s="493"/>
      <c r="I144" s="493"/>
      <c r="J144" s="493"/>
      <c r="K144" s="493"/>
      <c r="L144" s="493"/>
      <c r="M144" s="493"/>
    </row>
    <row r="145" spans="1:13" x14ac:dyDescent="0.25">
      <c r="A145" s="493"/>
      <c r="B145" s="493"/>
      <c r="C145" s="493"/>
      <c r="D145" s="493"/>
      <c r="E145" s="493"/>
      <c r="F145" s="493"/>
      <c r="G145" s="493"/>
      <c r="H145" s="493"/>
      <c r="I145" s="493"/>
      <c r="J145" s="493"/>
      <c r="K145" s="493"/>
      <c r="L145" s="493"/>
      <c r="M145" s="493"/>
    </row>
    <row r="146" spans="1:13" x14ac:dyDescent="0.25">
      <c r="A146" s="493"/>
      <c r="B146" s="493"/>
      <c r="C146" s="493"/>
      <c r="D146" s="493"/>
      <c r="E146" s="493"/>
      <c r="F146" s="493"/>
      <c r="G146" s="493"/>
      <c r="H146" s="493"/>
      <c r="I146" s="493"/>
      <c r="J146" s="493"/>
      <c r="K146" s="493"/>
      <c r="L146" s="493"/>
      <c r="M146" s="493"/>
    </row>
    <row r="147" spans="1:13" x14ac:dyDescent="0.25">
      <c r="A147" s="493"/>
      <c r="B147" s="493"/>
      <c r="C147" s="493"/>
      <c r="D147" s="493"/>
      <c r="E147" s="493"/>
      <c r="F147" s="493"/>
      <c r="G147" s="493"/>
      <c r="H147" s="493"/>
      <c r="I147" s="493"/>
      <c r="J147" s="493"/>
      <c r="K147" s="493"/>
      <c r="L147" s="493"/>
      <c r="M147" s="493"/>
    </row>
    <row r="148" spans="1:13" x14ac:dyDescent="0.25">
      <c r="A148" s="493"/>
      <c r="B148" s="493"/>
      <c r="C148" s="493"/>
      <c r="D148" s="493"/>
      <c r="E148" s="493"/>
      <c r="F148" s="493"/>
      <c r="G148" s="493"/>
      <c r="H148" s="493"/>
      <c r="I148" s="493"/>
      <c r="J148" s="493"/>
      <c r="K148" s="493"/>
      <c r="L148" s="493"/>
      <c r="M148" s="493"/>
    </row>
    <row r="149" spans="1:13" x14ac:dyDescent="0.25">
      <c r="A149" s="493"/>
      <c r="B149" s="493"/>
      <c r="C149" s="493"/>
      <c r="D149" s="493"/>
      <c r="E149" s="493"/>
      <c r="F149" s="493"/>
      <c r="G149" s="493"/>
      <c r="H149" s="493"/>
      <c r="I149" s="493"/>
      <c r="J149" s="493"/>
      <c r="K149" s="493"/>
      <c r="L149" s="493"/>
      <c r="M149" s="493"/>
    </row>
    <row r="150" spans="1:13" x14ac:dyDescent="0.25">
      <c r="A150" s="493"/>
      <c r="B150" s="493"/>
      <c r="C150" s="493"/>
      <c r="D150" s="493"/>
      <c r="E150" s="493"/>
      <c r="F150" s="493"/>
      <c r="G150" s="493"/>
      <c r="H150" s="493"/>
      <c r="I150" s="493"/>
      <c r="J150" s="493"/>
      <c r="K150" s="493"/>
      <c r="L150" s="493"/>
      <c r="M150" s="493"/>
    </row>
    <row r="151" spans="1:13" x14ac:dyDescent="0.25">
      <c r="A151" s="493"/>
      <c r="B151" s="493"/>
      <c r="C151" s="493"/>
      <c r="D151" s="493"/>
      <c r="E151" s="493"/>
      <c r="F151" s="493"/>
      <c r="G151" s="493"/>
      <c r="H151" s="493"/>
      <c r="I151" s="493"/>
      <c r="J151" s="493"/>
      <c r="K151" s="493"/>
      <c r="L151" s="493"/>
      <c r="M151" s="493"/>
    </row>
    <row r="152" spans="1:13" x14ac:dyDescent="0.25">
      <c r="A152" s="493"/>
      <c r="B152" s="493"/>
      <c r="C152" s="493"/>
      <c r="D152" s="493"/>
      <c r="E152" s="493"/>
      <c r="F152" s="493"/>
      <c r="G152" s="493"/>
      <c r="H152" s="493"/>
      <c r="I152" s="493"/>
      <c r="J152" s="493"/>
      <c r="K152" s="493"/>
      <c r="L152" s="493"/>
      <c r="M152" s="493"/>
    </row>
    <row r="153" spans="1:13" x14ac:dyDescent="0.25">
      <c r="A153" s="493"/>
      <c r="B153" s="493"/>
      <c r="C153" s="493"/>
      <c r="D153" s="493"/>
      <c r="E153" s="493"/>
      <c r="F153" s="493"/>
      <c r="G153" s="493"/>
      <c r="H153" s="493"/>
      <c r="I153" s="493"/>
      <c r="J153" s="493"/>
      <c r="K153" s="493"/>
      <c r="L153" s="493"/>
      <c r="M153" s="493"/>
    </row>
    <row r="154" spans="1:13" x14ac:dyDescent="0.25">
      <c r="A154" s="493"/>
      <c r="B154" s="493"/>
      <c r="C154" s="493"/>
      <c r="D154" s="493"/>
      <c r="E154" s="493"/>
      <c r="F154" s="493"/>
      <c r="G154" s="493"/>
      <c r="H154" s="493"/>
      <c r="I154" s="493"/>
      <c r="J154" s="493"/>
      <c r="K154" s="493"/>
      <c r="L154" s="493"/>
      <c r="M154" s="493"/>
    </row>
    <row r="155" spans="1:13" x14ac:dyDescent="0.25">
      <c r="A155" s="493"/>
      <c r="B155" s="493"/>
      <c r="C155" s="493"/>
      <c r="D155" s="493"/>
      <c r="E155" s="493"/>
      <c r="F155" s="493"/>
      <c r="G155" s="493"/>
      <c r="H155" s="493"/>
      <c r="I155" s="493"/>
      <c r="J155" s="493"/>
      <c r="K155" s="493"/>
      <c r="L155" s="493"/>
      <c r="M155" s="493"/>
    </row>
    <row r="156" spans="1:13" x14ac:dyDescent="0.25">
      <c r="A156" s="493"/>
      <c r="B156" s="493"/>
      <c r="C156" s="493"/>
      <c r="D156" s="493"/>
      <c r="E156" s="493"/>
      <c r="F156" s="493"/>
      <c r="G156" s="493"/>
      <c r="H156" s="493"/>
      <c r="I156" s="493"/>
      <c r="J156" s="493"/>
      <c r="K156" s="493"/>
      <c r="L156" s="493"/>
      <c r="M156" s="493"/>
    </row>
    <row r="157" spans="1:13" x14ac:dyDescent="0.25">
      <c r="A157" s="493"/>
      <c r="B157" s="493"/>
      <c r="C157" s="493"/>
      <c r="D157" s="493"/>
      <c r="E157" s="493"/>
      <c r="F157" s="493"/>
      <c r="G157" s="493"/>
      <c r="H157" s="493"/>
      <c r="I157" s="493"/>
      <c r="J157" s="493"/>
      <c r="K157" s="493"/>
      <c r="L157" s="493"/>
      <c r="M157" s="493"/>
    </row>
    <row r="158" spans="1:13" x14ac:dyDescent="0.25">
      <c r="A158" s="493"/>
      <c r="B158" s="493"/>
      <c r="C158" s="493"/>
      <c r="D158" s="493"/>
      <c r="E158" s="493"/>
      <c r="F158" s="493"/>
      <c r="G158" s="493"/>
      <c r="H158" s="493"/>
      <c r="I158" s="493"/>
      <c r="J158" s="493"/>
      <c r="K158" s="493"/>
      <c r="L158" s="493"/>
      <c r="M158" s="493"/>
    </row>
    <row r="159" spans="1:13" x14ac:dyDescent="0.25">
      <c r="A159" s="493"/>
      <c r="B159" s="493"/>
      <c r="C159" s="493"/>
      <c r="D159" s="493"/>
      <c r="E159" s="493"/>
      <c r="F159" s="493"/>
      <c r="G159" s="493"/>
      <c r="H159" s="493"/>
      <c r="I159" s="493"/>
      <c r="J159" s="493"/>
      <c r="K159" s="493"/>
      <c r="L159" s="493"/>
      <c r="M159" s="493"/>
    </row>
    <row r="160" spans="1:13" x14ac:dyDescent="0.25">
      <c r="A160" s="493"/>
      <c r="B160" s="493"/>
      <c r="C160" s="493"/>
      <c r="D160" s="493"/>
      <c r="E160" s="493"/>
      <c r="F160" s="493"/>
      <c r="G160" s="493"/>
      <c r="H160" s="493"/>
      <c r="I160" s="493"/>
      <c r="J160" s="493"/>
      <c r="K160" s="493"/>
      <c r="L160" s="493"/>
      <c r="M160" s="493"/>
    </row>
    <row r="161" spans="1:13" x14ac:dyDescent="0.25">
      <c r="A161" s="493"/>
      <c r="B161" s="493"/>
      <c r="C161" s="493"/>
      <c r="D161" s="493"/>
      <c r="E161" s="493"/>
      <c r="F161" s="493"/>
      <c r="G161" s="493"/>
      <c r="H161" s="493"/>
      <c r="I161" s="493"/>
      <c r="J161" s="493"/>
      <c r="K161" s="493"/>
      <c r="L161" s="493"/>
      <c r="M161" s="493"/>
    </row>
    <row r="162" spans="1:13" x14ac:dyDescent="0.25">
      <c r="A162" s="493"/>
      <c r="B162" s="493"/>
      <c r="C162" s="493"/>
      <c r="D162" s="493"/>
      <c r="E162" s="493"/>
      <c r="F162" s="493"/>
      <c r="G162" s="493"/>
      <c r="H162" s="493"/>
      <c r="I162" s="493"/>
      <c r="J162" s="493"/>
      <c r="K162" s="493"/>
      <c r="L162" s="493"/>
      <c r="M162" s="493"/>
    </row>
    <row r="163" spans="1:13" x14ac:dyDescent="0.25">
      <c r="A163" s="493"/>
      <c r="B163" s="493"/>
      <c r="C163" s="493"/>
      <c r="D163" s="493"/>
      <c r="E163" s="493"/>
      <c r="F163" s="493"/>
      <c r="G163" s="493"/>
      <c r="H163" s="493"/>
      <c r="I163" s="493"/>
      <c r="J163" s="493"/>
      <c r="K163" s="493"/>
      <c r="L163" s="493"/>
      <c r="M163" s="493"/>
    </row>
    <row r="164" spans="1:13" x14ac:dyDescent="0.25">
      <c r="A164" s="493"/>
      <c r="B164" s="493"/>
      <c r="C164" s="493"/>
      <c r="D164" s="493"/>
      <c r="E164" s="493"/>
      <c r="F164" s="493"/>
      <c r="G164" s="493"/>
      <c r="H164" s="493"/>
      <c r="I164" s="493"/>
      <c r="J164" s="493"/>
      <c r="K164" s="493"/>
      <c r="L164" s="493"/>
      <c r="M164" s="493"/>
    </row>
    <row r="165" spans="1:13" x14ac:dyDescent="0.25">
      <c r="A165" s="493"/>
      <c r="B165" s="493"/>
      <c r="C165" s="493"/>
      <c r="D165" s="493"/>
      <c r="E165" s="493"/>
      <c r="F165" s="493"/>
      <c r="G165" s="493"/>
      <c r="H165" s="493"/>
      <c r="I165" s="493"/>
      <c r="J165" s="493"/>
      <c r="K165" s="493"/>
      <c r="L165" s="493"/>
      <c r="M165" s="493"/>
    </row>
    <row r="166" spans="1:13" x14ac:dyDescent="0.25">
      <c r="A166" s="493"/>
      <c r="B166" s="493"/>
      <c r="C166" s="493"/>
      <c r="D166" s="493"/>
      <c r="E166" s="493"/>
      <c r="F166" s="493"/>
      <c r="G166" s="493"/>
      <c r="H166" s="493"/>
      <c r="I166" s="493"/>
      <c r="J166" s="493"/>
      <c r="K166" s="493"/>
      <c r="L166" s="493"/>
      <c r="M166" s="493"/>
    </row>
    <row r="167" spans="1:13" x14ac:dyDescent="0.25">
      <c r="A167" s="493"/>
      <c r="B167" s="493"/>
      <c r="C167" s="493"/>
      <c r="D167" s="493"/>
      <c r="E167" s="493"/>
      <c r="F167" s="493"/>
      <c r="G167" s="493"/>
      <c r="H167" s="493"/>
      <c r="I167" s="493"/>
      <c r="J167" s="493"/>
      <c r="K167" s="493"/>
      <c r="L167" s="493"/>
      <c r="M167" s="493"/>
    </row>
    <row r="168" spans="1:13" x14ac:dyDescent="0.25">
      <c r="A168" s="493"/>
      <c r="B168" s="493"/>
      <c r="C168" s="493"/>
      <c r="D168" s="493"/>
      <c r="E168" s="493"/>
      <c r="F168" s="493"/>
      <c r="G168" s="493"/>
      <c r="H168" s="493"/>
      <c r="I168" s="493"/>
      <c r="J168" s="493"/>
      <c r="K168" s="493"/>
      <c r="L168" s="493"/>
      <c r="M168" s="493"/>
    </row>
    <row r="169" spans="1:13" x14ac:dyDescent="0.25">
      <c r="A169" s="493"/>
      <c r="B169" s="493"/>
      <c r="C169" s="493"/>
      <c r="D169" s="493"/>
      <c r="E169" s="493"/>
      <c r="F169" s="493"/>
      <c r="G169" s="493"/>
      <c r="H169" s="493"/>
      <c r="I169" s="493"/>
      <c r="J169" s="493"/>
      <c r="K169" s="493"/>
      <c r="L169" s="493"/>
      <c r="M169" s="493"/>
    </row>
    <row r="170" spans="1:13" x14ac:dyDescent="0.25">
      <c r="A170" s="493"/>
      <c r="B170" s="493"/>
      <c r="C170" s="493"/>
      <c r="D170" s="493"/>
      <c r="E170" s="493"/>
      <c r="F170" s="493"/>
      <c r="G170" s="493"/>
      <c r="H170" s="493"/>
      <c r="I170" s="493"/>
      <c r="J170" s="493"/>
      <c r="K170" s="493"/>
      <c r="L170" s="493"/>
      <c r="M170" s="493"/>
    </row>
    <row r="171" spans="1:13" x14ac:dyDescent="0.25">
      <c r="A171" s="493"/>
      <c r="B171" s="493"/>
      <c r="C171" s="493"/>
      <c r="D171" s="493"/>
      <c r="E171" s="493"/>
      <c r="F171" s="493"/>
      <c r="G171" s="493"/>
      <c r="H171" s="493"/>
      <c r="I171" s="493"/>
      <c r="J171" s="493"/>
      <c r="K171" s="493"/>
      <c r="L171" s="493"/>
      <c r="M171" s="493"/>
    </row>
    <row r="172" spans="1:13" x14ac:dyDescent="0.25">
      <c r="A172" s="493"/>
      <c r="B172" s="493"/>
      <c r="C172" s="493"/>
      <c r="D172" s="493"/>
      <c r="E172" s="493"/>
      <c r="F172" s="493"/>
      <c r="G172" s="493"/>
      <c r="H172" s="493"/>
      <c r="I172" s="493"/>
      <c r="J172" s="493"/>
      <c r="K172" s="493"/>
      <c r="L172" s="493"/>
      <c r="M172" s="493"/>
    </row>
    <row r="173" spans="1:13" x14ac:dyDescent="0.25">
      <c r="A173" s="493"/>
      <c r="B173" s="493"/>
      <c r="C173" s="493"/>
      <c r="D173" s="493"/>
      <c r="E173" s="493"/>
      <c r="F173" s="493"/>
      <c r="G173" s="493"/>
      <c r="H173" s="493"/>
      <c r="I173" s="493"/>
      <c r="J173" s="493"/>
      <c r="K173" s="493"/>
      <c r="L173" s="493"/>
      <c r="M173" s="493"/>
    </row>
    <row r="174" spans="1:13" x14ac:dyDescent="0.25">
      <c r="A174" s="493"/>
      <c r="B174" s="493"/>
      <c r="C174" s="493"/>
      <c r="D174" s="493"/>
      <c r="E174" s="493"/>
      <c r="F174" s="493"/>
      <c r="G174" s="493"/>
      <c r="H174" s="493"/>
      <c r="I174" s="493"/>
      <c r="J174" s="493"/>
      <c r="K174" s="493"/>
      <c r="L174" s="493"/>
      <c r="M174" s="493"/>
    </row>
    <row r="175" spans="1:13" x14ac:dyDescent="0.25">
      <c r="A175" s="493"/>
      <c r="B175" s="493"/>
      <c r="C175" s="493"/>
      <c r="D175" s="493"/>
      <c r="E175" s="493"/>
      <c r="F175" s="493"/>
      <c r="G175" s="493"/>
      <c r="H175" s="493"/>
      <c r="I175" s="493"/>
      <c r="J175" s="493"/>
      <c r="K175" s="493"/>
      <c r="L175" s="493"/>
      <c r="M175" s="493"/>
    </row>
    <row r="176" spans="1:13" x14ac:dyDescent="0.25">
      <c r="A176" s="493"/>
      <c r="B176" s="493"/>
      <c r="C176" s="493"/>
      <c r="D176" s="493"/>
      <c r="E176" s="493"/>
      <c r="F176" s="493"/>
      <c r="G176" s="493"/>
      <c r="H176" s="493"/>
      <c r="I176" s="493"/>
      <c r="J176" s="493"/>
      <c r="K176" s="493"/>
      <c r="L176" s="493"/>
      <c r="M176" s="493"/>
    </row>
    <row r="177" spans="1:13" x14ac:dyDescent="0.25">
      <c r="A177" s="493"/>
      <c r="B177" s="493"/>
      <c r="C177" s="493"/>
      <c r="D177" s="493"/>
      <c r="E177" s="493"/>
      <c r="F177" s="493"/>
      <c r="G177" s="493"/>
      <c r="H177" s="493"/>
      <c r="I177" s="493"/>
      <c r="J177" s="493"/>
      <c r="K177" s="493"/>
      <c r="L177" s="493"/>
      <c r="M177" s="493"/>
    </row>
    <row r="178" spans="1:13" x14ac:dyDescent="0.25">
      <c r="A178" s="493"/>
      <c r="B178" s="493"/>
      <c r="C178" s="493"/>
      <c r="D178" s="493"/>
      <c r="E178" s="493"/>
      <c r="F178" s="493"/>
      <c r="G178" s="493"/>
      <c r="H178" s="493"/>
      <c r="I178" s="493"/>
      <c r="J178" s="493"/>
      <c r="K178" s="493"/>
      <c r="L178" s="493"/>
      <c r="M178" s="493"/>
    </row>
    <row r="179" spans="1:13" x14ac:dyDescent="0.25">
      <c r="A179" s="493"/>
      <c r="B179" s="493"/>
      <c r="C179" s="493"/>
      <c r="D179" s="493"/>
      <c r="E179" s="493"/>
      <c r="F179" s="493"/>
      <c r="G179" s="493"/>
      <c r="H179" s="493"/>
      <c r="I179" s="493"/>
      <c r="J179" s="493"/>
      <c r="K179" s="493"/>
      <c r="L179" s="493"/>
      <c r="M179" s="493"/>
    </row>
    <row r="180" spans="1:13" x14ac:dyDescent="0.25">
      <c r="A180" s="493"/>
      <c r="B180" s="493"/>
      <c r="C180" s="493"/>
      <c r="D180" s="493"/>
      <c r="E180" s="493"/>
      <c r="F180" s="493"/>
      <c r="G180" s="493"/>
      <c r="H180" s="493"/>
      <c r="I180" s="493"/>
      <c r="J180" s="493"/>
      <c r="K180" s="493"/>
      <c r="L180" s="493"/>
      <c r="M180" s="493"/>
    </row>
    <row r="181" spans="1:13" x14ac:dyDescent="0.25">
      <c r="A181" s="493"/>
      <c r="B181" s="493"/>
      <c r="C181" s="493"/>
      <c r="D181" s="493"/>
      <c r="E181" s="493"/>
      <c r="F181" s="493"/>
      <c r="G181" s="493"/>
      <c r="H181" s="493"/>
      <c r="I181" s="493"/>
      <c r="J181" s="493"/>
      <c r="K181" s="493"/>
      <c r="L181" s="493"/>
      <c r="M181" s="493"/>
    </row>
    <row r="182" spans="1:13" x14ac:dyDescent="0.25">
      <c r="A182" s="493"/>
      <c r="B182" s="493"/>
      <c r="C182" s="493"/>
      <c r="D182" s="493"/>
      <c r="E182" s="493"/>
      <c r="F182" s="493"/>
      <c r="G182" s="493"/>
      <c r="H182" s="493"/>
      <c r="I182" s="493"/>
      <c r="J182" s="493"/>
      <c r="K182" s="493"/>
      <c r="L182" s="493"/>
      <c r="M182" s="493"/>
    </row>
    <row r="183" spans="1:13" x14ac:dyDescent="0.25">
      <c r="A183" s="493"/>
      <c r="B183" s="493"/>
      <c r="C183" s="493"/>
      <c r="D183" s="493"/>
      <c r="E183" s="493"/>
      <c r="F183" s="493"/>
      <c r="G183" s="493"/>
      <c r="H183" s="493"/>
      <c r="I183" s="493"/>
      <c r="J183" s="493"/>
      <c r="K183" s="493"/>
      <c r="L183" s="493"/>
      <c r="M183" s="493"/>
    </row>
    <row r="184" spans="1:13" x14ac:dyDescent="0.25">
      <c r="A184" s="493"/>
      <c r="B184" s="493"/>
      <c r="C184" s="493"/>
      <c r="D184" s="493"/>
      <c r="E184" s="493"/>
      <c r="F184" s="493"/>
      <c r="G184" s="493"/>
      <c r="H184" s="493"/>
      <c r="I184" s="493"/>
      <c r="J184" s="493"/>
      <c r="K184" s="493"/>
      <c r="L184" s="493"/>
      <c r="M184" s="493"/>
    </row>
    <row r="185" spans="1:13" x14ac:dyDescent="0.25">
      <c r="A185" s="493"/>
      <c r="B185" s="493"/>
      <c r="C185" s="493"/>
      <c r="D185" s="493"/>
      <c r="E185" s="493"/>
      <c r="F185" s="493"/>
      <c r="G185" s="493"/>
      <c r="H185" s="493"/>
      <c r="I185" s="493"/>
      <c r="J185" s="493"/>
      <c r="K185" s="493"/>
      <c r="L185" s="493"/>
      <c r="M185" s="493"/>
    </row>
    <row r="186" spans="1:13" x14ac:dyDescent="0.25">
      <c r="A186" s="493"/>
      <c r="B186" s="493"/>
      <c r="C186" s="493"/>
      <c r="D186" s="493"/>
      <c r="E186" s="493"/>
      <c r="F186" s="493"/>
      <c r="G186" s="493"/>
      <c r="H186" s="493"/>
      <c r="I186" s="493"/>
      <c r="J186" s="493"/>
      <c r="K186" s="493"/>
      <c r="L186" s="493"/>
      <c r="M186" s="493"/>
    </row>
    <row r="187" spans="1:13" x14ac:dyDescent="0.25">
      <c r="A187" s="493"/>
      <c r="B187" s="493"/>
      <c r="C187" s="493"/>
      <c r="D187" s="493"/>
      <c r="E187" s="493"/>
      <c r="F187" s="493"/>
      <c r="G187" s="493"/>
      <c r="H187" s="493"/>
      <c r="I187" s="493"/>
      <c r="J187" s="493"/>
      <c r="K187" s="493"/>
      <c r="L187" s="493"/>
      <c r="M187" s="493"/>
    </row>
    <row r="188" spans="1:13" x14ac:dyDescent="0.25">
      <c r="A188" s="493"/>
      <c r="B188" s="493"/>
      <c r="C188" s="493"/>
      <c r="D188" s="493"/>
      <c r="E188" s="493"/>
      <c r="F188" s="493"/>
      <c r="G188" s="493"/>
      <c r="H188" s="493"/>
      <c r="I188" s="493"/>
      <c r="J188" s="493"/>
      <c r="K188" s="493"/>
      <c r="L188" s="493"/>
      <c r="M188" s="493"/>
    </row>
    <row r="189" spans="1:13" x14ac:dyDescent="0.25">
      <c r="A189" s="493"/>
      <c r="B189" s="493"/>
      <c r="C189" s="493"/>
      <c r="D189" s="493"/>
      <c r="E189" s="493"/>
      <c r="F189" s="493"/>
      <c r="G189" s="493"/>
      <c r="H189" s="493"/>
      <c r="I189" s="493"/>
      <c r="J189" s="493"/>
      <c r="K189" s="493"/>
      <c r="L189" s="493"/>
      <c r="M189" s="493"/>
    </row>
    <row r="190" spans="1:13" x14ac:dyDescent="0.25">
      <c r="A190" s="493"/>
      <c r="B190" s="493"/>
      <c r="C190" s="493"/>
      <c r="D190" s="493"/>
      <c r="E190" s="493"/>
      <c r="F190" s="493"/>
      <c r="G190" s="493"/>
      <c r="H190" s="493"/>
      <c r="I190" s="493"/>
      <c r="J190" s="493"/>
      <c r="K190" s="493"/>
      <c r="L190" s="493"/>
      <c r="M190" s="493"/>
    </row>
    <row r="191" spans="1:13" x14ac:dyDescent="0.25">
      <c r="A191" s="493"/>
      <c r="B191" s="493"/>
      <c r="C191" s="493"/>
      <c r="D191" s="493"/>
      <c r="E191" s="493"/>
      <c r="F191" s="493"/>
      <c r="G191" s="493"/>
      <c r="H191" s="493"/>
      <c r="I191" s="493"/>
      <c r="J191" s="493"/>
      <c r="K191" s="493"/>
      <c r="L191" s="493"/>
      <c r="M191" s="493"/>
    </row>
  </sheetData>
  <mergeCells count="12">
    <mergeCell ref="B5:C5"/>
    <mergeCell ref="I5:K5"/>
    <mergeCell ref="N5:O5"/>
    <mergeCell ref="S5:U5"/>
    <mergeCell ref="Y5:AA5"/>
    <mergeCell ref="A1:W1"/>
    <mergeCell ref="Y1:AB1"/>
    <mergeCell ref="A2:V2"/>
    <mergeCell ref="Y2:AB2"/>
    <mergeCell ref="B4:L4"/>
    <mergeCell ref="N4:V4"/>
    <mergeCell ref="Y4:AB4"/>
  </mergeCells>
  <pageMargins left="0.75" right="0.75" top="1" bottom="1" header="0.5" footer="0.5"/>
  <pageSetup paperSize="5" scale="76" orientation="landscape" r:id="rId1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42">
    <pageSetUpPr fitToPage="1"/>
  </sheetPr>
  <dimension ref="A1:AD191"/>
  <sheetViews>
    <sheetView zoomScaleNormal="100" workbookViewId="0">
      <selection activeCell="B9" sqref="B9"/>
    </sheetView>
  </sheetViews>
  <sheetFormatPr defaultColWidth="9.1796875" defaultRowHeight="12.5" x14ac:dyDescent="0.25"/>
  <cols>
    <col min="1" max="1" width="13" style="492" customWidth="1"/>
    <col min="2" max="2" width="7" style="492" bestFit="1" customWidth="1"/>
    <col min="3" max="3" width="7" style="492" hidden="1" customWidth="1"/>
    <col min="4" max="4" width="8.54296875" style="492" bestFit="1" customWidth="1"/>
    <col min="5" max="5" width="12" style="492" bestFit="1" customWidth="1"/>
    <col min="6" max="6" width="11.1796875" style="492" customWidth="1"/>
    <col min="7" max="7" width="12" style="492" bestFit="1" customWidth="1"/>
    <col min="8" max="8" width="11.1796875" style="492" customWidth="1"/>
    <col min="9" max="9" width="11.54296875" style="492" hidden="1" customWidth="1"/>
    <col min="10" max="10" width="11.54296875" style="492" bestFit="1" customWidth="1"/>
    <col min="11" max="11" width="4.81640625" style="492" hidden="1" customWidth="1"/>
    <col min="12" max="12" width="12.54296875" style="492" customWidth="1"/>
    <col min="13" max="13" width="2.54296875" style="492" customWidth="1"/>
    <col min="14" max="14" width="7" style="492" customWidth="1"/>
    <col min="15" max="15" width="7" style="492" hidden="1" customWidth="1"/>
    <col min="16" max="16" width="8.54296875" style="492" bestFit="1" customWidth="1"/>
    <col min="17" max="17" width="10.7265625" style="492" bestFit="1" customWidth="1"/>
    <col min="18" max="18" width="9.81640625" style="492" bestFit="1" customWidth="1"/>
    <col min="19" max="19" width="10.7265625" style="492" hidden="1" customWidth="1"/>
    <col min="20" max="20" width="9.81640625" style="492" bestFit="1" customWidth="1"/>
    <col min="21" max="21" width="4.81640625" style="492" hidden="1" customWidth="1"/>
    <col min="22" max="22" width="10.7265625" style="492" bestFit="1" customWidth="1"/>
    <col min="23" max="23" width="2.7265625" style="492" customWidth="1"/>
    <col min="24" max="24" width="13.81640625" style="492" bestFit="1" customWidth="1"/>
    <col min="25" max="25" width="12.81640625" style="492" hidden="1" customWidth="1"/>
    <col min="26" max="26" width="11.54296875" style="492" bestFit="1" customWidth="1"/>
    <col min="27" max="27" width="4.81640625" style="492" hidden="1" customWidth="1"/>
    <col min="28" max="28" width="11.453125" style="492" customWidth="1"/>
    <col min="29" max="29" width="11.81640625" style="492" customWidth="1"/>
    <col min="30" max="30" width="9.7265625" style="492" bestFit="1" customWidth="1"/>
    <col min="31" max="16384" width="9.1796875" style="492"/>
  </cols>
  <sheetData>
    <row r="1" spans="1:30" ht="13" x14ac:dyDescent="0.3">
      <c r="A1" s="813" t="s">
        <v>497</v>
      </c>
      <c r="B1" s="813"/>
      <c r="C1" s="813"/>
      <c r="D1" s="813"/>
      <c r="E1" s="813"/>
      <c r="F1" s="813"/>
      <c r="G1" s="813"/>
      <c r="H1" s="813"/>
      <c r="I1" s="813"/>
      <c r="J1" s="813"/>
      <c r="K1" s="813"/>
      <c r="L1" s="813"/>
      <c r="M1" s="813"/>
      <c r="N1" s="813"/>
      <c r="O1" s="813"/>
      <c r="P1" s="813"/>
      <c r="Q1" s="813"/>
      <c r="R1" s="813"/>
      <c r="S1" s="813"/>
      <c r="T1" s="813"/>
      <c r="U1" s="813"/>
      <c r="V1" s="813"/>
      <c r="W1" s="813"/>
      <c r="X1" s="491"/>
      <c r="Y1" s="823"/>
      <c r="Z1" s="823"/>
      <c r="AA1" s="823"/>
      <c r="AB1" s="823"/>
    </row>
    <row r="2" spans="1:30" ht="13" x14ac:dyDescent="0.3">
      <c r="A2" s="815">
        <f>'[100]Sales Forecast'!F6</f>
        <v>44075</v>
      </c>
      <c r="B2" s="815"/>
      <c r="C2" s="815"/>
      <c r="D2" s="815"/>
      <c r="E2" s="815"/>
      <c r="F2" s="815"/>
      <c r="G2" s="815"/>
      <c r="H2" s="815"/>
      <c r="I2" s="815"/>
      <c r="J2" s="815"/>
      <c r="K2" s="815"/>
      <c r="L2" s="815"/>
      <c r="M2" s="815"/>
      <c r="N2" s="815"/>
      <c r="O2" s="815"/>
      <c r="P2" s="815"/>
      <c r="Q2" s="815"/>
      <c r="R2" s="815"/>
      <c r="S2" s="815"/>
      <c r="T2" s="815"/>
      <c r="U2" s="815"/>
      <c r="V2" s="815"/>
      <c r="Y2" s="824"/>
      <c r="Z2" s="824"/>
      <c r="AA2" s="824"/>
      <c r="AB2" s="824"/>
    </row>
    <row r="3" spans="1:30" ht="13" thickBot="1" x14ac:dyDescent="0.3">
      <c r="A3" s="493"/>
      <c r="B3" s="493"/>
      <c r="C3" s="493"/>
      <c r="D3" s="493"/>
      <c r="E3" s="493"/>
      <c r="F3" s="493"/>
      <c r="G3" s="493"/>
      <c r="H3" s="493"/>
      <c r="I3" s="493"/>
      <c r="J3" s="493"/>
      <c r="K3" s="493"/>
      <c r="L3" s="493"/>
      <c r="M3" s="493"/>
    </row>
    <row r="4" spans="1:30" ht="13.5" thickBot="1" x14ac:dyDescent="0.35">
      <c r="A4" s="493"/>
      <c r="B4" s="825" t="s">
        <v>498</v>
      </c>
      <c r="C4" s="826"/>
      <c r="D4" s="826"/>
      <c r="E4" s="826"/>
      <c r="F4" s="826"/>
      <c r="G4" s="826"/>
      <c r="H4" s="826"/>
      <c r="I4" s="826"/>
      <c r="J4" s="826"/>
      <c r="K4" s="826"/>
      <c r="L4" s="826"/>
      <c r="M4" s="493"/>
      <c r="N4" s="825" t="s">
        <v>499</v>
      </c>
      <c r="O4" s="826"/>
      <c r="P4" s="826"/>
      <c r="Q4" s="826"/>
      <c r="R4" s="826"/>
      <c r="S4" s="826"/>
      <c r="T4" s="826"/>
      <c r="U4" s="826"/>
      <c r="V4" s="826"/>
      <c r="Y4" s="827" t="s">
        <v>500</v>
      </c>
      <c r="Z4" s="828"/>
      <c r="AA4" s="828"/>
      <c r="AB4" s="828"/>
      <c r="AC4" s="494"/>
    </row>
    <row r="5" spans="1:30" x14ac:dyDescent="0.25">
      <c r="A5" s="493"/>
      <c r="B5" s="829" t="s">
        <v>501</v>
      </c>
      <c r="C5" s="829"/>
      <c r="D5" s="495" t="s">
        <v>284</v>
      </c>
      <c r="E5" s="495" t="s">
        <v>162</v>
      </c>
      <c r="F5" s="495" t="s">
        <v>162</v>
      </c>
      <c r="G5" s="495" t="s">
        <v>283</v>
      </c>
      <c r="H5" s="495" t="s">
        <v>283</v>
      </c>
      <c r="I5" s="829" t="s">
        <v>502</v>
      </c>
      <c r="J5" s="829"/>
      <c r="K5" s="829"/>
      <c r="L5" s="496" t="s">
        <v>503</v>
      </c>
      <c r="M5" s="493"/>
      <c r="N5" s="829" t="s">
        <v>501</v>
      </c>
      <c r="O5" s="829"/>
      <c r="P5" s="495" t="str">
        <f>D5</f>
        <v>Capacity</v>
      </c>
      <c r="Q5" s="495" t="s">
        <v>260</v>
      </c>
      <c r="R5" s="495" t="s">
        <v>260</v>
      </c>
      <c r="S5" s="829" t="s">
        <v>504</v>
      </c>
      <c r="T5" s="829"/>
      <c r="U5" s="829"/>
      <c r="V5" s="496" t="s">
        <v>505</v>
      </c>
      <c r="Y5" s="830" t="s">
        <v>506</v>
      </c>
      <c r="Z5" s="830"/>
      <c r="AA5" s="830"/>
      <c r="AB5" s="496" t="s">
        <v>507</v>
      </c>
      <c r="AC5" s="497"/>
    </row>
    <row r="6" spans="1:30" x14ac:dyDescent="0.25">
      <c r="A6" s="493" t="s">
        <v>508</v>
      </c>
      <c r="B6" s="498" t="s">
        <v>368</v>
      </c>
      <c r="C6" s="498" t="s">
        <v>366</v>
      </c>
      <c r="D6" s="498" t="s">
        <v>366</v>
      </c>
      <c r="E6" s="498" t="s">
        <v>509</v>
      </c>
      <c r="F6" s="498" t="s">
        <v>135</v>
      </c>
      <c r="G6" s="498" t="s">
        <v>509</v>
      </c>
      <c r="H6" s="498" t="s">
        <v>135</v>
      </c>
      <c r="I6" s="498" t="s">
        <v>510</v>
      </c>
      <c r="J6" s="498" t="str">
        <f>D5</f>
        <v>Capacity</v>
      </c>
      <c r="K6" s="498" t="s">
        <v>162</v>
      </c>
      <c r="L6" s="498" t="s">
        <v>162</v>
      </c>
      <c r="M6" s="499"/>
      <c r="N6" s="498" t="s">
        <v>368</v>
      </c>
      <c r="O6" s="498" t="s">
        <v>366</v>
      </c>
      <c r="P6" s="498" t="s">
        <v>366</v>
      </c>
      <c r="Q6" s="498" t="s">
        <v>509</v>
      </c>
      <c r="R6" s="498" t="s">
        <v>135</v>
      </c>
      <c r="S6" s="498" t="s">
        <v>510</v>
      </c>
      <c r="T6" s="498" t="str">
        <f>J6</f>
        <v>Capacity</v>
      </c>
      <c r="U6" s="498" t="s">
        <v>162</v>
      </c>
      <c r="V6" s="498" t="s">
        <v>162</v>
      </c>
      <c r="X6" s="498" t="s">
        <v>508</v>
      </c>
      <c r="Y6" s="498" t="s">
        <v>510</v>
      </c>
      <c r="Z6" s="498" t="str">
        <f>T6</f>
        <v>Capacity</v>
      </c>
      <c r="AA6" s="498" t="s">
        <v>162</v>
      </c>
      <c r="AB6" s="498" t="s">
        <v>162</v>
      </c>
      <c r="AC6" s="498"/>
    </row>
    <row r="7" spans="1:30" x14ac:dyDescent="0.25">
      <c r="A7" s="493"/>
      <c r="B7" s="493"/>
      <c r="C7" s="493"/>
      <c r="D7" s="493"/>
      <c r="E7" s="493"/>
      <c r="F7" s="493"/>
      <c r="G7" s="493"/>
      <c r="H7" s="493"/>
      <c r="I7" s="493"/>
      <c r="J7" s="493"/>
      <c r="K7" s="493"/>
      <c r="L7" s="493"/>
      <c r="M7" s="493"/>
      <c r="N7" s="493"/>
      <c r="O7" s="493"/>
      <c r="P7" s="493"/>
      <c r="Q7" s="493"/>
      <c r="R7" s="493"/>
      <c r="S7" s="493"/>
      <c r="T7" s="493"/>
      <c r="U7" s="493"/>
      <c r="V7" s="493"/>
    </row>
    <row r="8" spans="1:30" x14ac:dyDescent="0.25">
      <c r="A8" s="500">
        <v>1</v>
      </c>
      <c r="B8" s="529">
        <f>'Forecast MAC Total'!R22</f>
        <v>9.2700000000000005E-3</v>
      </c>
      <c r="C8" s="522" t="e">
        <f>#REF!</f>
        <v>#REF!</v>
      </c>
      <c r="D8" s="522">
        <f>+'May - Oct Capacity MSC by Class'!G20</f>
        <v>3.4700000000000002E-2</v>
      </c>
      <c r="E8" s="530">
        <f>+'Adj Sales Forecast'!F10</f>
        <v>1440828056</v>
      </c>
      <c r="F8" s="493">
        <v>0</v>
      </c>
      <c r="G8" s="8">
        <f>ROUND(E8*0.88,0)</f>
        <v>1267928689</v>
      </c>
      <c r="H8" s="8">
        <f>ROUND(F8*0.88,0)</f>
        <v>0</v>
      </c>
      <c r="I8" s="169" t="e">
        <f>ROUND(C8*G8,0)</f>
        <v>#REF!</v>
      </c>
      <c r="J8" s="169">
        <f>ROUND(D8*G8,0)</f>
        <v>43997126</v>
      </c>
      <c r="K8" s="169" t="e">
        <f t="shared" ref="K8:K19" si="0">I8+J8</f>
        <v>#REF!</v>
      </c>
      <c r="L8" s="169">
        <f t="shared" ref="L8:L19" si="1">ROUND(B8*G8,0)</f>
        <v>11753699</v>
      </c>
      <c r="M8" s="493"/>
      <c r="N8" s="493">
        <f t="shared" ref="N8:N19" si="2">$B$8</f>
        <v>9.2700000000000005E-3</v>
      </c>
      <c r="O8" s="493" t="e">
        <f>#REF!</f>
        <v>#REF!</v>
      </c>
      <c r="P8" s="508">
        <f>'May Price Out'!P8</f>
        <v>2.4369999999999999E-2</v>
      </c>
      <c r="Q8" s="502">
        <f>E8-G8</f>
        <v>172899367</v>
      </c>
      <c r="R8" s="502">
        <f>F8-H8</f>
        <v>0</v>
      </c>
      <c r="S8" s="169" t="e">
        <f t="shared" ref="S8:S19" si="3">ROUND(O8*Q8,0)</f>
        <v>#REF!</v>
      </c>
      <c r="T8" s="169">
        <f>ROUND(P8*Q8,0)</f>
        <v>4213558</v>
      </c>
      <c r="U8" s="169" t="e">
        <f t="shared" ref="U8:U19" si="4">S8+T8</f>
        <v>#REF!</v>
      </c>
      <c r="V8" s="169">
        <f t="shared" ref="V8:V19" si="5">ROUND(N8*Q8,0)</f>
        <v>1602777</v>
      </c>
      <c r="X8" s="500">
        <v>1</v>
      </c>
      <c r="Y8" s="503" t="e">
        <f t="shared" ref="Y8:Z19" si="6">I8+S8</f>
        <v>#REF!</v>
      </c>
      <c r="Z8" s="503">
        <f t="shared" si="6"/>
        <v>48210684</v>
      </c>
      <c r="AA8" s="503" t="e">
        <f t="shared" ref="AA8:AA19" si="7">Y8+Z8</f>
        <v>#REF!</v>
      </c>
      <c r="AB8" s="503">
        <f t="shared" ref="AB8:AB19" si="8">L8+V8</f>
        <v>13356476</v>
      </c>
    </row>
    <row r="9" spans="1:30" x14ac:dyDescent="0.25">
      <c r="A9" s="500" t="s">
        <v>511</v>
      </c>
      <c r="B9" s="529">
        <f>$B$8</f>
        <v>9.2700000000000005E-3</v>
      </c>
      <c r="C9" s="522" t="e">
        <f>#REF!</f>
        <v>#REF!</v>
      </c>
      <c r="D9" s="522">
        <f>+'May - Oct Capacity MSC by Class'!G40</f>
        <v>7.7899999999999997E-2</v>
      </c>
      <c r="E9" s="530">
        <f>+'Adj Sales Forecast'!F37</f>
        <v>2828328</v>
      </c>
      <c r="F9" s="493">
        <v>0</v>
      </c>
      <c r="G9" s="8">
        <f>ROUND(E9*0.88,0)</f>
        <v>2488929</v>
      </c>
      <c r="H9" s="8">
        <f>ROUND(F9*0.88,0)</f>
        <v>0</v>
      </c>
      <c r="I9" s="169" t="e">
        <f t="shared" ref="I9:I19" si="9">ROUND(C9*G9,0)</f>
        <v>#REF!</v>
      </c>
      <c r="J9" s="169">
        <f t="shared" ref="J9:J19" si="10">ROUND(D9*G9,0)</f>
        <v>193888</v>
      </c>
      <c r="K9" s="169" t="e">
        <f t="shared" si="0"/>
        <v>#REF!</v>
      </c>
      <c r="L9" s="169">
        <f t="shared" si="1"/>
        <v>23072</v>
      </c>
      <c r="M9" s="493"/>
      <c r="N9" s="493">
        <f t="shared" si="2"/>
        <v>9.2700000000000005E-3</v>
      </c>
      <c r="O9" s="493" t="e">
        <f>#REF!</f>
        <v>#REF!</v>
      </c>
      <c r="P9" s="509">
        <f>'May Price Out'!P9</f>
        <v>5.4699999999999999E-2</v>
      </c>
      <c r="Q9" s="502">
        <f>E9-G9</f>
        <v>339399</v>
      </c>
      <c r="R9" s="502">
        <f>F9-H9</f>
        <v>0</v>
      </c>
      <c r="S9" s="169" t="e">
        <f t="shared" si="3"/>
        <v>#REF!</v>
      </c>
      <c r="T9" s="169">
        <f t="shared" ref="T9:T19" si="11">ROUND(P9*Q9,0)</f>
        <v>18565</v>
      </c>
      <c r="U9" s="169" t="e">
        <f t="shared" si="4"/>
        <v>#REF!</v>
      </c>
      <c r="V9" s="169">
        <f t="shared" si="5"/>
        <v>3146</v>
      </c>
      <c r="X9" s="500" t="s">
        <v>511</v>
      </c>
      <c r="Y9" s="503" t="e">
        <f t="shared" si="6"/>
        <v>#REF!</v>
      </c>
      <c r="Z9" s="503">
        <f t="shared" si="6"/>
        <v>212453</v>
      </c>
      <c r="AA9" s="503" t="e">
        <f t="shared" si="7"/>
        <v>#REF!</v>
      </c>
      <c r="AB9" s="503">
        <f t="shared" si="8"/>
        <v>26218</v>
      </c>
      <c r="AD9" s="503"/>
    </row>
    <row r="10" spans="1:30" x14ac:dyDescent="0.25">
      <c r="A10" s="500" t="s">
        <v>512</v>
      </c>
      <c r="B10" s="529">
        <f t="shared" ref="B10:B42" si="12">$B$8</f>
        <v>9.2700000000000005E-3</v>
      </c>
      <c r="C10" s="533" t="e">
        <f>#REF!</f>
        <v>#REF!</v>
      </c>
      <c r="D10" s="522">
        <v>0</v>
      </c>
      <c r="E10" s="530">
        <f>+'Adj Sales Forecast'!F38</f>
        <v>4343616</v>
      </c>
      <c r="F10" s="493">
        <v>0</v>
      </c>
      <c r="G10" s="8">
        <f t="shared" ref="G10:H19" si="13">ROUND(E10*0.88,0)</f>
        <v>3822382</v>
      </c>
      <c r="H10" s="8">
        <f>ROUND(F10*0.88,0)</f>
        <v>0</v>
      </c>
      <c r="I10" s="169" t="e">
        <f t="shared" si="9"/>
        <v>#REF!</v>
      </c>
      <c r="J10" s="169">
        <f t="shared" si="10"/>
        <v>0</v>
      </c>
      <c r="K10" s="169" t="e">
        <f t="shared" si="0"/>
        <v>#REF!</v>
      </c>
      <c r="L10" s="169">
        <f t="shared" si="1"/>
        <v>35433</v>
      </c>
      <c r="M10" s="493"/>
      <c r="N10" s="493">
        <f t="shared" si="2"/>
        <v>9.2700000000000005E-3</v>
      </c>
      <c r="O10" s="504" t="e">
        <f>#REF!</f>
        <v>#REF!</v>
      </c>
      <c r="P10" s="509">
        <f>'May Price Out'!P10</f>
        <v>0</v>
      </c>
      <c r="Q10" s="502">
        <f t="shared" ref="Q10:R19" si="14">E10-G10</f>
        <v>521234</v>
      </c>
      <c r="R10" s="502">
        <f>F10-H10</f>
        <v>0</v>
      </c>
      <c r="S10" s="169" t="e">
        <f t="shared" si="3"/>
        <v>#REF!</v>
      </c>
      <c r="T10" s="169">
        <f t="shared" si="11"/>
        <v>0</v>
      </c>
      <c r="U10" s="169" t="e">
        <f t="shared" si="4"/>
        <v>#REF!</v>
      </c>
      <c r="V10" s="169">
        <f t="shared" si="5"/>
        <v>4832</v>
      </c>
      <c r="X10" s="500" t="s">
        <v>512</v>
      </c>
      <c r="Y10" s="503" t="e">
        <f t="shared" si="6"/>
        <v>#REF!</v>
      </c>
      <c r="Z10" s="503">
        <f t="shared" si="6"/>
        <v>0</v>
      </c>
      <c r="AA10" s="503" t="e">
        <f t="shared" si="7"/>
        <v>#REF!</v>
      </c>
      <c r="AB10" s="503">
        <f t="shared" si="8"/>
        <v>40265</v>
      </c>
    </row>
    <row r="11" spans="1:30" x14ac:dyDescent="0.25">
      <c r="A11" s="500">
        <v>2</v>
      </c>
      <c r="B11" s="529">
        <f t="shared" si="12"/>
        <v>9.2700000000000005E-3</v>
      </c>
      <c r="C11" s="533" t="e">
        <f>#REF!</f>
        <v>#REF!</v>
      </c>
      <c r="D11" s="522">
        <f>+'May - Oct Capacity MSC by Class'!G21</f>
        <v>0.02</v>
      </c>
      <c r="E11" s="530">
        <f>+'Adj Sales Forecast'!F15</f>
        <v>197380296</v>
      </c>
      <c r="F11" s="493">
        <v>0</v>
      </c>
      <c r="G11" s="8">
        <f t="shared" si="13"/>
        <v>173694660</v>
      </c>
      <c r="H11" s="8">
        <f t="shared" si="13"/>
        <v>0</v>
      </c>
      <c r="I11" s="169" t="e">
        <f t="shared" si="9"/>
        <v>#REF!</v>
      </c>
      <c r="J11" s="169">
        <f t="shared" si="10"/>
        <v>3473893</v>
      </c>
      <c r="K11" s="169" t="e">
        <f t="shared" si="0"/>
        <v>#REF!</v>
      </c>
      <c r="L11" s="169">
        <f t="shared" si="1"/>
        <v>1610149</v>
      </c>
      <c r="M11" s="493"/>
      <c r="N11" s="493">
        <f t="shared" si="2"/>
        <v>9.2700000000000005E-3</v>
      </c>
      <c r="O11" s="504" t="e">
        <f>#REF!</f>
        <v>#REF!</v>
      </c>
      <c r="P11" s="509">
        <f>'May Price Out'!P11</f>
        <v>1.8599999999999998E-2</v>
      </c>
      <c r="Q11" s="502">
        <f t="shared" si="14"/>
        <v>23685636</v>
      </c>
      <c r="R11" s="502">
        <f t="shared" si="14"/>
        <v>0</v>
      </c>
      <c r="S11" s="169" t="e">
        <f t="shared" si="3"/>
        <v>#REF!</v>
      </c>
      <c r="T11" s="169">
        <f t="shared" si="11"/>
        <v>440553</v>
      </c>
      <c r="U11" s="169" t="e">
        <f t="shared" si="4"/>
        <v>#REF!</v>
      </c>
      <c r="V11" s="169">
        <f t="shared" si="5"/>
        <v>219566</v>
      </c>
      <c r="X11" s="500">
        <v>2</v>
      </c>
      <c r="Y11" s="503" t="e">
        <f t="shared" si="6"/>
        <v>#REF!</v>
      </c>
      <c r="Z11" s="503">
        <f t="shared" si="6"/>
        <v>3914446</v>
      </c>
      <c r="AA11" s="503" t="e">
        <f t="shared" si="7"/>
        <v>#REF!</v>
      </c>
      <c r="AB11" s="503">
        <f t="shared" si="8"/>
        <v>1829715</v>
      </c>
    </row>
    <row r="12" spans="1:30" x14ac:dyDescent="0.25">
      <c r="A12" s="500" t="s">
        <v>513</v>
      </c>
      <c r="B12" s="529">
        <f t="shared" si="12"/>
        <v>9.2700000000000005E-3</v>
      </c>
      <c r="C12" s="522" t="e">
        <f>#REF!</f>
        <v>#REF!</v>
      </c>
      <c r="D12" s="522">
        <f>+'May - Oct Capacity MSC by Class'!G43</f>
        <v>4.1200000000000001E-2</v>
      </c>
      <c r="E12" s="530">
        <f>+'Adj Sales Forecast'!F40</f>
        <v>4139599</v>
      </c>
      <c r="F12" s="493">
        <v>0</v>
      </c>
      <c r="G12" s="8">
        <f t="shared" si="13"/>
        <v>3642847</v>
      </c>
      <c r="H12" s="8">
        <f t="shared" si="13"/>
        <v>0</v>
      </c>
      <c r="I12" s="169" t="e">
        <f t="shared" si="9"/>
        <v>#REF!</v>
      </c>
      <c r="J12" s="169">
        <f t="shared" si="10"/>
        <v>150085</v>
      </c>
      <c r="K12" s="169" t="e">
        <f t="shared" si="0"/>
        <v>#REF!</v>
      </c>
      <c r="L12" s="169">
        <f t="shared" si="1"/>
        <v>33769</v>
      </c>
      <c r="M12" s="493"/>
      <c r="N12" s="493">
        <f t="shared" si="2"/>
        <v>9.2700000000000005E-3</v>
      </c>
      <c r="O12" s="493" t="e">
        <f>#REF!</f>
        <v>#REF!</v>
      </c>
      <c r="P12" s="509">
        <f>'May Price Out'!P12</f>
        <v>3.8199999999999998E-2</v>
      </c>
      <c r="Q12" s="502">
        <f t="shared" si="14"/>
        <v>496752</v>
      </c>
      <c r="R12" s="502">
        <f t="shared" si="14"/>
        <v>0</v>
      </c>
      <c r="S12" s="169" t="e">
        <f t="shared" si="3"/>
        <v>#REF!</v>
      </c>
      <c r="T12" s="169">
        <f t="shared" si="11"/>
        <v>18976</v>
      </c>
      <c r="U12" s="169" t="e">
        <f t="shared" si="4"/>
        <v>#REF!</v>
      </c>
      <c r="V12" s="169">
        <f t="shared" si="5"/>
        <v>4605</v>
      </c>
      <c r="X12" s="500" t="s">
        <v>513</v>
      </c>
      <c r="Y12" s="503" t="e">
        <f t="shared" si="6"/>
        <v>#REF!</v>
      </c>
      <c r="Z12" s="503">
        <f t="shared" si="6"/>
        <v>169061</v>
      </c>
      <c r="AA12" s="503" t="e">
        <f t="shared" si="7"/>
        <v>#REF!</v>
      </c>
      <c r="AB12" s="503">
        <f t="shared" si="8"/>
        <v>38374</v>
      </c>
    </row>
    <row r="13" spans="1:30" x14ac:dyDescent="0.25">
      <c r="A13" s="500" t="s">
        <v>514</v>
      </c>
      <c r="B13" s="529">
        <f t="shared" si="12"/>
        <v>9.2700000000000005E-3</v>
      </c>
      <c r="C13" s="533" t="e">
        <f>#REF!</f>
        <v>#REF!</v>
      </c>
      <c r="D13" s="522">
        <v>0</v>
      </c>
      <c r="E13" s="530">
        <f>+'Adj Sales Forecast'!F41</f>
        <v>5480105</v>
      </c>
      <c r="F13" s="493">
        <v>0</v>
      </c>
      <c r="G13" s="8">
        <f t="shared" si="13"/>
        <v>4822492</v>
      </c>
      <c r="H13" s="8">
        <f t="shared" si="13"/>
        <v>0</v>
      </c>
      <c r="I13" s="169" t="e">
        <f t="shared" si="9"/>
        <v>#REF!</v>
      </c>
      <c r="J13" s="169">
        <f t="shared" si="10"/>
        <v>0</v>
      </c>
      <c r="K13" s="169" t="e">
        <f t="shared" si="0"/>
        <v>#REF!</v>
      </c>
      <c r="L13" s="169">
        <f t="shared" si="1"/>
        <v>44705</v>
      </c>
      <c r="M13" s="493"/>
      <c r="N13" s="493">
        <f t="shared" si="2"/>
        <v>9.2700000000000005E-3</v>
      </c>
      <c r="O13" s="504" t="e">
        <f>#REF!</f>
        <v>#REF!</v>
      </c>
      <c r="P13" s="509">
        <f>'May Price Out'!P13</f>
        <v>0</v>
      </c>
      <c r="Q13" s="502">
        <f t="shared" si="14"/>
        <v>657613</v>
      </c>
      <c r="R13" s="502">
        <f t="shared" si="14"/>
        <v>0</v>
      </c>
      <c r="S13" s="169" t="e">
        <f t="shared" si="3"/>
        <v>#REF!</v>
      </c>
      <c r="T13" s="169">
        <f t="shared" si="11"/>
        <v>0</v>
      </c>
      <c r="U13" s="169" t="e">
        <f t="shared" si="4"/>
        <v>#REF!</v>
      </c>
      <c r="V13" s="169">
        <f t="shared" si="5"/>
        <v>6096</v>
      </c>
      <c r="X13" s="500" t="s">
        <v>514</v>
      </c>
      <c r="Y13" s="503" t="e">
        <f t="shared" si="6"/>
        <v>#REF!</v>
      </c>
      <c r="Z13" s="503">
        <f t="shared" si="6"/>
        <v>0</v>
      </c>
      <c r="AA13" s="503" t="e">
        <f t="shared" si="7"/>
        <v>#REF!</v>
      </c>
      <c r="AB13" s="503">
        <f t="shared" si="8"/>
        <v>50801</v>
      </c>
    </row>
    <row r="14" spans="1:30" x14ac:dyDescent="0.25">
      <c r="A14" s="500">
        <v>6</v>
      </c>
      <c r="B14" s="529">
        <f t="shared" si="12"/>
        <v>9.2700000000000005E-3</v>
      </c>
      <c r="C14" s="522" t="e">
        <f>#REF!</f>
        <v>#REF!</v>
      </c>
      <c r="D14" s="522">
        <f>+'May - Oct Capacity MSC by Class'!G25</f>
        <v>4.0000000000000002E-4</v>
      </c>
      <c r="E14" s="530">
        <f>+'Adj Sales Forecast'!F18</f>
        <v>544006</v>
      </c>
      <c r="F14" s="493">
        <v>0</v>
      </c>
      <c r="G14" s="8">
        <f t="shared" si="13"/>
        <v>478725</v>
      </c>
      <c r="H14" s="8">
        <f t="shared" si="13"/>
        <v>0</v>
      </c>
      <c r="I14" s="169" t="e">
        <f t="shared" si="9"/>
        <v>#REF!</v>
      </c>
      <c r="J14" s="169">
        <f t="shared" si="10"/>
        <v>191</v>
      </c>
      <c r="K14" s="169" t="e">
        <f t="shared" si="0"/>
        <v>#REF!</v>
      </c>
      <c r="L14" s="169">
        <f t="shared" si="1"/>
        <v>4438</v>
      </c>
      <c r="M14" s="493"/>
      <c r="N14" s="493">
        <f t="shared" si="2"/>
        <v>9.2700000000000005E-3</v>
      </c>
      <c r="O14" s="493" t="e">
        <f>#REF!</f>
        <v>#REF!</v>
      </c>
      <c r="P14" s="509">
        <f>'May Price Out'!P14</f>
        <v>4.0000000000000002E-4</v>
      </c>
      <c r="Q14" s="502">
        <f t="shared" si="14"/>
        <v>65281</v>
      </c>
      <c r="R14" s="502">
        <f t="shared" si="14"/>
        <v>0</v>
      </c>
      <c r="S14" s="169" t="e">
        <f t="shared" si="3"/>
        <v>#REF!</v>
      </c>
      <c r="T14" s="169">
        <f t="shared" si="11"/>
        <v>26</v>
      </c>
      <c r="U14" s="169" t="e">
        <f t="shared" si="4"/>
        <v>#REF!</v>
      </c>
      <c r="V14" s="169">
        <f t="shared" si="5"/>
        <v>605</v>
      </c>
      <c r="X14" s="500">
        <v>6</v>
      </c>
      <c r="Y14" s="503" t="e">
        <f t="shared" si="6"/>
        <v>#REF!</v>
      </c>
      <c r="Z14" s="503">
        <f t="shared" si="6"/>
        <v>217</v>
      </c>
      <c r="AA14" s="503" t="e">
        <f t="shared" si="7"/>
        <v>#REF!</v>
      </c>
      <c r="AB14" s="503">
        <f t="shared" si="8"/>
        <v>5043</v>
      </c>
    </row>
    <row r="15" spans="1:30" hidden="1" x14ac:dyDescent="0.25">
      <c r="A15" s="500">
        <v>7</v>
      </c>
      <c r="B15" s="529">
        <f t="shared" si="12"/>
        <v>9.2700000000000005E-3</v>
      </c>
      <c r="C15" s="522" t="e">
        <f>#REF!</f>
        <v>#REF!</v>
      </c>
      <c r="D15" s="522"/>
      <c r="E15" s="530"/>
      <c r="F15" s="493"/>
      <c r="G15" s="8"/>
      <c r="H15" s="8"/>
      <c r="I15" s="169"/>
      <c r="J15" s="169"/>
      <c r="K15" s="169"/>
      <c r="L15" s="169"/>
      <c r="M15" s="493"/>
      <c r="N15" s="493">
        <f t="shared" si="2"/>
        <v>9.2700000000000005E-3</v>
      </c>
      <c r="O15" s="493" t="e">
        <f>#REF!</f>
        <v>#REF!</v>
      </c>
      <c r="P15" s="508">
        <f>'May Price Out'!P15</f>
        <v>0</v>
      </c>
      <c r="Q15" s="502">
        <f t="shared" si="14"/>
        <v>0</v>
      </c>
      <c r="R15" s="502">
        <f t="shared" si="14"/>
        <v>0</v>
      </c>
      <c r="S15" s="169" t="e">
        <f t="shared" si="3"/>
        <v>#REF!</v>
      </c>
      <c r="T15" s="169">
        <f t="shared" si="11"/>
        <v>0</v>
      </c>
      <c r="U15" s="169" t="e">
        <f t="shared" si="4"/>
        <v>#REF!</v>
      </c>
      <c r="V15" s="169">
        <f t="shared" si="5"/>
        <v>0</v>
      </c>
      <c r="X15" s="500">
        <v>7</v>
      </c>
      <c r="Y15" s="503" t="e">
        <f t="shared" si="6"/>
        <v>#REF!</v>
      </c>
      <c r="Z15" s="503">
        <f t="shared" si="6"/>
        <v>0</v>
      </c>
      <c r="AA15" s="503" t="e">
        <f t="shared" si="7"/>
        <v>#REF!</v>
      </c>
      <c r="AB15" s="503">
        <f t="shared" si="8"/>
        <v>0</v>
      </c>
    </row>
    <row r="16" spans="1:30" hidden="1" x14ac:dyDescent="0.25">
      <c r="A16" s="500" t="s">
        <v>515</v>
      </c>
      <c r="B16" s="529">
        <f t="shared" si="12"/>
        <v>9.2700000000000005E-3</v>
      </c>
      <c r="C16" s="522" t="e">
        <f>#REF!</f>
        <v>#REF!</v>
      </c>
      <c r="D16" s="522"/>
      <c r="E16" s="530"/>
      <c r="F16" s="493"/>
      <c r="G16" s="8"/>
      <c r="H16" s="8"/>
      <c r="I16" s="169"/>
      <c r="J16" s="169"/>
      <c r="K16" s="169"/>
      <c r="L16" s="169"/>
      <c r="M16" s="493"/>
      <c r="N16" s="493">
        <f t="shared" si="2"/>
        <v>9.2700000000000005E-3</v>
      </c>
      <c r="O16" s="493" t="e">
        <f>#REF!</f>
        <v>#REF!</v>
      </c>
      <c r="P16" s="509">
        <f>'May Price Out'!P16</f>
        <v>0</v>
      </c>
      <c r="Q16" s="502">
        <f t="shared" si="14"/>
        <v>0</v>
      </c>
      <c r="R16" s="502">
        <f t="shared" si="14"/>
        <v>0</v>
      </c>
      <c r="S16" s="169" t="e">
        <f t="shared" si="3"/>
        <v>#REF!</v>
      </c>
      <c r="T16" s="169">
        <f t="shared" si="11"/>
        <v>0</v>
      </c>
      <c r="U16" s="169" t="e">
        <f t="shared" si="4"/>
        <v>#REF!</v>
      </c>
      <c r="V16" s="169">
        <f t="shared" si="5"/>
        <v>0</v>
      </c>
      <c r="X16" s="500" t="s">
        <v>515</v>
      </c>
      <c r="Y16" s="503" t="e">
        <f t="shared" si="6"/>
        <v>#REF!</v>
      </c>
      <c r="Z16" s="503">
        <f t="shared" si="6"/>
        <v>0</v>
      </c>
      <c r="AA16" s="503" t="e">
        <f t="shared" si="7"/>
        <v>#REF!</v>
      </c>
      <c r="AB16" s="503">
        <f t="shared" si="8"/>
        <v>0</v>
      </c>
    </row>
    <row r="17" spans="1:28" hidden="1" x14ac:dyDescent="0.25">
      <c r="A17" s="500" t="s">
        <v>516</v>
      </c>
      <c r="B17" s="529">
        <f t="shared" si="12"/>
        <v>9.2700000000000005E-3</v>
      </c>
      <c r="C17" s="533" t="e">
        <f>#REF!</f>
        <v>#REF!</v>
      </c>
      <c r="D17" s="522"/>
      <c r="E17" s="530"/>
      <c r="F17" s="493"/>
      <c r="G17" s="8"/>
      <c r="H17" s="8"/>
      <c r="I17" s="169"/>
      <c r="J17" s="169"/>
      <c r="K17" s="169"/>
      <c r="L17" s="169"/>
      <c r="M17" s="493"/>
      <c r="N17" s="493">
        <f t="shared" si="2"/>
        <v>9.2700000000000005E-3</v>
      </c>
      <c r="O17" s="504" t="e">
        <f>#REF!</f>
        <v>#REF!</v>
      </c>
      <c r="P17" s="509">
        <f>'May Price Out'!P17</f>
        <v>0</v>
      </c>
      <c r="Q17" s="502">
        <f t="shared" si="14"/>
        <v>0</v>
      </c>
      <c r="R17" s="502">
        <f t="shared" si="14"/>
        <v>0</v>
      </c>
      <c r="S17" s="169" t="e">
        <f t="shared" si="3"/>
        <v>#REF!</v>
      </c>
      <c r="T17" s="169">
        <f t="shared" si="11"/>
        <v>0</v>
      </c>
      <c r="U17" s="169" t="e">
        <f t="shared" si="4"/>
        <v>#REF!</v>
      </c>
      <c r="V17" s="169">
        <f t="shared" si="5"/>
        <v>0</v>
      </c>
      <c r="X17" s="500" t="s">
        <v>516</v>
      </c>
      <c r="Y17" s="503" t="e">
        <f t="shared" si="6"/>
        <v>#REF!</v>
      </c>
      <c r="Z17" s="503">
        <f t="shared" si="6"/>
        <v>0</v>
      </c>
      <c r="AA17" s="503" t="e">
        <f t="shared" si="7"/>
        <v>#REF!</v>
      </c>
      <c r="AB17" s="503">
        <f t="shared" si="8"/>
        <v>0</v>
      </c>
    </row>
    <row r="18" spans="1:28" x14ac:dyDescent="0.25">
      <c r="A18" s="500" t="s">
        <v>56</v>
      </c>
      <c r="B18" s="529">
        <f t="shared" si="12"/>
        <v>9.2700000000000005E-3</v>
      </c>
      <c r="C18" s="522" t="e">
        <f>#REF!</f>
        <v>#REF!</v>
      </c>
      <c r="D18" s="522">
        <f>+'May - Oct Capacity MSC by Class'!G30</f>
        <v>0</v>
      </c>
      <c r="E18" s="530">
        <f>+'Adj Sales Forecast'!F26</f>
        <v>0</v>
      </c>
      <c r="F18" s="493">
        <v>0</v>
      </c>
      <c r="G18" s="8">
        <f t="shared" si="13"/>
        <v>0</v>
      </c>
      <c r="H18" s="8">
        <f t="shared" si="13"/>
        <v>0</v>
      </c>
      <c r="I18" s="169" t="e">
        <f t="shared" si="9"/>
        <v>#REF!</v>
      </c>
      <c r="J18" s="169">
        <f t="shared" si="10"/>
        <v>0</v>
      </c>
      <c r="K18" s="169" t="e">
        <f t="shared" si="0"/>
        <v>#REF!</v>
      </c>
      <c r="L18" s="169">
        <f t="shared" si="1"/>
        <v>0</v>
      </c>
      <c r="M18" s="493"/>
      <c r="N18" s="493">
        <f t="shared" si="2"/>
        <v>9.2700000000000005E-3</v>
      </c>
      <c r="O18" s="493" t="e">
        <f>#REF!</f>
        <v>#REF!</v>
      </c>
      <c r="P18" s="509">
        <f>'May Price Out'!P18</f>
        <v>0</v>
      </c>
      <c r="Q18" s="502">
        <f t="shared" si="14"/>
        <v>0</v>
      </c>
      <c r="R18" s="502">
        <f t="shared" si="14"/>
        <v>0</v>
      </c>
      <c r="S18" s="169" t="e">
        <f t="shared" si="3"/>
        <v>#REF!</v>
      </c>
      <c r="T18" s="169">
        <f t="shared" si="11"/>
        <v>0</v>
      </c>
      <c r="U18" s="169" t="e">
        <f t="shared" si="4"/>
        <v>#REF!</v>
      </c>
      <c r="V18" s="169">
        <f t="shared" si="5"/>
        <v>0</v>
      </c>
      <c r="X18" s="500" t="s">
        <v>56</v>
      </c>
      <c r="Y18" s="503" t="e">
        <f t="shared" si="6"/>
        <v>#REF!</v>
      </c>
      <c r="Z18" s="503">
        <f t="shared" si="6"/>
        <v>0</v>
      </c>
      <c r="AA18" s="503" t="e">
        <f t="shared" si="7"/>
        <v>#REF!</v>
      </c>
      <c r="AB18" s="503">
        <f t="shared" si="8"/>
        <v>0</v>
      </c>
    </row>
    <row r="19" spans="1:28" x14ac:dyDescent="0.25">
      <c r="A19" s="500" t="s">
        <v>517</v>
      </c>
      <c r="B19" s="529">
        <f t="shared" si="12"/>
        <v>9.2700000000000005E-3</v>
      </c>
      <c r="C19" s="522" t="e">
        <f>#REF!</f>
        <v>#REF!</v>
      </c>
      <c r="D19" s="522">
        <f>+'May - Oct Capacity MSC by Class'!G32</f>
        <v>1.7100000000000001E-2</v>
      </c>
      <c r="E19" s="530">
        <f>+'Adj Sales Forecast'!F31</f>
        <v>58568</v>
      </c>
      <c r="F19" s="493">
        <v>0</v>
      </c>
      <c r="G19" s="8">
        <f t="shared" si="13"/>
        <v>51540</v>
      </c>
      <c r="H19" s="8">
        <f t="shared" si="13"/>
        <v>0</v>
      </c>
      <c r="I19" s="169" t="e">
        <f t="shared" si="9"/>
        <v>#REF!</v>
      </c>
      <c r="J19" s="169">
        <f t="shared" si="10"/>
        <v>881</v>
      </c>
      <c r="K19" s="169" t="e">
        <f t="shared" si="0"/>
        <v>#REF!</v>
      </c>
      <c r="L19" s="169">
        <f t="shared" si="1"/>
        <v>478</v>
      </c>
      <c r="M19" s="493"/>
      <c r="N19" s="493">
        <f t="shared" si="2"/>
        <v>9.2700000000000005E-3</v>
      </c>
      <c r="O19" s="493" t="e">
        <f>#REF!</f>
        <v>#REF!</v>
      </c>
      <c r="P19" s="509">
        <f>'May Price Out'!P19</f>
        <v>1.5900000000000001E-2</v>
      </c>
      <c r="Q19" s="502">
        <f t="shared" si="14"/>
        <v>7028</v>
      </c>
      <c r="R19" s="502">
        <f t="shared" si="14"/>
        <v>0</v>
      </c>
      <c r="S19" s="169" t="e">
        <f t="shared" si="3"/>
        <v>#REF!</v>
      </c>
      <c r="T19" s="169">
        <f t="shared" si="11"/>
        <v>112</v>
      </c>
      <c r="U19" s="169" t="e">
        <f t="shared" si="4"/>
        <v>#REF!</v>
      </c>
      <c r="V19" s="169">
        <f t="shared" si="5"/>
        <v>65</v>
      </c>
      <c r="X19" s="500" t="s">
        <v>517</v>
      </c>
      <c r="Y19" s="503" t="e">
        <f t="shared" si="6"/>
        <v>#REF!</v>
      </c>
      <c r="Z19" s="503">
        <f t="shared" si="6"/>
        <v>993</v>
      </c>
      <c r="AA19" s="503" t="e">
        <f t="shared" si="7"/>
        <v>#REF!</v>
      </c>
      <c r="AB19" s="503">
        <f t="shared" si="8"/>
        <v>543</v>
      </c>
    </row>
    <row r="20" spans="1:28" x14ac:dyDescent="0.25">
      <c r="A20" s="493"/>
      <c r="B20" s="522"/>
      <c r="C20" s="522"/>
      <c r="D20" s="522"/>
      <c r="E20" s="522"/>
      <c r="F20" s="493"/>
      <c r="G20" s="493"/>
      <c r="H20" s="493"/>
      <c r="I20" s="493"/>
      <c r="J20" s="493"/>
      <c r="K20" s="493"/>
      <c r="L20" s="493"/>
      <c r="M20" s="493"/>
      <c r="N20" s="493"/>
      <c r="O20" s="493"/>
      <c r="P20" s="493"/>
      <c r="Q20" s="493"/>
      <c r="R20" s="493"/>
      <c r="S20" s="493"/>
      <c r="T20" s="493"/>
      <c r="U20" s="493"/>
      <c r="V20" s="493"/>
      <c r="X20" s="493"/>
      <c r="Y20" s="503"/>
      <c r="Z20" s="503"/>
      <c r="AA20" s="503"/>
      <c r="AB20" s="503"/>
    </row>
    <row r="21" spans="1:28" x14ac:dyDescent="0.25">
      <c r="A21" s="493" t="s">
        <v>518</v>
      </c>
      <c r="B21" s="529">
        <f t="shared" si="12"/>
        <v>9.2700000000000005E-3</v>
      </c>
      <c r="C21" s="522" t="e">
        <f>#REF!</f>
        <v>#REF!</v>
      </c>
      <c r="D21" s="534">
        <f>+'May - Oct Capacity MSC by Class'!G24</f>
        <v>5.9</v>
      </c>
      <c r="E21" s="530">
        <f>+'Adj Sales Forecast'!F16</f>
        <v>48340</v>
      </c>
      <c r="F21" s="8">
        <f>'[100]Adj Demand Forecast '!F6</f>
        <v>102</v>
      </c>
      <c r="G21" s="8">
        <f t="shared" ref="G21:H24" si="15">ROUND(E21*0.88,0)</f>
        <v>42539</v>
      </c>
      <c r="H21" s="8">
        <f t="shared" si="15"/>
        <v>90</v>
      </c>
      <c r="I21" s="169" t="e">
        <f t="shared" ref="I21:J24" si="16">ROUND(C21*G21,0)</f>
        <v>#REF!</v>
      </c>
      <c r="J21" s="169">
        <f t="shared" si="16"/>
        <v>531</v>
      </c>
      <c r="K21" s="169" t="e">
        <f>I21+J21</f>
        <v>#REF!</v>
      </c>
      <c r="L21" s="169">
        <f>ROUND(B21*G21,0)</f>
        <v>394</v>
      </c>
      <c r="M21" s="493"/>
      <c r="N21" s="493">
        <f>$B$8</f>
        <v>9.2700000000000005E-3</v>
      </c>
      <c r="O21" s="493" t="e">
        <f>#REF!</f>
        <v>#REF!</v>
      </c>
      <c r="P21" s="505">
        <f>'May Price Out'!P21</f>
        <v>5.46</v>
      </c>
      <c r="Q21" s="502">
        <f t="shared" ref="Q21:R24" si="17">E21-G21</f>
        <v>5801</v>
      </c>
      <c r="R21" s="502">
        <f t="shared" si="17"/>
        <v>12</v>
      </c>
      <c r="S21" s="169" t="e">
        <f t="shared" ref="S21:T24" si="18">ROUND(O21*Q21,0)</f>
        <v>#REF!</v>
      </c>
      <c r="T21" s="169">
        <f t="shared" si="18"/>
        <v>66</v>
      </c>
      <c r="U21" s="169" t="e">
        <f>S21+T21</f>
        <v>#REF!</v>
      </c>
      <c r="V21" s="169">
        <f>ROUND(N21*Q21,0)</f>
        <v>54</v>
      </c>
      <c r="X21" s="493" t="s">
        <v>518</v>
      </c>
      <c r="Y21" s="503" t="e">
        <f t="shared" ref="Y21:Z24" si="19">I21+S21</f>
        <v>#REF!</v>
      </c>
      <c r="Z21" s="503">
        <f t="shared" si="19"/>
        <v>597</v>
      </c>
      <c r="AA21" s="503" t="e">
        <f>Y21+Z21</f>
        <v>#REF!</v>
      </c>
      <c r="AB21" s="503">
        <f>L21+V21</f>
        <v>448</v>
      </c>
    </row>
    <row r="22" spans="1:28" x14ac:dyDescent="0.25">
      <c r="A22" s="493" t="s">
        <v>303</v>
      </c>
      <c r="B22" s="529">
        <f t="shared" si="12"/>
        <v>9.2700000000000005E-3</v>
      </c>
      <c r="C22" s="522" t="e">
        <f>#REF!</f>
        <v>#REF!</v>
      </c>
      <c r="D22" s="534">
        <f>+'May - Oct Capacity MSC by Class'!G27</f>
        <v>7.48</v>
      </c>
      <c r="E22" s="530">
        <f>+'Adj Sales Forecast'!F22</f>
        <v>160000000</v>
      </c>
      <c r="F22" s="8">
        <f>'[100]Adj Demand Forecast '!F8</f>
        <v>361040</v>
      </c>
      <c r="G22" s="8">
        <f t="shared" si="15"/>
        <v>140800000</v>
      </c>
      <c r="H22" s="8">
        <f t="shared" si="15"/>
        <v>317715</v>
      </c>
      <c r="I22" s="169" t="e">
        <f t="shared" si="16"/>
        <v>#REF!</v>
      </c>
      <c r="J22" s="169">
        <f t="shared" si="16"/>
        <v>2376508</v>
      </c>
      <c r="K22" s="169" t="e">
        <f>I22+J22</f>
        <v>#REF!</v>
      </c>
      <c r="L22" s="169">
        <f>ROUND(B22*G22,0)</f>
        <v>1305216</v>
      </c>
      <c r="M22" s="493"/>
      <c r="N22" s="493">
        <f>$B$8</f>
        <v>9.2700000000000005E-3</v>
      </c>
      <c r="O22" s="493" t="e">
        <f>#REF!</f>
        <v>#REF!</v>
      </c>
      <c r="P22" s="505">
        <f>'May Price Out'!P22</f>
        <v>6.92</v>
      </c>
      <c r="Q22" s="502">
        <f t="shared" si="17"/>
        <v>19200000</v>
      </c>
      <c r="R22" s="502">
        <f t="shared" si="17"/>
        <v>43325</v>
      </c>
      <c r="S22" s="169" t="e">
        <f t="shared" si="18"/>
        <v>#REF!</v>
      </c>
      <c r="T22" s="169">
        <f t="shared" si="18"/>
        <v>299809</v>
      </c>
      <c r="U22" s="169" t="e">
        <f>S22+T22</f>
        <v>#REF!</v>
      </c>
      <c r="V22" s="169">
        <f>ROUND(N22*Q22,0)</f>
        <v>177984</v>
      </c>
      <c r="X22" s="493" t="s">
        <v>303</v>
      </c>
      <c r="Y22" s="503" t="e">
        <f t="shared" si="19"/>
        <v>#REF!</v>
      </c>
      <c r="Z22" s="503">
        <f t="shared" si="19"/>
        <v>2676317</v>
      </c>
      <c r="AA22" s="503" t="e">
        <f>Y22+Z22</f>
        <v>#REF!</v>
      </c>
      <c r="AB22" s="503">
        <f>L22+V22</f>
        <v>1483200</v>
      </c>
    </row>
    <row r="23" spans="1:28" x14ac:dyDescent="0.25">
      <c r="A23" s="493" t="s">
        <v>305</v>
      </c>
      <c r="B23" s="529">
        <f t="shared" si="12"/>
        <v>9.2700000000000005E-3</v>
      </c>
      <c r="C23" s="522" t="e">
        <f>#REF!</f>
        <v>#REF!</v>
      </c>
      <c r="D23" s="534">
        <f>+'May - Oct Capacity MSC by Class'!G29</f>
        <v>4.9400000000000004</v>
      </c>
      <c r="E23" s="530">
        <f>+'Adj Sales Forecast'!F27</f>
        <v>1466000000</v>
      </c>
      <c r="F23" s="8">
        <f>'[100]Adj Demand Forecast '!F14</f>
        <v>4495494.2</v>
      </c>
      <c r="G23" s="8">
        <f t="shared" si="15"/>
        <v>1290080000</v>
      </c>
      <c r="H23" s="8">
        <f t="shared" si="15"/>
        <v>3956035</v>
      </c>
      <c r="I23" s="169" t="e">
        <f t="shared" si="16"/>
        <v>#REF!</v>
      </c>
      <c r="J23" s="169">
        <f t="shared" si="16"/>
        <v>19542813</v>
      </c>
      <c r="K23" s="169" t="e">
        <f>I23+J23</f>
        <v>#REF!</v>
      </c>
      <c r="L23" s="169">
        <f>ROUND(B23*G23,0)</f>
        <v>11959042</v>
      </c>
      <c r="M23" s="493"/>
      <c r="N23" s="493">
        <f>$B$8</f>
        <v>9.2700000000000005E-3</v>
      </c>
      <c r="O23" s="493" t="e">
        <f>#REF!</f>
        <v>#REF!</v>
      </c>
      <c r="P23" s="505">
        <f>'May Price Out'!P23</f>
        <v>4.57</v>
      </c>
      <c r="Q23" s="502">
        <f t="shared" si="17"/>
        <v>175920000</v>
      </c>
      <c r="R23" s="502">
        <f t="shared" si="17"/>
        <v>539459.20000000019</v>
      </c>
      <c r="S23" s="169" t="e">
        <f t="shared" si="18"/>
        <v>#REF!</v>
      </c>
      <c r="T23" s="169">
        <f t="shared" si="18"/>
        <v>2465329</v>
      </c>
      <c r="U23" s="169" t="e">
        <f>S23+T23</f>
        <v>#REF!</v>
      </c>
      <c r="V23" s="169">
        <f>ROUND(N23*Q23,0)</f>
        <v>1630778</v>
      </c>
      <c r="X23" s="493" t="s">
        <v>305</v>
      </c>
      <c r="Y23" s="503" t="e">
        <f t="shared" si="19"/>
        <v>#REF!</v>
      </c>
      <c r="Z23" s="503">
        <f t="shared" si="19"/>
        <v>22008142</v>
      </c>
      <c r="AA23" s="503" t="e">
        <f>Y23+Z23</f>
        <v>#REF!</v>
      </c>
      <c r="AB23" s="503">
        <f>L23+V23</f>
        <v>13589820</v>
      </c>
    </row>
    <row r="24" spans="1:28" x14ac:dyDescent="0.25">
      <c r="A24" s="493" t="s">
        <v>310</v>
      </c>
      <c r="B24" s="529">
        <f t="shared" si="12"/>
        <v>9.2700000000000005E-3</v>
      </c>
      <c r="C24" s="522" t="e">
        <f>#REF!</f>
        <v>#REF!</v>
      </c>
      <c r="D24" s="534">
        <f>+'May - Oct Capacity MSC by Class'!G33</f>
        <v>7.23</v>
      </c>
      <c r="E24" s="530">
        <f>+'Adj Sales Forecast'!F32</f>
        <v>7941432</v>
      </c>
      <c r="F24" s="8">
        <f>'[100]Adj Demand Forecast '!F20</f>
        <v>20000</v>
      </c>
      <c r="G24" s="8">
        <f t="shared" si="15"/>
        <v>6988460</v>
      </c>
      <c r="H24" s="8">
        <f t="shared" si="15"/>
        <v>17600</v>
      </c>
      <c r="I24" s="169" t="e">
        <f t="shared" si="16"/>
        <v>#REF!</v>
      </c>
      <c r="J24" s="169">
        <f t="shared" si="16"/>
        <v>127248</v>
      </c>
      <c r="K24" s="169" t="e">
        <f>I24+J24</f>
        <v>#REF!</v>
      </c>
      <c r="L24" s="169">
        <f>ROUND(B24*G24,0)</f>
        <v>64783</v>
      </c>
      <c r="M24" s="493"/>
      <c r="N24" s="493">
        <f>$B$8</f>
        <v>9.2700000000000005E-3</v>
      </c>
      <c r="O24" s="493" t="e">
        <f>#REF!</f>
        <v>#REF!</v>
      </c>
      <c r="P24" s="505">
        <f>'May Price Out'!P24</f>
        <v>6.69</v>
      </c>
      <c r="Q24" s="502">
        <f t="shared" si="17"/>
        <v>952972</v>
      </c>
      <c r="R24" s="502">
        <f t="shared" si="17"/>
        <v>2400</v>
      </c>
      <c r="S24" s="169" t="e">
        <f t="shared" si="18"/>
        <v>#REF!</v>
      </c>
      <c r="T24" s="169">
        <f t="shared" si="18"/>
        <v>16056</v>
      </c>
      <c r="U24" s="169" t="e">
        <f>S24+T24</f>
        <v>#REF!</v>
      </c>
      <c r="V24" s="169">
        <f>ROUND(N24*Q24,0)</f>
        <v>8834</v>
      </c>
      <c r="X24" s="493" t="s">
        <v>310</v>
      </c>
      <c r="Y24" s="503" t="e">
        <f t="shared" si="19"/>
        <v>#REF!</v>
      </c>
      <c r="Z24" s="503">
        <f t="shared" si="19"/>
        <v>143304</v>
      </c>
      <c r="AA24" s="503" t="e">
        <f>Y24+Z24</f>
        <v>#REF!</v>
      </c>
      <c r="AB24" s="503">
        <f>L24+V24</f>
        <v>73617</v>
      </c>
    </row>
    <row r="25" spans="1:28" x14ac:dyDescent="0.25">
      <c r="A25" s="493"/>
      <c r="B25" s="522"/>
      <c r="C25" s="522"/>
      <c r="D25" s="522"/>
      <c r="E25" s="522"/>
      <c r="F25" s="8"/>
      <c r="G25" s="8"/>
      <c r="H25" s="8"/>
      <c r="I25" s="493"/>
      <c r="J25" s="493"/>
      <c r="K25" s="493"/>
      <c r="L25" s="493"/>
      <c r="M25" s="493"/>
      <c r="N25" s="493"/>
      <c r="O25" s="493"/>
      <c r="P25" s="493"/>
      <c r="Q25" s="493"/>
      <c r="R25" s="8"/>
      <c r="S25" s="169"/>
      <c r="T25" s="169"/>
      <c r="U25" s="169"/>
      <c r="V25" s="169"/>
      <c r="X25" s="493"/>
      <c r="Y25" s="503"/>
      <c r="Z25" s="503"/>
      <c r="AA25" s="503"/>
      <c r="AB25" s="503"/>
    </row>
    <row r="26" spans="1:28" x14ac:dyDescent="0.25">
      <c r="A26" s="493" t="s">
        <v>519</v>
      </c>
      <c r="B26" s="529">
        <f t="shared" si="12"/>
        <v>9.2700000000000005E-3</v>
      </c>
      <c r="C26" s="533" t="e">
        <f>#REF!</f>
        <v>#REF!</v>
      </c>
      <c r="D26" s="534">
        <f>+'May - Oct Capacity MSC by Class'!G45</f>
        <v>8.15</v>
      </c>
      <c r="E26" s="476">
        <f>+'Forecasted TOD kWh by Period'!F35</f>
        <v>73874000</v>
      </c>
      <c r="F26" s="8">
        <f>'[100]Forecasted TOD kW by Period'!K25</f>
        <v>26579</v>
      </c>
      <c r="G26" s="8">
        <f t="shared" ref="G26:G31" si="20">ROUND(E26*0.88,0)</f>
        <v>65009120</v>
      </c>
      <c r="H26" s="8">
        <f>ROUND(F26*0.88,0)</f>
        <v>23390</v>
      </c>
      <c r="I26" s="169" t="e">
        <f t="shared" ref="I26:J31" si="21">ROUND(C26*G26,0)</f>
        <v>#REF!</v>
      </c>
      <c r="J26" s="169">
        <f t="shared" si="21"/>
        <v>190629</v>
      </c>
      <c r="K26" s="169" t="e">
        <f>I26+J26</f>
        <v>#REF!</v>
      </c>
      <c r="L26" s="169">
        <f>ROUND(B26*G26,0)</f>
        <v>602635</v>
      </c>
      <c r="M26" s="493"/>
      <c r="N26" s="493">
        <f t="shared" ref="N26:N31" si="22">$B$8</f>
        <v>9.2700000000000005E-3</v>
      </c>
      <c r="O26" s="504" t="e">
        <f>#REF!</f>
        <v>#REF!</v>
      </c>
      <c r="P26" s="505">
        <f>'May Price Out'!P26</f>
        <v>7.54</v>
      </c>
      <c r="Q26" s="502">
        <f>E26-G26</f>
        <v>8864880</v>
      </c>
      <c r="R26" s="502">
        <f>F26-H26</f>
        <v>3189</v>
      </c>
      <c r="S26" s="169" t="e">
        <f t="shared" ref="S26:T31" si="23">ROUND(O26*Q26,0)</f>
        <v>#REF!</v>
      </c>
      <c r="T26" s="169">
        <f t="shared" si="23"/>
        <v>24045</v>
      </c>
      <c r="U26" s="169" t="e">
        <f t="shared" ref="U26:U31" si="24">S26+T26</f>
        <v>#REF!</v>
      </c>
      <c r="V26" s="169">
        <f t="shared" ref="V26:V31" si="25">ROUND(N26*Q26,0)</f>
        <v>82177</v>
      </c>
      <c r="X26" s="493" t="s">
        <v>519</v>
      </c>
      <c r="Y26" s="503" t="e">
        <f t="shared" ref="Y26:Z31" si="26">I26+S26</f>
        <v>#REF!</v>
      </c>
      <c r="Z26" s="503">
        <f t="shared" si="26"/>
        <v>214674</v>
      </c>
      <c r="AA26" s="503" t="e">
        <f t="shared" ref="AA26:AA31" si="27">Y26+Z26</f>
        <v>#REF!</v>
      </c>
      <c r="AB26" s="503">
        <f t="shared" ref="AB26:AB31" si="28">L26+V26</f>
        <v>684812</v>
      </c>
    </row>
    <row r="27" spans="1:28" x14ac:dyDescent="0.25">
      <c r="A27" s="493" t="s">
        <v>520</v>
      </c>
      <c r="B27" s="529">
        <f t="shared" si="12"/>
        <v>9.2700000000000005E-3</v>
      </c>
      <c r="C27" s="533" t="e">
        <f>#REF!</f>
        <v>#REF!</v>
      </c>
      <c r="D27" s="522"/>
      <c r="E27" s="476">
        <f>+'Forecasted TOD kWh by Period'!F36</f>
        <v>98126000</v>
      </c>
      <c r="F27" s="8"/>
      <c r="G27" s="8">
        <f t="shared" si="20"/>
        <v>86350880</v>
      </c>
      <c r="H27" s="8"/>
      <c r="I27" s="169" t="e">
        <f t="shared" si="21"/>
        <v>#REF!</v>
      </c>
      <c r="J27" s="169">
        <f t="shared" si="21"/>
        <v>0</v>
      </c>
      <c r="K27" s="169" t="e">
        <f>I27+J27</f>
        <v>#REF!</v>
      </c>
      <c r="L27" s="169">
        <f>ROUND(B27*G27,0)</f>
        <v>800473</v>
      </c>
      <c r="M27" s="493"/>
      <c r="N27" s="493">
        <f t="shared" si="22"/>
        <v>9.2700000000000005E-3</v>
      </c>
      <c r="O27" s="504" t="e">
        <f>#REF!</f>
        <v>#REF!</v>
      </c>
      <c r="P27" s="493">
        <f>'May Price Out'!P27</f>
        <v>0</v>
      </c>
      <c r="Q27" s="502">
        <f>E27-G27</f>
        <v>11775120</v>
      </c>
      <c r="R27" s="502"/>
      <c r="S27" s="169" t="e">
        <f t="shared" si="23"/>
        <v>#REF!</v>
      </c>
      <c r="T27" s="169">
        <f t="shared" si="23"/>
        <v>0</v>
      </c>
      <c r="U27" s="169" t="e">
        <f t="shared" si="24"/>
        <v>#REF!</v>
      </c>
      <c r="V27" s="169">
        <f t="shared" si="25"/>
        <v>109155</v>
      </c>
      <c r="X27" s="493" t="s">
        <v>520</v>
      </c>
      <c r="Y27" s="503" t="e">
        <f t="shared" si="26"/>
        <v>#REF!</v>
      </c>
      <c r="Z27" s="503">
        <f t="shared" si="26"/>
        <v>0</v>
      </c>
      <c r="AA27" s="503" t="e">
        <f t="shared" si="27"/>
        <v>#REF!</v>
      </c>
      <c r="AB27" s="503">
        <f t="shared" si="28"/>
        <v>909628</v>
      </c>
    </row>
    <row r="28" spans="1:28" x14ac:dyDescent="0.25">
      <c r="A28" s="493" t="s">
        <v>521</v>
      </c>
      <c r="B28" s="529">
        <f t="shared" si="12"/>
        <v>9.2700000000000005E-3</v>
      </c>
      <c r="C28" s="533" t="e">
        <f>#REF!</f>
        <v>#REF!</v>
      </c>
      <c r="D28" s="534">
        <f>+'May - Oct Capacity MSC by Class'!G46</f>
        <v>5.05</v>
      </c>
      <c r="E28" s="530">
        <f>+'Forecasted TOD kWh by Period'!F39</f>
        <v>758427300</v>
      </c>
      <c r="F28" s="8">
        <f>'[100]Forecasted TOD kW by Period'!K29</f>
        <v>247793</v>
      </c>
      <c r="G28" s="8">
        <f t="shared" si="20"/>
        <v>667416024</v>
      </c>
      <c r="H28" s="8">
        <f>ROUND(F28*0.88,0)</f>
        <v>218058</v>
      </c>
      <c r="I28" s="169" t="e">
        <f t="shared" si="21"/>
        <v>#REF!</v>
      </c>
      <c r="J28" s="169">
        <f t="shared" si="21"/>
        <v>1101193</v>
      </c>
      <c r="K28" s="169" t="e">
        <f>I28+J28</f>
        <v>#REF!</v>
      </c>
      <c r="L28" s="169">
        <f>ROUND(B28*G28,0)</f>
        <v>6186947</v>
      </c>
      <c r="M28" s="493"/>
      <c r="N28" s="493">
        <f t="shared" si="22"/>
        <v>9.2700000000000005E-3</v>
      </c>
      <c r="O28" s="504" t="e">
        <f>#REF!</f>
        <v>#REF!</v>
      </c>
      <c r="P28" s="505">
        <f>'May Price Out'!P28</f>
        <v>4.68</v>
      </c>
      <c r="Q28" s="502">
        <f>E28-G28</f>
        <v>91011276</v>
      </c>
      <c r="R28" s="502">
        <f>F28-H28</f>
        <v>29735</v>
      </c>
      <c r="S28" s="169" t="e">
        <f t="shared" si="23"/>
        <v>#REF!</v>
      </c>
      <c r="T28" s="169">
        <f t="shared" si="23"/>
        <v>139160</v>
      </c>
      <c r="U28" s="169" t="e">
        <f t="shared" si="24"/>
        <v>#REF!</v>
      </c>
      <c r="V28" s="169">
        <f t="shared" si="25"/>
        <v>843675</v>
      </c>
      <c r="X28" s="493" t="s">
        <v>521</v>
      </c>
      <c r="Y28" s="503" t="e">
        <f t="shared" si="26"/>
        <v>#REF!</v>
      </c>
      <c r="Z28" s="503">
        <f t="shared" si="26"/>
        <v>1240353</v>
      </c>
      <c r="AA28" s="503" t="e">
        <f t="shared" si="27"/>
        <v>#REF!</v>
      </c>
      <c r="AB28" s="503">
        <f t="shared" si="28"/>
        <v>7030622</v>
      </c>
    </row>
    <row r="29" spans="1:28" x14ac:dyDescent="0.25">
      <c r="A29" s="493" t="s">
        <v>522</v>
      </c>
      <c r="B29" s="529">
        <f t="shared" si="12"/>
        <v>9.2700000000000005E-3</v>
      </c>
      <c r="C29" s="533" t="e">
        <f>#REF!</f>
        <v>#REF!</v>
      </c>
      <c r="D29" s="522"/>
      <c r="E29" s="530">
        <f>+'Forecasted TOD kWh by Period'!F40</f>
        <v>834572700</v>
      </c>
      <c r="F29" s="8"/>
      <c r="G29" s="8">
        <f t="shared" si="20"/>
        <v>734423976</v>
      </c>
      <c r="H29" s="8"/>
      <c r="I29" s="169" t="e">
        <f t="shared" si="21"/>
        <v>#REF!</v>
      </c>
      <c r="J29" s="169">
        <f t="shared" si="21"/>
        <v>0</v>
      </c>
      <c r="K29" s="169" t="e">
        <f>I29+J29</f>
        <v>#REF!</v>
      </c>
      <c r="L29" s="169">
        <f>ROUND(B29*G29,0)</f>
        <v>6808110</v>
      </c>
      <c r="M29" s="493"/>
      <c r="N29" s="493">
        <f t="shared" si="22"/>
        <v>9.2700000000000005E-3</v>
      </c>
      <c r="O29" s="504" t="e">
        <f>#REF!</f>
        <v>#REF!</v>
      </c>
      <c r="P29" s="493">
        <f>'May Price Out'!P29</f>
        <v>0</v>
      </c>
      <c r="Q29" s="502">
        <f>E29-G29</f>
        <v>100148724</v>
      </c>
      <c r="R29" s="502"/>
      <c r="S29" s="169" t="e">
        <f t="shared" si="23"/>
        <v>#REF!</v>
      </c>
      <c r="T29" s="169">
        <f t="shared" si="23"/>
        <v>0</v>
      </c>
      <c r="U29" s="169" t="e">
        <f t="shared" si="24"/>
        <v>#REF!</v>
      </c>
      <c r="V29" s="169">
        <f t="shared" si="25"/>
        <v>928379</v>
      </c>
      <c r="X29" s="493" t="s">
        <v>522</v>
      </c>
      <c r="Y29" s="503" t="e">
        <f t="shared" si="26"/>
        <v>#REF!</v>
      </c>
      <c r="Z29" s="503">
        <f t="shared" si="26"/>
        <v>0</v>
      </c>
      <c r="AA29" s="503" t="e">
        <f t="shared" si="27"/>
        <v>#REF!</v>
      </c>
      <c r="AB29" s="503">
        <f t="shared" si="28"/>
        <v>7736489</v>
      </c>
    </row>
    <row r="30" spans="1:28" x14ac:dyDescent="0.25">
      <c r="A30" s="493" t="s">
        <v>523</v>
      </c>
      <c r="B30" s="529">
        <f t="shared" si="12"/>
        <v>9.2700000000000005E-3</v>
      </c>
      <c r="C30" s="533" t="e">
        <f>#REF!</f>
        <v>#REF!</v>
      </c>
      <c r="D30" s="534">
        <f>+'May - Oct Capacity MSC by Class'!G47</f>
        <v>7.69</v>
      </c>
      <c r="E30" s="476">
        <f>+'Adj Sales Forecast'!F33</f>
        <v>0</v>
      </c>
      <c r="F30" s="8">
        <f>'[100]Adj Demand Forecast '!B21</f>
        <v>0</v>
      </c>
      <c r="G30" s="8">
        <f t="shared" si="20"/>
        <v>0</v>
      </c>
      <c r="H30" s="8">
        <f>ROUND(F30*0.88,0)</f>
        <v>0</v>
      </c>
      <c r="I30" s="169" t="e">
        <f t="shared" si="21"/>
        <v>#REF!</v>
      </c>
      <c r="J30" s="169">
        <f t="shared" si="21"/>
        <v>0</v>
      </c>
      <c r="K30" s="169" t="e">
        <f>I30+J30</f>
        <v>#REF!</v>
      </c>
      <c r="L30" s="169">
        <f>ROUND(B30*G30,0)</f>
        <v>0</v>
      </c>
      <c r="M30" s="493"/>
      <c r="N30" s="493">
        <f t="shared" si="22"/>
        <v>9.2700000000000005E-3</v>
      </c>
      <c r="O30" s="504" t="e">
        <f>#REF!</f>
        <v>#REF!</v>
      </c>
      <c r="P30" s="505">
        <f>'May Price Out'!P30</f>
        <v>7.12</v>
      </c>
      <c r="Q30" s="65">
        <f>E30-G30</f>
        <v>0</v>
      </c>
      <c r="R30" s="65">
        <f>F30-H30</f>
        <v>0</v>
      </c>
      <c r="S30" s="169" t="e">
        <f t="shared" si="23"/>
        <v>#REF!</v>
      </c>
      <c r="T30" s="169">
        <f t="shared" si="23"/>
        <v>0</v>
      </c>
      <c r="U30" s="169" t="e">
        <f t="shared" si="24"/>
        <v>#REF!</v>
      </c>
      <c r="V30" s="169">
        <f t="shared" si="25"/>
        <v>0</v>
      </c>
      <c r="X30" s="493" t="s">
        <v>523</v>
      </c>
      <c r="Y30" s="503" t="e">
        <f t="shared" si="26"/>
        <v>#REF!</v>
      </c>
      <c r="Z30" s="503">
        <f t="shared" si="26"/>
        <v>0</v>
      </c>
      <c r="AA30" s="503" t="e">
        <f t="shared" si="27"/>
        <v>#REF!</v>
      </c>
      <c r="AB30" s="503">
        <f t="shared" si="28"/>
        <v>0</v>
      </c>
    </row>
    <row r="31" spans="1:28" x14ac:dyDescent="0.25">
      <c r="A31" s="493" t="s">
        <v>524</v>
      </c>
      <c r="B31" s="529">
        <f t="shared" si="12"/>
        <v>9.2700000000000005E-3</v>
      </c>
      <c r="C31" s="533" t="e">
        <f>#REF!</f>
        <v>#REF!</v>
      </c>
      <c r="D31" s="522"/>
      <c r="E31" s="535">
        <v>0</v>
      </c>
      <c r="F31" s="8"/>
      <c r="G31" s="8">
        <f t="shared" si="20"/>
        <v>0</v>
      </c>
      <c r="H31" s="8"/>
      <c r="I31" s="169" t="e">
        <f t="shared" si="21"/>
        <v>#REF!</v>
      </c>
      <c r="J31" s="169">
        <f t="shared" si="21"/>
        <v>0</v>
      </c>
      <c r="K31" s="169" t="e">
        <f>ROUND(D31*I31,0)</f>
        <v>#REF!</v>
      </c>
      <c r="L31" s="169">
        <f>ROUND(E31*J31,0)</f>
        <v>0</v>
      </c>
      <c r="M31" s="493"/>
      <c r="N31" s="493">
        <f t="shared" si="22"/>
        <v>9.2700000000000005E-3</v>
      </c>
      <c r="O31" s="504" t="e">
        <f>#REF!</f>
        <v>#REF!</v>
      </c>
      <c r="P31" s="493">
        <f>'May Price Out'!P31</f>
        <v>0</v>
      </c>
      <c r="Q31" s="65">
        <v>0</v>
      </c>
      <c r="R31" s="65">
        <v>0</v>
      </c>
      <c r="S31" s="169" t="e">
        <f t="shared" si="23"/>
        <v>#REF!</v>
      </c>
      <c r="T31" s="169">
        <f t="shared" si="23"/>
        <v>0</v>
      </c>
      <c r="U31" s="169" t="e">
        <f t="shared" si="24"/>
        <v>#REF!</v>
      </c>
      <c r="V31" s="169">
        <f t="shared" si="25"/>
        <v>0</v>
      </c>
      <c r="X31" s="493" t="s">
        <v>524</v>
      </c>
      <c r="Y31" s="503" t="e">
        <f t="shared" si="26"/>
        <v>#REF!</v>
      </c>
      <c r="Z31" s="503">
        <f t="shared" si="26"/>
        <v>0</v>
      </c>
      <c r="AA31" s="503" t="e">
        <f t="shared" si="27"/>
        <v>#REF!</v>
      </c>
      <c r="AB31" s="503">
        <f t="shared" si="28"/>
        <v>0</v>
      </c>
    </row>
    <row r="32" spans="1:28" x14ac:dyDescent="0.25">
      <c r="A32" s="493"/>
      <c r="B32" s="533"/>
      <c r="C32" s="533"/>
      <c r="D32" s="522"/>
      <c r="E32" s="522"/>
      <c r="F32" s="8"/>
      <c r="G32" s="8"/>
      <c r="H32" s="8"/>
      <c r="I32" s="493"/>
      <c r="J32" s="493"/>
      <c r="K32" s="493"/>
      <c r="L32" s="493"/>
      <c r="M32" s="493"/>
      <c r="N32" s="493"/>
      <c r="O32" s="504"/>
      <c r="P32" s="493"/>
      <c r="Q32" s="493"/>
      <c r="R32" s="8"/>
      <c r="S32" s="493"/>
      <c r="T32" s="493"/>
      <c r="U32" s="493"/>
      <c r="V32" s="493"/>
      <c r="X32" s="493"/>
      <c r="Y32" s="503"/>
      <c r="Z32" s="503"/>
      <c r="AA32" s="503"/>
      <c r="AB32" s="503"/>
    </row>
    <row r="33" spans="1:28" x14ac:dyDescent="0.25">
      <c r="A33" s="493" t="s">
        <v>525</v>
      </c>
      <c r="B33" s="529">
        <f t="shared" si="12"/>
        <v>9.2700000000000005E-3</v>
      </c>
      <c r="C33" s="533" t="e">
        <f>#REF!</f>
        <v>#REF!</v>
      </c>
      <c r="D33" s="534">
        <f>+'May - Oct Capacity MSC by Class'!G24</f>
        <v>5.9</v>
      </c>
      <c r="E33" s="530">
        <f>+'Forecasted TOD kWh by Period'!F8</f>
        <v>3919500</v>
      </c>
      <c r="F33" s="8">
        <f>'[100]Forecasted TOD kW by Period'!K5</f>
        <v>17512</v>
      </c>
      <c r="G33" s="8">
        <f t="shared" ref="G33:G42" si="29">ROUND(E33*0.88,0)</f>
        <v>3449160</v>
      </c>
      <c r="H33" s="8">
        <f>ROUND(F33*0.88,0)</f>
        <v>15411</v>
      </c>
      <c r="I33" s="169" t="e">
        <f t="shared" ref="I33:J42" si="30">ROUND(C33*G33,0)</f>
        <v>#REF!</v>
      </c>
      <c r="J33" s="169">
        <f t="shared" si="30"/>
        <v>90925</v>
      </c>
      <c r="K33" s="169" t="e">
        <f t="shared" ref="K33:K42" si="31">I33+J33</f>
        <v>#REF!</v>
      </c>
      <c r="L33" s="169">
        <f t="shared" ref="L33:L42" si="32">ROUND(B33*G33,0)</f>
        <v>31974</v>
      </c>
      <c r="M33" s="493"/>
      <c r="N33" s="493">
        <f t="shared" ref="N33:N42" si="33">$B$8</f>
        <v>9.2700000000000005E-3</v>
      </c>
      <c r="O33" s="504" t="e">
        <f>#REF!</f>
        <v>#REF!</v>
      </c>
      <c r="P33" s="505">
        <f>'May Price Out'!P33</f>
        <v>5.46</v>
      </c>
      <c r="Q33" s="502">
        <f t="shared" ref="Q33:Q42" si="34">E33-G33</f>
        <v>470340</v>
      </c>
      <c r="R33" s="502">
        <f>F33-H33</f>
        <v>2101</v>
      </c>
      <c r="S33" s="169" t="e">
        <f t="shared" ref="S33:T42" si="35">ROUND(O33*Q33,0)</f>
        <v>#REF!</v>
      </c>
      <c r="T33" s="169">
        <f t="shared" si="35"/>
        <v>11471</v>
      </c>
      <c r="U33" s="169" t="e">
        <f t="shared" ref="U33:U42" si="36">S33+T33</f>
        <v>#REF!</v>
      </c>
      <c r="V33" s="169">
        <f t="shared" ref="V33:V42" si="37">ROUND(N33*Q33,0)</f>
        <v>4360</v>
      </c>
      <c r="X33" s="493" t="s">
        <v>525</v>
      </c>
      <c r="Y33" s="503" t="e">
        <f t="shared" ref="Y33:Z42" si="38">I33+S33</f>
        <v>#REF!</v>
      </c>
      <c r="Z33" s="503">
        <f t="shared" si="38"/>
        <v>102396</v>
      </c>
      <c r="AA33" s="503" t="e">
        <f t="shared" ref="AA33:AA42" si="39">Y33+Z33</f>
        <v>#REF!</v>
      </c>
      <c r="AB33" s="503">
        <f t="shared" ref="AB33:AB42" si="40">L33+V33</f>
        <v>36334</v>
      </c>
    </row>
    <row r="34" spans="1:28" x14ac:dyDescent="0.25">
      <c r="A34" s="493" t="s">
        <v>526</v>
      </c>
      <c r="B34" s="529">
        <f t="shared" si="12"/>
        <v>9.2700000000000005E-3</v>
      </c>
      <c r="C34" s="533" t="e">
        <f>#REF!</f>
        <v>#REF!</v>
      </c>
      <c r="D34" s="522"/>
      <c r="E34" s="530">
        <f>+'Forecasted TOD kWh by Period'!F9</f>
        <v>5080500</v>
      </c>
      <c r="F34" s="8"/>
      <c r="G34" s="8">
        <f t="shared" si="29"/>
        <v>4470840</v>
      </c>
      <c r="H34" s="8"/>
      <c r="I34" s="169" t="e">
        <f t="shared" si="30"/>
        <v>#REF!</v>
      </c>
      <c r="J34" s="169">
        <f t="shared" si="30"/>
        <v>0</v>
      </c>
      <c r="K34" s="169" t="e">
        <f t="shared" si="31"/>
        <v>#REF!</v>
      </c>
      <c r="L34" s="169">
        <f t="shared" si="32"/>
        <v>41445</v>
      </c>
      <c r="M34" s="493"/>
      <c r="N34" s="493">
        <f t="shared" si="33"/>
        <v>9.2700000000000005E-3</v>
      </c>
      <c r="O34" s="504" t="e">
        <f>#REF!</f>
        <v>#REF!</v>
      </c>
      <c r="P34" s="493">
        <f>'May Price Out'!P34</f>
        <v>0</v>
      </c>
      <c r="Q34" s="502">
        <f t="shared" si="34"/>
        <v>609660</v>
      </c>
      <c r="R34" s="502"/>
      <c r="S34" s="169" t="e">
        <f t="shared" si="35"/>
        <v>#REF!</v>
      </c>
      <c r="T34" s="169">
        <f t="shared" si="35"/>
        <v>0</v>
      </c>
      <c r="U34" s="169" t="e">
        <f t="shared" si="36"/>
        <v>#REF!</v>
      </c>
      <c r="V34" s="169">
        <f t="shared" si="37"/>
        <v>5652</v>
      </c>
      <c r="X34" s="493" t="s">
        <v>526</v>
      </c>
      <c r="Y34" s="503" t="e">
        <f t="shared" si="38"/>
        <v>#REF!</v>
      </c>
      <c r="Z34" s="503">
        <f t="shared" si="38"/>
        <v>0</v>
      </c>
      <c r="AA34" s="503" t="e">
        <f t="shared" si="39"/>
        <v>#REF!</v>
      </c>
      <c r="AB34" s="503">
        <f t="shared" si="40"/>
        <v>47097</v>
      </c>
    </row>
    <row r="35" spans="1:28" x14ac:dyDescent="0.25">
      <c r="A35" s="493" t="s">
        <v>527</v>
      </c>
      <c r="B35" s="529">
        <f t="shared" si="12"/>
        <v>9.2700000000000005E-3</v>
      </c>
      <c r="C35" s="533" t="e">
        <f>#REF!</f>
        <v>#REF!</v>
      </c>
      <c r="D35" s="534">
        <f>+'May - Oct Capacity MSC by Class'!G28</f>
        <v>5.0199999999999996</v>
      </c>
      <c r="E35" s="530">
        <f>+'Forecasted TOD kWh by Period'!F12</f>
        <v>11362000</v>
      </c>
      <c r="F35" s="8">
        <f>'[100]Forecasted TOD kW by Period'!K9</f>
        <v>25962</v>
      </c>
      <c r="G35" s="8">
        <f t="shared" si="29"/>
        <v>9998560</v>
      </c>
      <c r="H35" s="8">
        <f>ROUND(F35*0.88,0)</f>
        <v>22847</v>
      </c>
      <c r="I35" s="169" t="e">
        <f t="shared" si="30"/>
        <v>#REF!</v>
      </c>
      <c r="J35" s="169">
        <f t="shared" si="30"/>
        <v>114692</v>
      </c>
      <c r="K35" s="169" t="e">
        <f t="shared" si="31"/>
        <v>#REF!</v>
      </c>
      <c r="L35" s="169">
        <f t="shared" si="32"/>
        <v>92687</v>
      </c>
      <c r="M35" s="493"/>
      <c r="N35" s="493">
        <f t="shared" si="33"/>
        <v>9.2700000000000005E-3</v>
      </c>
      <c r="O35" s="504" t="e">
        <f>#REF!</f>
        <v>#REF!</v>
      </c>
      <c r="P35" s="505">
        <f>'May Price Out'!P35</f>
        <v>4.6500000000000004</v>
      </c>
      <c r="Q35" s="502">
        <f t="shared" si="34"/>
        <v>1363440</v>
      </c>
      <c r="R35" s="502">
        <f>F35-H35</f>
        <v>3115</v>
      </c>
      <c r="S35" s="169" t="e">
        <f t="shared" si="35"/>
        <v>#REF!</v>
      </c>
      <c r="T35" s="169">
        <f t="shared" si="35"/>
        <v>14485</v>
      </c>
      <c r="U35" s="169" t="e">
        <f t="shared" si="36"/>
        <v>#REF!</v>
      </c>
      <c r="V35" s="169">
        <f t="shared" si="37"/>
        <v>12639</v>
      </c>
      <c r="X35" s="493" t="s">
        <v>527</v>
      </c>
      <c r="Y35" s="503" t="e">
        <f t="shared" si="38"/>
        <v>#REF!</v>
      </c>
      <c r="Z35" s="503">
        <f t="shared" si="38"/>
        <v>129177</v>
      </c>
      <c r="AA35" s="503" t="e">
        <f t="shared" si="39"/>
        <v>#REF!</v>
      </c>
      <c r="AB35" s="503">
        <f t="shared" si="40"/>
        <v>105326</v>
      </c>
    </row>
    <row r="36" spans="1:28" x14ac:dyDescent="0.25">
      <c r="A36" s="493" t="s">
        <v>528</v>
      </c>
      <c r="B36" s="529">
        <f t="shared" si="12"/>
        <v>9.2700000000000005E-3</v>
      </c>
      <c r="C36" s="533" t="e">
        <f>#REF!</f>
        <v>#REF!</v>
      </c>
      <c r="D36" s="522"/>
      <c r="E36" s="530">
        <f>+'Forecasted TOD kWh by Period'!F13</f>
        <v>14638000</v>
      </c>
      <c r="F36" s="8"/>
      <c r="G36" s="8">
        <f t="shared" si="29"/>
        <v>12881440</v>
      </c>
      <c r="H36" s="8"/>
      <c r="I36" s="169" t="e">
        <f t="shared" si="30"/>
        <v>#REF!</v>
      </c>
      <c r="J36" s="169">
        <f t="shared" si="30"/>
        <v>0</v>
      </c>
      <c r="K36" s="169" t="e">
        <f t="shared" si="31"/>
        <v>#REF!</v>
      </c>
      <c r="L36" s="169">
        <f t="shared" si="32"/>
        <v>119411</v>
      </c>
      <c r="M36" s="493"/>
      <c r="N36" s="493">
        <f t="shared" si="33"/>
        <v>9.2700000000000005E-3</v>
      </c>
      <c r="O36" s="504" t="e">
        <f>#REF!</f>
        <v>#REF!</v>
      </c>
      <c r="P36" s="493">
        <f>'May Price Out'!P36</f>
        <v>0</v>
      </c>
      <c r="Q36" s="502">
        <f t="shared" si="34"/>
        <v>1756560</v>
      </c>
      <c r="R36" s="502"/>
      <c r="S36" s="169" t="e">
        <f t="shared" si="35"/>
        <v>#REF!</v>
      </c>
      <c r="T36" s="169">
        <f t="shared" si="35"/>
        <v>0</v>
      </c>
      <c r="U36" s="169" t="e">
        <f t="shared" si="36"/>
        <v>#REF!</v>
      </c>
      <c r="V36" s="169">
        <f t="shared" si="37"/>
        <v>16283</v>
      </c>
      <c r="X36" s="493" t="s">
        <v>528</v>
      </c>
      <c r="Y36" s="503" t="e">
        <f t="shared" si="38"/>
        <v>#REF!</v>
      </c>
      <c r="Z36" s="503">
        <f t="shared" si="38"/>
        <v>0</v>
      </c>
      <c r="AA36" s="503" t="e">
        <f t="shared" si="39"/>
        <v>#REF!</v>
      </c>
      <c r="AB36" s="503">
        <f t="shared" si="40"/>
        <v>135694</v>
      </c>
    </row>
    <row r="37" spans="1:28" x14ac:dyDescent="0.25">
      <c r="A37" s="493" t="s">
        <v>529</v>
      </c>
      <c r="B37" s="529">
        <f t="shared" si="12"/>
        <v>9.2700000000000005E-3</v>
      </c>
      <c r="C37" s="533" t="e">
        <f>#REF!</f>
        <v>#REF!</v>
      </c>
      <c r="D37" s="534">
        <f>+'May - Oct Capacity MSC by Class'!G31</f>
        <v>5.59</v>
      </c>
      <c r="E37" s="530">
        <f>+'Forecasted TOD kWh by Period'!F16</f>
        <v>352704000</v>
      </c>
      <c r="F37" s="8">
        <f>'[100]Forecasted TOD kW by Period'!K13</f>
        <v>1509600</v>
      </c>
      <c r="G37" s="8">
        <f t="shared" si="29"/>
        <v>310379520</v>
      </c>
      <c r="H37" s="8">
        <f>ROUND(F37*0.88,0)</f>
        <v>1328448</v>
      </c>
      <c r="I37" s="169" t="e">
        <f t="shared" si="30"/>
        <v>#REF!</v>
      </c>
      <c r="J37" s="169">
        <f t="shared" si="30"/>
        <v>7426024</v>
      </c>
      <c r="K37" s="169" t="e">
        <f t="shared" si="31"/>
        <v>#REF!</v>
      </c>
      <c r="L37" s="169">
        <f t="shared" si="32"/>
        <v>2877218</v>
      </c>
      <c r="M37" s="493"/>
      <c r="N37" s="493">
        <f t="shared" si="33"/>
        <v>9.2700000000000005E-3</v>
      </c>
      <c r="O37" s="504" t="e">
        <f>#REF!</f>
        <v>#REF!</v>
      </c>
      <c r="P37" s="505">
        <f>'May Price Out'!P37</f>
        <v>5.17</v>
      </c>
      <c r="Q37" s="502">
        <f t="shared" si="34"/>
        <v>42324480</v>
      </c>
      <c r="R37" s="502">
        <f>F37-H37</f>
        <v>181152</v>
      </c>
      <c r="S37" s="169" t="e">
        <f t="shared" si="35"/>
        <v>#REF!</v>
      </c>
      <c r="T37" s="169">
        <f t="shared" si="35"/>
        <v>936556</v>
      </c>
      <c r="U37" s="169" t="e">
        <f t="shared" si="36"/>
        <v>#REF!</v>
      </c>
      <c r="V37" s="169">
        <f t="shared" si="37"/>
        <v>392348</v>
      </c>
      <c r="X37" s="493" t="s">
        <v>529</v>
      </c>
      <c r="Y37" s="503" t="e">
        <f t="shared" si="38"/>
        <v>#REF!</v>
      </c>
      <c r="Z37" s="503">
        <f t="shared" si="38"/>
        <v>8362580</v>
      </c>
      <c r="AA37" s="503" t="e">
        <f t="shared" si="39"/>
        <v>#REF!</v>
      </c>
      <c r="AB37" s="503">
        <f t="shared" si="40"/>
        <v>3269566</v>
      </c>
    </row>
    <row r="38" spans="1:28" x14ac:dyDescent="0.25">
      <c r="A38" s="493" t="s">
        <v>530</v>
      </c>
      <c r="B38" s="529">
        <f t="shared" si="12"/>
        <v>9.2700000000000005E-3</v>
      </c>
      <c r="C38" s="533" t="e">
        <f>#REF!</f>
        <v>#REF!</v>
      </c>
      <c r="D38" s="522"/>
      <c r="E38" s="530">
        <f>+'Forecasted TOD kWh by Period'!F17</f>
        <v>351296000</v>
      </c>
      <c r="F38" s="8"/>
      <c r="G38" s="8">
        <f t="shared" si="29"/>
        <v>309140480</v>
      </c>
      <c r="H38" s="8"/>
      <c r="I38" s="169" t="e">
        <f t="shared" si="30"/>
        <v>#REF!</v>
      </c>
      <c r="J38" s="169">
        <f t="shared" si="30"/>
        <v>0</v>
      </c>
      <c r="K38" s="169" t="e">
        <f t="shared" si="31"/>
        <v>#REF!</v>
      </c>
      <c r="L38" s="169">
        <f t="shared" si="32"/>
        <v>2865732</v>
      </c>
      <c r="M38" s="493"/>
      <c r="N38" s="493">
        <f t="shared" si="33"/>
        <v>9.2700000000000005E-3</v>
      </c>
      <c r="O38" s="504" t="e">
        <f>#REF!</f>
        <v>#REF!</v>
      </c>
      <c r="P38" s="493">
        <f>'May Price Out'!P38</f>
        <v>0</v>
      </c>
      <c r="Q38" s="502">
        <f t="shared" si="34"/>
        <v>42155520</v>
      </c>
      <c r="R38" s="502"/>
      <c r="S38" s="169" t="e">
        <f t="shared" si="35"/>
        <v>#REF!</v>
      </c>
      <c r="T38" s="169">
        <f t="shared" si="35"/>
        <v>0</v>
      </c>
      <c r="U38" s="169" t="e">
        <f t="shared" si="36"/>
        <v>#REF!</v>
      </c>
      <c r="V38" s="169">
        <f t="shared" si="37"/>
        <v>390782</v>
      </c>
      <c r="X38" s="493" t="s">
        <v>530</v>
      </c>
      <c r="Y38" s="503" t="e">
        <f t="shared" si="38"/>
        <v>#REF!</v>
      </c>
      <c r="Z38" s="503">
        <f t="shared" si="38"/>
        <v>0</v>
      </c>
      <c r="AA38" s="503" t="e">
        <f t="shared" si="39"/>
        <v>#REF!</v>
      </c>
      <c r="AB38" s="503">
        <f t="shared" si="40"/>
        <v>3256514</v>
      </c>
    </row>
    <row r="39" spans="1:28" x14ac:dyDescent="0.25">
      <c r="A39" s="493" t="s">
        <v>531</v>
      </c>
      <c r="B39" s="529">
        <f t="shared" si="12"/>
        <v>9.2700000000000005E-3</v>
      </c>
      <c r="C39" s="533" t="e">
        <f>#REF!</f>
        <v>#REF!</v>
      </c>
      <c r="D39" s="534">
        <f>+'May - Oct Capacity MSC by Class'!G34</f>
        <v>9.07</v>
      </c>
      <c r="E39" s="530">
        <f>+'Forecasted TOD kWh by Period'!F20</f>
        <v>4801500</v>
      </c>
      <c r="F39" s="8">
        <f>'[100]Forecasted TOD kW by Period'!K17</f>
        <v>21995</v>
      </c>
      <c r="G39" s="8">
        <f t="shared" si="29"/>
        <v>4225320</v>
      </c>
      <c r="H39" s="8">
        <f>ROUND(F39*0.88,0)</f>
        <v>19356</v>
      </c>
      <c r="I39" s="169" t="e">
        <f t="shared" si="30"/>
        <v>#REF!</v>
      </c>
      <c r="J39" s="169">
        <f t="shared" si="30"/>
        <v>175559</v>
      </c>
      <c r="K39" s="169" t="e">
        <f t="shared" si="31"/>
        <v>#REF!</v>
      </c>
      <c r="L39" s="169">
        <f t="shared" si="32"/>
        <v>39169</v>
      </c>
      <c r="M39" s="493"/>
      <c r="N39" s="493">
        <f t="shared" si="33"/>
        <v>9.2700000000000005E-3</v>
      </c>
      <c r="O39" s="504" t="e">
        <f>#REF!</f>
        <v>#REF!</v>
      </c>
      <c r="P39" s="505">
        <f>'May Price Out'!P39</f>
        <v>8.4</v>
      </c>
      <c r="Q39" s="502">
        <f t="shared" si="34"/>
        <v>576180</v>
      </c>
      <c r="R39" s="502">
        <f>F39-H39</f>
        <v>2639</v>
      </c>
      <c r="S39" s="169" t="e">
        <f t="shared" si="35"/>
        <v>#REF!</v>
      </c>
      <c r="T39" s="169">
        <f t="shared" si="35"/>
        <v>22168</v>
      </c>
      <c r="U39" s="169" t="e">
        <f t="shared" si="36"/>
        <v>#REF!</v>
      </c>
      <c r="V39" s="169">
        <f t="shared" si="37"/>
        <v>5341</v>
      </c>
      <c r="X39" s="493" t="s">
        <v>531</v>
      </c>
      <c r="Y39" s="503" t="e">
        <f t="shared" si="38"/>
        <v>#REF!</v>
      </c>
      <c r="Z39" s="503">
        <f t="shared" si="38"/>
        <v>197727</v>
      </c>
      <c r="AA39" s="503" t="e">
        <f t="shared" si="39"/>
        <v>#REF!</v>
      </c>
      <c r="AB39" s="503">
        <f t="shared" si="40"/>
        <v>44510</v>
      </c>
    </row>
    <row r="40" spans="1:28" x14ac:dyDescent="0.25">
      <c r="A40" s="493" t="s">
        <v>532</v>
      </c>
      <c r="B40" s="529">
        <f t="shared" si="12"/>
        <v>9.2700000000000005E-3</v>
      </c>
      <c r="C40" s="533" t="e">
        <f>#REF!</f>
        <v>#REF!</v>
      </c>
      <c r="D40" s="522"/>
      <c r="E40" s="530">
        <f>+'Forecasted TOD kWh by Period'!F21</f>
        <v>6198500</v>
      </c>
      <c r="F40" s="8"/>
      <c r="G40" s="8">
        <f t="shared" si="29"/>
        <v>5454680</v>
      </c>
      <c r="H40" s="8"/>
      <c r="I40" s="169" t="e">
        <f t="shared" si="30"/>
        <v>#REF!</v>
      </c>
      <c r="J40" s="169">
        <f t="shared" si="30"/>
        <v>0</v>
      </c>
      <c r="K40" s="169" t="e">
        <f t="shared" si="31"/>
        <v>#REF!</v>
      </c>
      <c r="L40" s="169">
        <f t="shared" si="32"/>
        <v>50565</v>
      </c>
      <c r="M40" s="493"/>
      <c r="N40" s="493">
        <f t="shared" si="33"/>
        <v>9.2700000000000005E-3</v>
      </c>
      <c r="O40" s="504" t="e">
        <f>#REF!</f>
        <v>#REF!</v>
      </c>
      <c r="P40" s="493">
        <f>'May Price Out'!P40</f>
        <v>0</v>
      </c>
      <c r="Q40" s="502">
        <f t="shared" si="34"/>
        <v>743820</v>
      </c>
      <c r="R40" s="502"/>
      <c r="S40" s="169" t="e">
        <f t="shared" si="35"/>
        <v>#REF!</v>
      </c>
      <c r="T40" s="169">
        <f t="shared" si="35"/>
        <v>0</v>
      </c>
      <c r="U40" s="169" t="e">
        <f t="shared" si="36"/>
        <v>#REF!</v>
      </c>
      <c r="V40" s="169">
        <f t="shared" si="37"/>
        <v>6895</v>
      </c>
      <c r="X40" s="493" t="s">
        <v>532</v>
      </c>
      <c r="Y40" s="503" t="e">
        <f t="shared" si="38"/>
        <v>#REF!</v>
      </c>
      <c r="Z40" s="503">
        <f t="shared" si="38"/>
        <v>0</v>
      </c>
      <c r="AA40" s="503" t="e">
        <f t="shared" si="39"/>
        <v>#REF!</v>
      </c>
      <c r="AB40" s="503">
        <f t="shared" si="40"/>
        <v>57460</v>
      </c>
    </row>
    <row r="41" spans="1:28" x14ac:dyDescent="0.25">
      <c r="A41" s="493" t="s">
        <v>533</v>
      </c>
      <c r="B41" s="529">
        <f t="shared" si="12"/>
        <v>9.2700000000000005E-3</v>
      </c>
      <c r="C41" s="533" t="e">
        <f>#REF!</f>
        <v>#REF!</v>
      </c>
      <c r="D41" s="534">
        <f>+'May - Oct Capacity MSC by Class'!G35</f>
        <v>0.08</v>
      </c>
      <c r="E41" s="530">
        <f>+'Forecasted TOD kWh by Period'!F24</f>
        <v>485964</v>
      </c>
      <c r="F41" s="8">
        <f>'[100]Forecasted TOD kW by Period'!K21</f>
        <v>10497</v>
      </c>
      <c r="G41" s="8">
        <f t="shared" si="29"/>
        <v>427648</v>
      </c>
      <c r="H41" s="8">
        <f>ROUND(F41*0.88,0)</f>
        <v>9237</v>
      </c>
      <c r="I41" s="169" t="e">
        <f t="shared" si="30"/>
        <v>#REF!</v>
      </c>
      <c r="J41" s="169">
        <f t="shared" si="30"/>
        <v>739</v>
      </c>
      <c r="K41" s="169" t="e">
        <f t="shared" si="31"/>
        <v>#REF!</v>
      </c>
      <c r="L41" s="169">
        <f t="shared" si="32"/>
        <v>3964</v>
      </c>
      <c r="M41" s="493"/>
      <c r="N41" s="493">
        <f t="shared" si="33"/>
        <v>9.2700000000000005E-3</v>
      </c>
      <c r="O41" s="504" t="e">
        <f>#REF!</f>
        <v>#REF!</v>
      </c>
      <c r="P41" s="505">
        <f>'May Price Out'!P41</f>
        <v>0.08</v>
      </c>
      <c r="Q41" s="506">
        <f t="shared" si="34"/>
        <v>58316</v>
      </c>
      <c r="R41" s="502">
        <f>F41-H41</f>
        <v>1260</v>
      </c>
      <c r="S41" s="169" t="e">
        <f t="shared" si="35"/>
        <v>#REF!</v>
      </c>
      <c r="T41" s="169">
        <f t="shared" si="35"/>
        <v>101</v>
      </c>
      <c r="U41" s="169" t="e">
        <f t="shared" si="36"/>
        <v>#REF!</v>
      </c>
      <c r="V41" s="169">
        <f t="shared" si="37"/>
        <v>541</v>
      </c>
      <c r="X41" s="493" t="s">
        <v>533</v>
      </c>
      <c r="Y41" s="503" t="e">
        <f t="shared" si="38"/>
        <v>#REF!</v>
      </c>
      <c r="Z41" s="503">
        <f t="shared" si="38"/>
        <v>840</v>
      </c>
      <c r="AA41" s="503" t="e">
        <f t="shared" si="39"/>
        <v>#REF!</v>
      </c>
      <c r="AB41" s="503">
        <f t="shared" si="40"/>
        <v>4505</v>
      </c>
    </row>
    <row r="42" spans="1:28" x14ac:dyDescent="0.25">
      <c r="A42" s="493" t="s">
        <v>534</v>
      </c>
      <c r="B42" s="529">
        <f t="shared" si="12"/>
        <v>9.2700000000000005E-3</v>
      </c>
      <c r="C42" s="533" t="e">
        <f>#REF!</f>
        <v>#REF!</v>
      </c>
      <c r="D42" s="522"/>
      <c r="E42" s="530">
        <f>+'Forecasted TOD kWh by Period'!F25</f>
        <v>596603</v>
      </c>
      <c r="F42" s="493"/>
      <c r="G42" s="8">
        <f t="shared" si="29"/>
        <v>525011</v>
      </c>
      <c r="H42" s="8"/>
      <c r="I42" s="169" t="e">
        <f t="shared" si="30"/>
        <v>#REF!</v>
      </c>
      <c r="J42" s="169">
        <f t="shared" si="30"/>
        <v>0</v>
      </c>
      <c r="K42" s="169" t="e">
        <f t="shared" si="31"/>
        <v>#REF!</v>
      </c>
      <c r="L42" s="169">
        <f t="shared" si="32"/>
        <v>4867</v>
      </c>
      <c r="M42" s="493"/>
      <c r="N42" s="493">
        <f t="shared" si="33"/>
        <v>9.2700000000000005E-3</v>
      </c>
      <c r="O42" s="504" t="e">
        <f>#REF!</f>
        <v>#REF!</v>
      </c>
      <c r="P42" s="492">
        <f>'May Price Out'!P42</f>
        <v>0</v>
      </c>
      <c r="Q42" s="506">
        <f t="shared" si="34"/>
        <v>71592</v>
      </c>
      <c r="R42" s="396"/>
      <c r="S42" s="169" t="e">
        <f t="shared" si="35"/>
        <v>#REF!</v>
      </c>
      <c r="T42" s="169">
        <f t="shared" si="35"/>
        <v>0</v>
      </c>
      <c r="U42" s="169" t="e">
        <f t="shared" si="36"/>
        <v>#REF!</v>
      </c>
      <c r="V42" s="169">
        <f t="shared" si="37"/>
        <v>664</v>
      </c>
      <c r="X42" s="493" t="s">
        <v>534</v>
      </c>
      <c r="Y42" s="503" t="e">
        <f t="shared" si="38"/>
        <v>#REF!</v>
      </c>
      <c r="Z42" s="503">
        <f t="shared" si="38"/>
        <v>0</v>
      </c>
      <c r="AA42" s="503" t="e">
        <f t="shared" si="39"/>
        <v>#REF!</v>
      </c>
      <c r="AB42" s="503">
        <f t="shared" si="40"/>
        <v>5531</v>
      </c>
    </row>
    <row r="43" spans="1:28" x14ac:dyDescent="0.25">
      <c r="A43" s="493"/>
      <c r="B43" s="493"/>
      <c r="C43" s="493"/>
      <c r="D43" s="493"/>
      <c r="E43" s="493"/>
      <c r="F43" s="493"/>
      <c r="G43" s="493"/>
      <c r="H43" s="493"/>
      <c r="I43" s="493"/>
      <c r="J43" s="493"/>
      <c r="K43" s="493"/>
      <c r="L43" s="493"/>
      <c r="M43" s="493"/>
      <c r="O43" s="493"/>
      <c r="S43" s="493"/>
      <c r="T43" s="493"/>
      <c r="U43" s="493"/>
      <c r="V43" s="493"/>
      <c r="X43" s="493"/>
      <c r="Y43" s="503"/>
      <c r="Z43" s="503"/>
      <c r="AA43" s="503"/>
      <c r="AB43" s="503"/>
    </row>
    <row r="44" spans="1:28" x14ac:dyDescent="0.25">
      <c r="A44" s="493" t="s">
        <v>162</v>
      </c>
      <c r="B44" s="493"/>
      <c r="C44" s="493"/>
      <c r="D44" s="493"/>
      <c r="E44" s="507">
        <f>SUM(E8:E19)+SUM(E21:E24)+SUM(E26:E31)+SUM(E33:E42)</f>
        <v>5805674913</v>
      </c>
      <c r="F44" s="493"/>
      <c r="G44" s="507">
        <f>SUM(G8:G19)+SUM(G21:G24)+SUM(G26:G31)+SUM(G33:G42)</f>
        <v>5108993922</v>
      </c>
      <c r="H44" s="493"/>
      <c r="I44" s="503" t="e">
        <f>SUM(I8:I43)</f>
        <v>#REF!</v>
      </c>
      <c r="J44" s="169">
        <f>SUM(J8:J19)+SUM(J21:J24)+SUM(J26:J31)+SUM(J33:J42)</f>
        <v>78962925</v>
      </c>
      <c r="K44" s="503" t="e">
        <f>SUM(K8:K43)</f>
        <v>#REF!</v>
      </c>
      <c r="L44" s="169">
        <f>SUM(L8:L19)+SUM(L21:L24)+SUM(L26:L31)+SUM(L33:L42)</f>
        <v>47360375</v>
      </c>
      <c r="M44" s="493"/>
      <c r="Q44" s="507">
        <f>SUM(Q8:Q19)+SUM(Q21:Q24)+SUM(Q26:Q31)+SUM(Q33:Q42)</f>
        <v>696680991</v>
      </c>
      <c r="S44" s="503" t="e">
        <f>SUM(S8:S43)</f>
        <v>#REF!</v>
      </c>
      <c r="T44" s="169">
        <f>SUM(T8:T19)+SUM(T21:T24)+SUM(T26:T31)+SUM(T33:T42)</f>
        <v>8621036</v>
      </c>
      <c r="U44" s="503" t="e">
        <f>SUM(U8:U43)</f>
        <v>#REF!</v>
      </c>
      <c r="V44" s="169">
        <f>SUM(V8:V19)+SUM(V21:V24)+SUM(V26:V31)+SUM(V33:V42)</f>
        <v>6458233</v>
      </c>
      <c r="X44" s="493" t="s">
        <v>162</v>
      </c>
      <c r="Y44" s="503" t="e">
        <f>I44+S44</f>
        <v>#REF!</v>
      </c>
      <c r="Z44" s="503">
        <f>J44+T44</f>
        <v>87583961</v>
      </c>
      <c r="AA44" s="503" t="e">
        <f>Y44+Z44</f>
        <v>#REF!</v>
      </c>
      <c r="AB44" s="503">
        <f>L44+V44</f>
        <v>53818608</v>
      </c>
    </row>
    <row r="45" spans="1:28" x14ac:dyDescent="0.25">
      <c r="A45" s="493"/>
      <c r="B45" s="493"/>
      <c r="C45" s="493"/>
      <c r="D45" s="493"/>
      <c r="E45" s="493"/>
      <c r="F45" s="493"/>
      <c r="G45" s="493"/>
      <c r="H45" s="493"/>
      <c r="I45" s="493"/>
      <c r="J45" s="493"/>
      <c r="K45" s="493"/>
      <c r="L45" s="493"/>
      <c r="M45" s="493"/>
      <c r="N45" s="493"/>
      <c r="O45" s="493"/>
    </row>
    <row r="46" spans="1:28" x14ac:dyDescent="0.25">
      <c r="A46" s="493"/>
      <c r="B46" s="493"/>
      <c r="C46" s="493"/>
      <c r="D46" s="493"/>
      <c r="E46" s="493"/>
      <c r="F46" s="493"/>
      <c r="G46" s="493"/>
      <c r="H46" s="493"/>
      <c r="I46" s="493"/>
      <c r="J46" s="493"/>
      <c r="K46" s="493"/>
      <c r="L46" s="493"/>
      <c r="M46" s="493"/>
      <c r="N46" s="493"/>
      <c r="O46" s="493"/>
    </row>
    <row r="47" spans="1:28" x14ac:dyDescent="0.25">
      <c r="A47" s="493"/>
      <c r="B47" s="493"/>
      <c r="C47" s="493"/>
      <c r="D47" s="493"/>
      <c r="E47" s="493"/>
      <c r="F47" s="493"/>
      <c r="G47" s="493"/>
      <c r="H47" s="493"/>
      <c r="I47" s="493"/>
      <c r="J47" s="493"/>
      <c r="K47" s="493"/>
      <c r="L47" s="493"/>
      <c r="M47" s="493"/>
      <c r="N47" s="493"/>
    </row>
    <row r="48" spans="1:28" x14ac:dyDescent="0.25">
      <c r="A48" s="493"/>
      <c r="B48" s="493"/>
      <c r="C48" s="493"/>
      <c r="D48" s="493"/>
      <c r="E48" s="493"/>
      <c r="F48" s="493"/>
      <c r="G48" s="493"/>
      <c r="H48" s="493"/>
      <c r="I48" s="493"/>
      <c r="J48" s="493"/>
      <c r="K48" s="493"/>
      <c r="L48" s="493"/>
      <c r="M48" s="493"/>
      <c r="N48" s="493"/>
    </row>
    <row r="49" spans="1:14" x14ac:dyDescent="0.25">
      <c r="A49" s="493"/>
      <c r="B49" s="493"/>
      <c r="C49" s="493"/>
      <c r="D49" s="493"/>
      <c r="E49" s="493"/>
      <c r="F49" s="493"/>
      <c r="G49" s="493"/>
      <c r="H49" s="493"/>
      <c r="I49" s="493"/>
      <c r="J49" s="493"/>
      <c r="K49" s="493"/>
      <c r="L49" s="493"/>
      <c r="M49" s="493"/>
      <c r="N49" s="493"/>
    </row>
    <row r="50" spans="1:14" x14ac:dyDescent="0.25">
      <c r="A50" s="493"/>
      <c r="B50" s="493"/>
      <c r="C50" s="493"/>
      <c r="D50" s="493"/>
      <c r="E50" s="493"/>
      <c r="F50" s="493"/>
      <c r="G50" s="493"/>
      <c r="H50" s="493"/>
      <c r="I50" s="493"/>
      <c r="J50" s="493"/>
      <c r="K50" s="493"/>
      <c r="L50" s="493"/>
      <c r="M50" s="493"/>
    </row>
    <row r="51" spans="1:14" x14ac:dyDescent="0.25">
      <c r="A51" s="493"/>
      <c r="B51" s="493"/>
      <c r="C51" s="493"/>
      <c r="D51" s="493"/>
      <c r="E51" s="493"/>
      <c r="F51" s="493"/>
      <c r="G51" s="493"/>
      <c r="H51" s="493"/>
      <c r="I51" s="493"/>
      <c r="J51" s="493"/>
      <c r="K51" s="493"/>
      <c r="L51" s="493"/>
      <c r="M51" s="493"/>
    </row>
    <row r="52" spans="1:14" x14ac:dyDescent="0.25">
      <c r="A52" s="493"/>
      <c r="B52" s="493"/>
      <c r="C52" s="493"/>
      <c r="D52" s="493"/>
      <c r="E52" s="493"/>
      <c r="F52" s="493"/>
      <c r="G52" s="493"/>
      <c r="H52" s="493"/>
      <c r="I52" s="493"/>
      <c r="J52" s="493"/>
      <c r="K52" s="493"/>
      <c r="L52" s="493"/>
      <c r="M52" s="493"/>
    </row>
    <row r="53" spans="1:14" x14ac:dyDescent="0.25">
      <c r="A53" s="493"/>
      <c r="B53" s="493"/>
      <c r="C53" s="493"/>
      <c r="D53" s="493"/>
      <c r="E53" s="493"/>
      <c r="F53" s="493"/>
      <c r="G53" s="493"/>
      <c r="H53" s="493"/>
      <c r="I53" s="493"/>
      <c r="J53" s="493"/>
      <c r="K53" s="493"/>
      <c r="L53" s="493"/>
      <c r="M53" s="493"/>
    </row>
    <row r="54" spans="1:14" x14ac:dyDescent="0.25">
      <c r="A54" s="493"/>
      <c r="B54" s="493"/>
      <c r="C54" s="493"/>
      <c r="D54" s="493"/>
      <c r="E54" s="493"/>
      <c r="F54" s="493"/>
      <c r="G54" s="493"/>
      <c r="H54" s="493"/>
      <c r="I54" s="493"/>
      <c r="J54" s="493"/>
      <c r="K54" s="493"/>
      <c r="L54" s="493"/>
      <c r="M54" s="493"/>
    </row>
    <row r="55" spans="1:14" x14ac:dyDescent="0.25">
      <c r="A55" s="493"/>
      <c r="B55" s="493"/>
      <c r="C55" s="493"/>
      <c r="D55" s="493"/>
      <c r="E55" s="493"/>
      <c r="F55" s="493"/>
      <c r="G55" s="493"/>
      <c r="H55" s="493"/>
      <c r="I55" s="493"/>
      <c r="J55" s="493"/>
      <c r="K55" s="493"/>
      <c r="L55" s="493"/>
      <c r="M55" s="493"/>
    </row>
    <row r="56" spans="1:14" x14ac:dyDescent="0.25">
      <c r="A56" s="493"/>
      <c r="B56" s="493"/>
      <c r="C56" s="493"/>
      <c r="D56" s="493"/>
      <c r="E56" s="493"/>
      <c r="F56" s="493"/>
      <c r="G56" s="493"/>
      <c r="H56" s="493"/>
      <c r="I56" s="493"/>
      <c r="J56" s="493"/>
      <c r="K56" s="493"/>
      <c r="L56" s="493"/>
      <c r="M56" s="493"/>
    </row>
    <row r="57" spans="1:14" x14ac:dyDescent="0.25">
      <c r="A57" s="493"/>
      <c r="B57" s="493"/>
      <c r="C57" s="493"/>
      <c r="D57" s="493"/>
      <c r="E57" s="493"/>
      <c r="F57" s="493"/>
      <c r="G57" s="493"/>
      <c r="H57" s="493"/>
      <c r="I57" s="493"/>
      <c r="J57" s="493"/>
      <c r="K57" s="493"/>
      <c r="L57" s="493"/>
      <c r="M57" s="493"/>
    </row>
    <row r="58" spans="1:14" x14ac:dyDescent="0.25">
      <c r="A58" s="493"/>
      <c r="B58" s="493"/>
      <c r="C58" s="493"/>
      <c r="D58" s="493"/>
      <c r="E58" s="493"/>
      <c r="F58" s="493"/>
      <c r="G58" s="493"/>
      <c r="H58" s="493"/>
      <c r="I58" s="493"/>
      <c r="J58" s="493"/>
      <c r="K58" s="493"/>
      <c r="L58" s="493"/>
      <c r="M58" s="493"/>
    </row>
    <row r="59" spans="1:14" x14ac:dyDescent="0.25">
      <c r="A59" s="493"/>
      <c r="B59" s="493"/>
      <c r="C59" s="493"/>
      <c r="D59" s="493"/>
      <c r="E59" s="493"/>
      <c r="F59" s="493"/>
      <c r="G59" s="493"/>
      <c r="H59" s="493"/>
      <c r="I59" s="493"/>
      <c r="J59" s="493"/>
      <c r="K59" s="493"/>
      <c r="L59" s="493"/>
      <c r="M59" s="493"/>
    </row>
    <row r="60" spans="1:14" x14ac:dyDescent="0.25">
      <c r="A60" s="493"/>
      <c r="B60" s="493"/>
      <c r="C60" s="493"/>
      <c r="D60" s="493"/>
      <c r="E60" s="493"/>
      <c r="F60" s="493"/>
      <c r="G60" s="493"/>
      <c r="H60" s="493"/>
      <c r="I60" s="493"/>
      <c r="J60" s="493"/>
      <c r="K60" s="493"/>
      <c r="L60" s="493"/>
      <c r="M60" s="493"/>
    </row>
    <row r="61" spans="1:14" x14ac:dyDescent="0.25">
      <c r="A61" s="493"/>
      <c r="B61" s="493"/>
      <c r="C61" s="493"/>
      <c r="D61" s="493"/>
      <c r="E61" s="493"/>
      <c r="F61" s="493"/>
      <c r="G61" s="493"/>
      <c r="H61" s="493"/>
      <c r="I61" s="493"/>
      <c r="J61" s="493"/>
      <c r="K61" s="493"/>
      <c r="L61" s="493"/>
      <c r="M61" s="493"/>
    </row>
    <row r="62" spans="1:14" x14ac:dyDescent="0.25">
      <c r="A62" s="493"/>
      <c r="B62" s="493"/>
      <c r="C62" s="493"/>
      <c r="D62" s="493"/>
      <c r="E62" s="493"/>
      <c r="F62" s="493"/>
      <c r="G62" s="493"/>
      <c r="H62" s="493"/>
      <c r="I62" s="493"/>
      <c r="J62" s="493"/>
      <c r="K62" s="493"/>
      <c r="L62" s="493"/>
      <c r="M62" s="493"/>
    </row>
    <row r="63" spans="1:14" x14ac:dyDescent="0.25">
      <c r="A63" s="493"/>
      <c r="B63" s="493"/>
      <c r="C63" s="493"/>
      <c r="D63" s="493"/>
      <c r="E63" s="493"/>
      <c r="F63" s="493"/>
      <c r="G63" s="493"/>
      <c r="H63" s="493"/>
      <c r="I63" s="493"/>
      <c r="J63" s="493"/>
      <c r="K63" s="493"/>
      <c r="L63" s="493"/>
      <c r="M63" s="493"/>
    </row>
    <row r="64" spans="1:14" x14ac:dyDescent="0.25">
      <c r="A64" s="493"/>
      <c r="B64" s="493"/>
      <c r="C64" s="493"/>
      <c r="D64" s="493"/>
      <c r="E64" s="493"/>
      <c r="F64" s="493"/>
      <c r="G64" s="493"/>
      <c r="H64" s="493"/>
      <c r="I64" s="493"/>
      <c r="J64" s="493"/>
      <c r="K64" s="493"/>
      <c r="L64" s="493"/>
      <c r="M64" s="493"/>
    </row>
    <row r="65" spans="1:14" x14ac:dyDescent="0.25">
      <c r="A65" s="493"/>
      <c r="B65" s="493"/>
      <c r="C65" s="493"/>
      <c r="D65" s="493"/>
      <c r="E65" s="493"/>
      <c r="F65" s="493"/>
      <c r="G65" s="493"/>
      <c r="H65" s="493"/>
      <c r="I65" s="493"/>
      <c r="J65" s="493"/>
      <c r="K65" s="493"/>
      <c r="L65" s="493"/>
      <c r="M65" s="493"/>
    </row>
    <row r="66" spans="1:14" x14ac:dyDescent="0.25">
      <c r="A66" s="493"/>
      <c r="B66" s="493"/>
      <c r="C66" s="493"/>
      <c r="D66" s="493"/>
      <c r="E66" s="493"/>
      <c r="F66" s="493"/>
      <c r="G66" s="493"/>
      <c r="H66" s="493"/>
      <c r="I66" s="493"/>
      <c r="J66" s="493"/>
      <c r="K66" s="493"/>
      <c r="L66" s="493"/>
      <c r="M66" s="493"/>
    </row>
    <row r="67" spans="1:14" x14ac:dyDescent="0.25">
      <c r="A67" s="493"/>
      <c r="B67" s="493"/>
      <c r="C67" s="493"/>
      <c r="D67" s="493"/>
      <c r="E67" s="493"/>
      <c r="F67" s="493"/>
      <c r="G67" s="493"/>
      <c r="H67" s="493"/>
      <c r="I67" s="493"/>
      <c r="J67" s="493"/>
      <c r="K67" s="493"/>
      <c r="L67" s="493"/>
      <c r="M67" s="493"/>
    </row>
    <row r="68" spans="1:14" x14ac:dyDescent="0.25">
      <c r="A68" s="493"/>
      <c r="B68" s="493"/>
      <c r="C68" s="493"/>
      <c r="D68" s="493"/>
      <c r="E68" s="493"/>
      <c r="F68" s="493"/>
      <c r="G68" s="493"/>
      <c r="H68" s="493"/>
      <c r="I68" s="493"/>
      <c r="J68" s="493"/>
      <c r="K68" s="493"/>
      <c r="L68" s="493"/>
      <c r="M68" s="493"/>
    </row>
    <row r="69" spans="1:14" x14ac:dyDescent="0.25">
      <c r="A69" s="493"/>
      <c r="B69" s="493"/>
      <c r="C69" s="493"/>
      <c r="D69" s="493"/>
      <c r="E69" s="493"/>
      <c r="F69" s="493"/>
      <c r="G69" s="493"/>
      <c r="H69" s="493"/>
      <c r="I69" s="493"/>
      <c r="J69" s="493"/>
      <c r="K69" s="493"/>
      <c r="L69" s="493"/>
      <c r="M69" s="493"/>
    </row>
    <row r="70" spans="1:14" x14ac:dyDescent="0.25">
      <c r="A70" s="493"/>
      <c r="B70" s="493"/>
      <c r="C70" s="493"/>
      <c r="D70" s="493"/>
      <c r="E70" s="493"/>
      <c r="F70" s="493"/>
      <c r="G70" s="493"/>
      <c r="H70" s="493"/>
      <c r="I70" s="493"/>
      <c r="J70" s="493"/>
      <c r="K70" s="493"/>
      <c r="L70" s="493"/>
      <c r="M70" s="493"/>
      <c r="N70" s="493"/>
    </row>
    <row r="71" spans="1:14" x14ac:dyDescent="0.25">
      <c r="A71" s="493"/>
      <c r="B71" s="493"/>
      <c r="C71" s="493"/>
      <c r="D71" s="493"/>
      <c r="E71" s="493"/>
      <c r="F71" s="493"/>
      <c r="G71" s="493"/>
      <c r="H71" s="493"/>
      <c r="I71" s="493"/>
      <c r="J71" s="493"/>
      <c r="K71" s="493"/>
      <c r="L71" s="493"/>
      <c r="M71" s="493"/>
      <c r="N71" s="493"/>
    </row>
    <row r="72" spans="1:14" x14ac:dyDescent="0.25">
      <c r="A72" s="493"/>
      <c r="B72" s="493"/>
      <c r="C72" s="493"/>
      <c r="D72" s="493"/>
      <c r="E72" s="493"/>
      <c r="F72" s="493"/>
      <c r="G72" s="493"/>
      <c r="H72" s="493"/>
      <c r="I72" s="493"/>
      <c r="J72" s="493"/>
      <c r="K72" s="493"/>
      <c r="L72" s="493"/>
      <c r="M72" s="493"/>
      <c r="N72" s="493"/>
    </row>
    <row r="73" spans="1:14" x14ac:dyDescent="0.25">
      <c r="A73" s="493"/>
      <c r="B73" s="493"/>
      <c r="C73" s="493"/>
      <c r="D73" s="493"/>
      <c r="E73" s="493"/>
      <c r="F73" s="493"/>
      <c r="G73" s="493"/>
      <c r="H73" s="493"/>
      <c r="I73" s="493"/>
      <c r="J73" s="493"/>
      <c r="K73" s="493"/>
      <c r="L73" s="493"/>
      <c r="M73" s="493"/>
    </row>
    <row r="74" spans="1:14" x14ac:dyDescent="0.25">
      <c r="A74" s="493"/>
      <c r="B74" s="493"/>
      <c r="C74" s="493"/>
      <c r="D74" s="493"/>
      <c r="E74" s="493"/>
      <c r="F74" s="493"/>
      <c r="G74" s="493"/>
      <c r="H74" s="493"/>
      <c r="I74" s="493"/>
      <c r="J74" s="493"/>
      <c r="K74" s="493"/>
      <c r="L74" s="493"/>
      <c r="M74" s="493"/>
    </row>
    <row r="75" spans="1:14" x14ac:dyDescent="0.25">
      <c r="A75" s="493"/>
      <c r="B75" s="493"/>
      <c r="C75" s="493"/>
      <c r="D75" s="493"/>
      <c r="E75" s="493"/>
      <c r="F75" s="493"/>
      <c r="G75" s="493"/>
      <c r="H75" s="493"/>
      <c r="I75" s="493"/>
      <c r="J75" s="493"/>
      <c r="K75" s="493"/>
      <c r="L75" s="493"/>
      <c r="M75" s="493"/>
    </row>
    <row r="76" spans="1:14" x14ac:dyDescent="0.25">
      <c r="A76" s="493"/>
      <c r="B76" s="493"/>
      <c r="C76" s="493"/>
      <c r="D76" s="493"/>
      <c r="E76" s="493"/>
      <c r="F76" s="493"/>
      <c r="G76" s="493"/>
      <c r="H76" s="493"/>
      <c r="I76" s="493"/>
      <c r="J76" s="493"/>
      <c r="K76" s="493"/>
      <c r="L76" s="493"/>
      <c r="M76" s="493"/>
    </row>
    <row r="77" spans="1:14" x14ac:dyDescent="0.25">
      <c r="A77" s="493"/>
      <c r="B77" s="493"/>
      <c r="C77" s="493"/>
      <c r="D77" s="493"/>
      <c r="E77" s="493"/>
      <c r="F77" s="493"/>
      <c r="G77" s="493"/>
      <c r="H77" s="493"/>
      <c r="I77" s="493"/>
      <c r="J77" s="493"/>
      <c r="K77" s="493"/>
      <c r="L77" s="493"/>
      <c r="M77" s="493"/>
    </row>
    <row r="78" spans="1:14" x14ac:dyDescent="0.25">
      <c r="A78" s="493"/>
      <c r="B78" s="493"/>
      <c r="C78" s="493"/>
      <c r="D78" s="493"/>
      <c r="E78" s="493"/>
      <c r="F78" s="493"/>
      <c r="G78" s="493"/>
      <c r="H78" s="493"/>
      <c r="I78" s="493"/>
      <c r="J78" s="493"/>
      <c r="K78" s="493"/>
      <c r="L78" s="493"/>
      <c r="M78" s="493"/>
    </row>
    <row r="79" spans="1:14" x14ac:dyDescent="0.25">
      <c r="A79" s="493"/>
      <c r="B79" s="493"/>
      <c r="C79" s="493"/>
      <c r="D79" s="493"/>
      <c r="E79" s="493"/>
      <c r="F79" s="493"/>
      <c r="G79" s="493"/>
      <c r="H79" s="493"/>
      <c r="I79" s="493"/>
      <c r="J79" s="493"/>
      <c r="K79" s="493"/>
      <c r="L79" s="493"/>
      <c r="M79" s="493"/>
    </row>
    <row r="80" spans="1:14" x14ac:dyDescent="0.25">
      <c r="A80" s="493"/>
      <c r="B80" s="493"/>
      <c r="C80" s="493"/>
      <c r="D80" s="493"/>
      <c r="E80" s="493"/>
      <c r="F80" s="493"/>
      <c r="G80" s="493"/>
      <c r="H80" s="493"/>
      <c r="I80" s="493"/>
      <c r="J80" s="493"/>
      <c r="K80" s="493"/>
      <c r="L80" s="493"/>
      <c r="M80" s="493"/>
    </row>
    <row r="81" spans="1:14" x14ac:dyDescent="0.25">
      <c r="A81" s="493"/>
      <c r="B81" s="493"/>
      <c r="C81" s="493"/>
      <c r="D81" s="493"/>
      <c r="E81" s="493"/>
      <c r="F81" s="493"/>
      <c r="G81" s="493"/>
      <c r="H81" s="493"/>
      <c r="I81" s="493"/>
      <c r="J81" s="493"/>
      <c r="K81" s="493"/>
      <c r="L81" s="493"/>
      <c r="M81" s="493"/>
    </row>
    <row r="82" spans="1:14" x14ac:dyDescent="0.25">
      <c r="A82" s="493"/>
      <c r="B82" s="493"/>
      <c r="C82" s="493"/>
      <c r="D82" s="493"/>
      <c r="E82" s="493"/>
      <c r="F82" s="493"/>
      <c r="G82" s="493"/>
      <c r="H82" s="493"/>
      <c r="I82" s="493"/>
      <c r="J82" s="493"/>
      <c r="K82" s="493"/>
      <c r="L82" s="493"/>
      <c r="M82" s="493"/>
    </row>
    <row r="83" spans="1:14" x14ac:dyDescent="0.25">
      <c r="A83" s="493"/>
      <c r="B83" s="493"/>
      <c r="C83" s="493"/>
      <c r="D83" s="493"/>
      <c r="E83" s="493"/>
      <c r="F83" s="493"/>
      <c r="G83" s="493"/>
      <c r="H83" s="493"/>
      <c r="I83" s="493"/>
      <c r="J83" s="493"/>
      <c r="K83" s="493"/>
      <c r="L83" s="493"/>
      <c r="M83" s="493"/>
    </row>
    <row r="84" spans="1:14" x14ac:dyDescent="0.25">
      <c r="A84" s="493"/>
      <c r="B84" s="493"/>
      <c r="C84" s="493"/>
      <c r="D84" s="493"/>
      <c r="E84" s="493"/>
      <c r="F84" s="493"/>
      <c r="G84" s="493"/>
      <c r="H84" s="493"/>
      <c r="I84" s="493"/>
      <c r="J84" s="493"/>
      <c r="K84" s="493"/>
      <c r="L84" s="493"/>
      <c r="M84" s="493"/>
    </row>
    <row r="85" spans="1:14" x14ac:dyDescent="0.25">
      <c r="A85" s="493"/>
      <c r="B85" s="493"/>
      <c r="C85" s="493"/>
      <c r="D85" s="493"/>
      <c r="E85" s="493"/>
      <c r="F85" s="493"/>
      <c r="G85" s="493"/>
      <c r="H85" s="493"/>
      <c r="I85" s="493"/>
      <c r="J85" s="493"/>
      <c r="K85" s="493"/>
      <c r="L85" s="493"/>
      <c r="M85" s="493"/>
    </row>
    <row r="86" spans="1:14" x14ac:dyDescent="0.25">
      <c r="A86" s="493"/>
      <c r="B86" s="493"/>
      <c r="C86" s="493"/>
      <c r="D86" s="493"/>
      <c r="E86" s="493"/>
      <c r="F86" s="493"/>
      <c r="G86" s="493"/>
      <c r="H86" s="493"/>
      <c r="I86" s="493"/>
      <c r="J86" s="493"/>
      <c r="K86" s="493"/>
      <c r="L86" s="493"/>
      <c r="M86" s="493"/>
    </row>
    <row r="87" spans="1:14" x14ac:dyDescent="0.25">
      <c r="A87" s="493"/>
      <c r="B87" s="493"/>
      <c r="C87" s="493"/>
      <c r="D87" s="493"/>
      <c r="E87" s="493"/>
      <c r="F87" s="493"/>
      <c r="G87" s="493"/>
      <c r="H87" s="493"/>
      <c r="I87" s="493"/>
      <c r="J87" s="493"/>
      <c r="K87" s="493"/>
      <c r="L87" s="493"/>
      <c r="M87" s="493"/>
    </row>
    <row r="88" spans="1:14" x14ac:dyDescent="0.25">
      <c r="A88" s="493"/>
      <c r="B88" s="493"/>
      <c r="C88" s="493"/>
      <c r="D88" s="493"/>
      <c r="E88" s="493"/>
      <c r="F88" s="493"/>
      <c r="G88" s="493"/>
      <c r="H88" s="493"/>
      <c r="I88" s="493"/>
      <c r="J88" s="493"/>
      <c r="K88" s="493"/>
      <c r="L88" s="493"/>
      <c r="M88" s="493"/>
    </row>
    <row r="89" spans="1:14" x14ac:dyDescent="0.25">
      <c r="A89" s="493"/>
      <c r="B89" s="493"/>
      <c r="C89" s="493"/>
      <c r="D89" s="493"/>
      <c r="E89" s="493"/>
      <c r="F89" s="493"/>
      <c r="G89" s="493"/>
      <c r="H89" s="493"/>
      <c r="I89" s="493"/>
      <c r="J89" s="493"/>
      <c r="K89" s="493"/>
      <c r="L89" s="493"/>
      <c r="M89" s="493"/>
    </row>
    <row r="90" spans="1:14" x14ac:dyDescent="0.25">
      <c r="A90" s="493"/>
      <c r="B90" s="493"/>
      <c r="C90" s="493"/>
      <c r="D90" s="493"/>
      <c r="E90" s="493"/>
      <c r="F90" s="493"/>
      <c r="G90" s="493"/>
      <c r="H90" s="493"/>
      <c r="I90" s="493"/>
      <c r="J90" s="493"/>
      <c r="K90" s="493"/>
      <c r="L90" s="493"/>
      <c r="M90" s="493"/>
      <c r="N90" s="493"/>
    </row>
    <row r="91" spans="1:14" x14ac:dyDescent="0.25">
      <c r="A91" s="493"/>
      <c r="B91" s="493"/>
      <c r="C91" s="493"/>
      <c r="D91" s="493"/>
      <c r="E91" s="493"/>
      <c r="F91" s="493"/>
      <c r="G91" s="493"/>
      <c r="H91" s="493"/>
      <c r="I91" s="493"/>
      <c r="J91" s="493"/>
      <c r="K91" s="493"/>
      <c r="L91" s="493"/>
      <c r="M91" s="493"/>
      <c r="N91" s="493"/>
    </row>
    <row r="92" spans="1:14" x14ac:dyDescent="0.25">
      <c r="A92" s="493"/>
      <c r="B92" s="493"/>
      <c r="C92" s="493"/>
      <c r="D92" s="493"/>
      <c r="E92" s="493"/>
      <c r="F92" s="493"/>
      <c r="G92" s="493"/>
      <c r="H92" s="493"/>
      <c r="I92" s="493"/>
      <c r="J92" s="493"/>
      <c r="K92" s="493"/>
      <c r="L92" s="493"/>
      <c r="M92" s="493"/>
      <c r="N92" s="493"/>
    </row>
    <row r="93" spans="1:14" x14ac:dyDescent="0.25">
      <c r="A93" s="493"/>
      <c r="B93" s="493"/>
      <c r="C93" s="493"/>
      <c r="D93" s="493"/>
      <c r="E93" s="493"/>
      <c r="F93" s="493"/>
      <c r="G93" s="493"/>
      <c r="H93" s="493"/>
      <c r="I93" s="493"/>
      <c r="J93" s="493"/>
      <c r="K93" s="493"/>
      <c r="L93" s="493"/>
      <c r="M93" s="493"/>
      <c r="N93" s="493"/>
    </row>
    <row r="94" spans="1:14" x14ac:dyDescent="0.25">
      <c r="A94" s="493"/>
      <c r="B94" s="493"/>
      <c r="C94" s="493"/>
      <c r="D94" s="493"/>
      <c r="E94" s="493"/>
      <c r="F94" s="493"/>
      <c r="G94" s="493"/>
      <c r="H94" s="493"/>
      <c r="I94" s="493"/>
      <c r="J94" s="493"/>
      <c r="K94" s="493"/>
      <c r="L94" s="493"/>
      <c r="M94" s="493"/>
    </row>
    <row r="95" spans="1:14" x14ac:dyDescent="0.25">
      <c r="A95" s="493"/>
      <c r="B95" s="493"/>
      <c r="C95" s="493"/>
      <c r="D95" s="493"/>
      <c r="E95" s="493"/>
      <c r="F95" s="493"/>
      <c r="G95" s="493"/>
      <c r="H95" s="493"/>
      <c r="I95" s="493"/>
      <c r="J95" s="493"/>
      <c r="K95" s="493"/>
      <c r="L95" s="493"/>
      <c r="M95" s="493"/>
    </row>
    <row r="96" spans="1:14" x14ac:dyDescent="0.25">
      <c r="A96" s="493"/>
      <c r="B96" s="493"/>
      <c r="C96" s="493"/>
      <c r="D96" s="493"/>
      <c r="E96" s="493"/>
      <c r="F96" s="493"/>
      <c r="G96" s="493"/>
      <c r="H96" s="493"/>
      <c r="I96" s="493"/>
      <c r="J96" s="493"/>
      <c r="K96" s="493"/>
      <c r="L96" s="493"/>
      <c r="M96" s="493"/>
    </row>
    <row r="97" spans="1:13" x14ac:dyDescent="0.25">
      <c r="A97" s="493"/>
      <c r="B97" s="493"/>
      <c r="C97" s="493"/>
      <c r="D97" s="493"/>
      <c r="E97" s="493"/>
      <c r="F97" s="493"/>
      <c r="G97" s="493"/>
      <c r="H97" s="493"/>
      <c r="I97" s="493"/>
      <c r="J97" s="493"/>
      <c r="K97" s="493"/>
      <c r="L97" s="493"/>
      <c r="M97" s="493"/>
    </row>
    <row r="98" spans="1:13" x14ac:dyDescent="0.25">
      <c r="A98" s="493"/>
      <c r="B98" s="493"/>
      <c r="C98" s="493"/>
      <c r="D98" s="493"/>
      <c r="E98" s="493"/>
      <c r="F98" s="493"/>
      <c r="G98" s="493"/>
      <c r="H98" s="493"/>
      <c r="I98" s="493"/>
      <c r="J98" s="493"/>
      <c r="K98" s="493"/>
      <c r="L98" s="493"/>
      <c r="M98" s="493"/>
    </row>
    <row r="99" spans="1:13" x14ac:dyDescent="0.25">
      <c r="A99" s="493"/>
      <c r="B99" s="493"/>
      <c r="C99" s="493"/>
      <c r="D99" s="493"/>
      <c r="E99" s="493"/>
      <c r="F99" s="493"/>
      <c r="G99" s="493"/>
      <c r="H99" s="493"/>
      <c r="I99" s="493"/>
      <c r="J99" s="493"/>
      <c r="K99" s="493"/>
      <c r="L99" s="493"/>
      <c r="M99" s="493"/>
    </row>
    <row r="100" spans="1:13" x14ac:dyDescent="0.25">
      <c r="A100" s="493"/>
      <c r="B100" s="493"/>
      <c r="C100" s="493"/>
      <c r="D100" s="493"/>
      <c r="E100" s="493"/>
      <c r="F100" s="493"/>
      <c r="G100" s="493"/>
      <c r="H100" s="493"/>
      <c r="I100" s="493"/>
      <c r="J100" s="493"/>
      <c r="K100" s="493"/>
      <c r="L100" s="493"/>
      <c r="M100" s="493"/>
    </row>
    <row r="101" spans="1:13" x14ac:dyDescent="0.25">
      <c r="A101" s="493"/>
      <c r="B101" s="493"/>
      <c r="C101" s="493"/>
      <c r="D101" s="493"/>
      <c r="E101" s="493"/>
      <c r="F101" s="493"/>
      <c r="G101" s="493"/>
      <c r="H101" s="493"/>
      <c r="I101" s="493"/>
      <c r="J101" s="493"/>
      <c r="K101" s="493"/>
      <c r="L101" s="493"/>
      <c r="M101" s="493"/>
    </row>
    <row r="102" spans="1:13" x14ac:dyDescent="0.25">
      <c r="A102" s="493"/>
      <c r="B102" s="493"/>
      <c r="C102" s="493"/>
      <c r="D102" s="493"/>
      <c r="E102" s="493"/>
      <c r="F102" s="493"/>
      <c r="G102" s="493"/>
      <c r="H102" s="493"/>
      <c r="I102" s="493"/>
      <c r="J102" s="493"/>
      <c r="K102" s="493"/>
      <c r="L102" s="493"/>
      <c r="M102" s="493"/>
    </row>
    <row r="103" spans="1:13" x14ac:dyDescent="0.25">
      <c r="A103" s="493"/>
      <c r="B103" s="493"/>
      <c r="C103" s="493"/>
      <c r="D103" s="493"/>
      <c r="E103" s="493"/>
      <c r="F103" s="493"/>
      <c r="G103" s="493"/>
      <c r="H103" s="493"/>
      <c r="I103" s="493"/>
      <c r="J103" s="493"/>
      <c r="K103" s="493"/>
      <c r="L103" s="493"/>
      <c r="M103" s="493"/>
    </row>
    <row r="104" spans="1:13" x14ac:dyDescent="0.25">
      <c r="A104" s="493"/>
      <c r="B104" s="493"/>
      <c r="C104" s="493"/>
      <c r="D104" s="493"/>
      <c r="E104" s="493"/>
      <c r="F104" s="493"/>
      <c r="G104" s="493"/>
      <c r="H104" s="493"/>
      <c r="I104" s="493"/>
      <c r="J104" s="493"/>
      <c r="K104" s="493"/>
      <c r="L104" s="493"/>
      <c r="M104" s="493"/>
    </row>
    <row r="105" spans="1:13" x14ac:dyDescent="0.25">
      <c r="A105" s="493"/>
      <c r="B105" s="493"/>
      <c r="C105" s="493"/>
      <c r="D105" s="493"/>
      <c r="E105" s="493"/>
      <c r="F105" s="493"/>
      <c r="G105" s="493"/>
      <c r="H105" s="493"/>
      <c r="I105" s="493"/>
      <c r="J105" s="493"/>
      <c r="K105" s="493"/>
      <c r="L105" s="493"/>
      <c r="M105" s="493"/>
    </row>
    <row r="106" spans="1:13" x14ac:dyDescent="0.25">
      <c r="A106" s="493"/>
      <c r="B106" s="493"/>
      <c r="C106" s="493"/>
      <c r="D106" s="493"/>
      <c r="E106" s="493"/>
      <c r="F106" s="493"/>
      <c r="G106" s="493"/>
      <c r="H106" s="493"/>
      <c r="I106" s="493"/>
      <c r="J106" s="493"/>
      <c r="K106" s="493"/>
      <c r="L106" s="493"/>
      <c r="M106" s="493"/>
    </row>
    <row r="107" spans="1:13" x14ac:dyDescent="0.25">
      <c r="A107" s="493"/>
      <c r="B107" s="493"/>
      <c r="C107" s="493"/>
      <c r="D107" s="493"/>
      <c r="E107" s="493"/>
      <c r="F107" s="493"/>
      <c r="G107" s="493"/>
      <c r="H107" s="493"/>
      <c r="I107" s="493"/>
      <c r="J107" s="493"/>
      <c r="K107" s="493"/>
      <c r="L107" s="493"/>
      <c r="M107" s="493"/>
    </row>
    <row r="108" spans="1:13" x14ac:dyDescent="0.25">
      <c r="A108" s="493"/>
      <c r="B108" s="493"/>
      <c r="C108" s="493"/>
      <c r="D108" s="493"/>
      <c r="E108" s="493"/>
      <c r="F108" s="493"/>
      <c r="G108" s="493"/>
      <c r="H108" s="493"/>
      <c r="I108" s="493"/>
      <c r="J108" s="493"/>
      <c r="K108" s="493"/>
      <c r="L108" s="493"/>
      <c r="M108" s="493"/>
    </row>
    <row r="109" spans="1:13" x14ac:dyDescent="0.25">
      <c r="A109" s="493"/>
      <c r="B109" s="493"/>
      <c r="C109" s="493"/>
      <c r="D109" s="493"/>
      <c r="E109" s="493"/>
      <c r="F109" s="493"/>
      <c r="G109" s="493"/>
      <c r="H109" s="493"/>
      <c r="I109" s="493"/>
      <c r="J109" s="493"/>
      <c r="K109" s="493"/>
      <c r="L109" s="493"/>
      <c r="M109" s="493"/>
    </row>
    <row r="110" spans="1:13" x14ac:dyDescent="0.25">
      <c r="A110" s="493"/>
      <c r="B110" s="493"/>
      <c r="C110" s="493"/>
      <c r="D110" s="493"/>
      <c r="E110" s="493"/>
      <c r="F110" s="493"/>
      <c r="G110" s="493"/>
      <c r="H110" s="493"/>
      <c r="I110" s="493"/>
      <c r="J110" s="493"/>
      <c r="K110" s="493"/>
      <c r="L110" s="493"/>
      <c r="M110" s="493"/>
    </row>
    <row r="111" spans="1:13" x14ac:dyDescent="0.25">
      <c r="A111" s="493"/>
      <c r="B111" s="493"/>
      <c r="C111" s="493"/>
      <c r="D111" s="493"/>
      <c r="E111" s="493"/>
      <c r="F111" s="493"/>
      <c r="G111" s="493"/>
      <c r="H111" s="493"/>
      <c r="I111" s="493"/>
      <c r="J111" s="493"/>
      <c r="K111" s="493"/>
      <c r="L111" s="493"/>
      <c r="M111" s="493"/>
    </row>
    <row r="112" spans="1:13" x14ac:dyDescent="0.25">
      <c r="A112" s="493"/>
      <c r="B112" s="493"/>
      <c r="C112" s="493"/>
      <c r="D112" s="493"/>
      <c r="E112" s="493"/>
      <c r="F112" s="493"/>
      <c r="G112" s="493"/>
      <c r="H112" s="493"/>
      <c r="I112" s="493"/>
      <c r="J112" s="493"/>
      <c r="K112" s="493"/>
      <c r="L112" s="493"/>
      <c r="M112" s="493"/>
    </row>
    <row r="113" spans="1:13" x14ac:dyDescent="0.25">
      <c r="A113" s="493"/>
      <c r="B113" s="493"/>
      <c r="C113" s="493"/>
      <c r="D113" s="493"/>
      <c r="E113" s="493"/>
      <c r="F113" s="493"/>
      <c r="G113" s="493"/>
      <c r="H113" s="493"/>
      <c r="I113" s="493"/>
      <c r="J113" s="493"/>
      <c r="K113" s="493"/>
      <c r="L113" s="493"/>
      <c r="M113" s="493"/>
    </row>
    <row r="114" spans="1:13" x14ac:dyDescent="0.25">
      <c r="A114" s="493"/>
      <c r="B114" s="493"/>
      <c r="C114" s="493"/>
      <c r="D114" s="493"/>
      <c r="E114" s="493"/>
      <c r="F114" s="493"/>
      <c r="G114" s="493"/>
      <c r="H114" s="493"/>
      <c r="I114" s="493"/>
      <c r="J114" s="493"/>
      <c r="K114" s="493"/>
      <c r="L114" s="493"/>
      <c r="M114" s="493"/>
    </row>
    <row r="115" spans="1:13" x14ac:dyDescent="0.25">
      <c r="A115" s="493"/>
      <c r="B115" s="493"/>
      <c r="C115" s="493"/>
      <c r="D115" s="493"/>
      <c r="E115" s="493"/>
      <c r="F115" s="493"/>
      <c r="G115" s="493"/>
      <c r="H115" s="493"/>
      <c r="I115" s="493"/>
      <c r="J115" s="493"/>
      <c r="K115" s="493"/>
      <c r="L115" s="493"/>
      <c r="M115" s="493"/>
    </row>
    <row r="116" spans="1:13" x14ac:dyDescent="0.25">
      <c r="A116" s="493"/>
      <c r="B116" s="493"/>
      <c r="C116" s="493"/>
      <c r="D116" s="493"/>
      <c r="E116" s="493"/>
      <c r="F116" s="493"/>
      <c r="G116" s="493"/>
      <c r="H116" s="493"/>
      <c r="I116" s="493"/>
      <c r="J116" s="493"/>
      <c r="K116" s="493"/>
      <c r="L116" s="493"/>
      <c r="M116" s="493"/>
    </row>
    <row r="117" spans="1:13" x14ac:dyDescent="0.25">
      <c r="A117" s="493"/>
      <c r="B117" s="493"/>
      <c r="C117" s="493"/>
      <c r="D117" s="493"/>
      <c r="E117" s="493"/>
      <c r="F117" s="493"/>
      <c r="G117" s="493"/>
      <c r="H117" s="493"/>
      <c r="I117" s="493"/>
      <c r="J117" s="493"/>
      <c r="K117" s="493"/>
      <c r="L117" s="493"/>
      <c r="M117" s="493"/>
    </row>
    <row r="118" spans="1:13" x14ac:dyDescent="0.25">
      <c r="A118" s="493"/>
      <c r="B118" s="493"/>
      <c r="C118" s="493"/>
      <c r="D118" s="493"/>
      <c r="E118" s="493"/>
      <c r="F118" s="493"/>
      <c r="G118" s="493"/>
      <c r="H118" s="493"/>
      <c r="I118" s="493"/>
      <c r="J118" s="493"/>
      <c r="K118" s="493"/>
      <c r="L118" s="493"/>
      <c r="M118" s="493"/>
    </row>
    <row r="119" spans="1:13" x14ac:dyDescent="0.25">
      <c r="A119" s="493"/>
      <c r="B119" s="493"/>
      <c r="C119" s="493"/>
      <c r="D119" s="493"/>
      <c r="E119" s="493"/>
      <c r="F119" s="493"/>
      <c r="G119" s="493"/>
      <c r="H119" s="493"/>
      <c r="I119" s="493"/>
      <c r="J119" s="493"/>
      <c r="K119" s="493"/>
      <c r="L119" s="493"/>
      <c r="M119" s="493"/>
    </row>
    <row r="120" spans="1:13" x14ac:dyDescent="0.25">
      <c r="A120" s="493"/>
      <c r="B120" s="493"/>
      <c r="C120" s="493"/>
      <c r="D120" s="493"/>
      <c r="E120" s="493"/>
      <c r="F120" s="493"/>
      <c r="G120" s="493"/>
      <c r="H120" s="493"/>
      <c r="I120" s="493"/>
      <c r="J120" s="493"/>
      <c r="K120" s="493"/>
      <c r="L120" s="493"/>
      <c r="M120" s="493"/>
    </row>
    <row r="121" spans="1:13" x14ac:dyDescent="0.25">
      <c r="A121" s="493"/>
      <c r="B121" s="493"/>
      <c r="C121" s="493"/>
      <c r="D121" s="493"/>
      <c r="E121" s="493"/>
      <c r="F121" s="493"/>
      <c r="G121" s="493"/>
      <c r="H121" s="493"/>
      <c r="I121" s="493"/>
      <c r="J121" s="493"/>
      <c r="K121" s="493"/>
      <c r="L121" s="493"/>
      <c r="M121" s="493"/>
    </row>
    <row r="122" spans="1:13" x14ac:dyDescent="0.25">
      <c r="A122" s="493"/>
      <c r="B122" s="493"/>
      <c r="C122" s="493"/>
      <c r="D122" s="493"/>
      <c r="E122" s="493"/>
      <c r="F122" s="493"/>
      <c r="G122" s="493"/>
      <c r="H122" s="493"/>
      <c r="I122" s="493"/>
      <c r="J122" s="493"/>
      <c r="K122" s="493"/>
      <c r="L122" s="493"/>
      <c r="M122" s="493"/>
    </row>
    <row r="123" spans="1:13" x14ac:dyDescent="0.25">
      <c r="A123" s="493"/>
      <c r="B123" s="493"/>
      <c r="C123" s="493"/>
      <c r="D123" s="493"/>
      <c r="E123" s="493"/>
      <c r="F123" s="493"/>
      <c r="G123" s="493"/>
      <c r="H123" s="493"/>
      <c r="I123" s="493"/>
      <c r="J123" s="493"/>
      <c r="K123" s="493"/>
      <c r="L123" s="493"/>
      <c r="M123" s="493"/>
    </row>
    <row r="124" spans="1:13" x14ac:dyDescent="0.25">
      <c r="A124" s="493"/>
      <c r="B124" s="493"/>
      <c r="C124" s="493"/>
      <c r="D124" s="493"/>
      <c r="E124" s="493"/>
      <c r="F124" s="493"/>
      <c r="G124" s="493"/>
      <c r="H124" s="493"/>
      <c r="I124" s="493"/>
      <c r="J124" s="493"/>
      <c r="K124" s="493"/>
      <c r="L124" s="493"/>
      <c r="M124" s="493"/>
    </row>
    <row r="125" spans="1:13" x14ac:dyDescent="0.25">
      <c r="A125" s="493"/>
      <c r="B125" s="493"/>
      <c r="C125" s="493"/>
      <c r="D125" s="493"/>
      <c r="E125" s="493"/>
      <c r="F125" s="493"/>
      <c r="G125" s="493"/>
      <c r="H125" s="493"/>
      <c r="I125" s="493"/>
      <c r="J125" s="493"/>
      <c r="K125" s="493"/>
      <c r="L125" s="493"/>
      <c r="M125" s="493"/>
    </row>
    <row r="126" spans="1:13" x14ac:dyDescent="0.25">
      <c r="A126" s="493"/>
      <c r="B126" s="493"/>
      <c r="C126" s="493"/>
      <c r="D126" s="493"/>
      <c r="E126" s="493"/>
      <c r="F126" s="493"/>
      <c r="G126" s="493"/>
      <c r="H126" s="493"/>
      <c r="I126" s="493"/>
      <c r="J126" s="493"/>
      <c r="K126" s="493"/>
      <c r="L126" s="493"/>
      <c r="M126" s="493"/>
    </row>
    <row r="127" spans="1:13" x14ac:dyDescent="0.25">
      <c r="A127" s="493"/>
      <c r="B127" s="493"/>
      <c r="C127" s="493"/>
      <c r="D127" s="493"/>
      <c r="E127" s="493"/>
      <c r="F127" s="493"/>
      <c r="G127" s="493"/>
      <c r="H127" s="493"/>
      <c r="I127" s="493"/>
      <c r="J127" s="493"/>
      <c r="K127" s="493"/>
      <c r="L127" s="493"/>
      <c r="M127" s="493"/>
    </row>
    <row r="128" spans="1:13" x14ac:dyDescent="0.25">
      <c r="A128" s="493"/>
      <c r="B128" s="493"/>
      <c r="C128" s="493"/>
      <c r="D128" s="493"/>
      <c r="E128" s="493"/>
      <c r="F128" s="493"/>
      <c r="G128" s="493"/>
      <c r="H128" s="493"/>
      <c r="I128" s="493"/>
      <c r="J128" s="493"/>
      <c r="K128" s="493"/>
      <c r="L128" s="493"/>
      <c r="M128" s="493"/>
    </row>
    <row r="129" spans="1:13" x14ac:dyDescent="0.25">
      <c r="A129" s="493"/>
      <c r="B129" s="493"/>
      <c r="C129" s="493"/>
      <c r="D129" s="493"/>
      <c r="E129" s="493"/>
      <c r="F129" s="493"/>
      <c r="G129" s="493"/>
      <c r="H129" s="493"/>
      <c r="I129" s="493"/>
      <c r="J129" s="493"/>
      <c r="K129" s="493"/>
      <c r="L129" s="493"/>
      <c r="M129" s="493"/>
    </row>
    <row r="130" spans="1:13" x14ac:dyDescent="0.25">
      <c r="A130" s="493"/>
      <c r="B130" s="493"/>
      <c r="C130" s="493"/>
      <c r="D130" s="493"/>
      <c r="E130" s="493"/>
      <c r="F130" s="493"/>
      <c r="G130" s="493"/>
      <c r="H130" s="493"/>
      <c r="I130" s="493"/>
      <c r="J130" s="493"/>
      <c r="K130" s="493"/>
      <c r="L130" s="493"/>
      <c r="M130" s="493"/>
    </row>
    <row r="131" spans="1:13" x14ac:dyDescent="0.25">
      <c r="A131" s="493"/>
      <c r="B131" s="493"/>
      <c r="C131" s="493"/>
      <c r="D131" s="493"/>
      <c r="E131" s="493"/>
      <c r="F131" s="493"/>
      <c r="G131" s="493"/>
      <c r="H131" s="493"/>
      <c r="I131" s="493"/>
      <c r="J131" s="493"/>
      <c r="K131" s="493"/>
      <c r="L131" s="493"/>
      <c r="M131" s="493"/>
    </row>
    <row r="132" spans="1:13" x14ac:dyDescent="0.25">
      <c r="A132" s="493"/>
      <c r="B132" s="493"/>
      <c r="C132" s="493"/>
      <c r="D132" s="493"/>
      <c r="E132" s="493"/>
      <c r="F132" s="493"/>
      <c r="G132" s="493"/>
      <c r="H132" s="493"/>
      <c r="I132" s="493"/>
      <c r="J132" s="493"/>
      <c r="K132" s="493"/>
      <c r="L132" s="493"/>
      <c r="M132" s="493"/>
    </row>
    <row r="133" spans="1:13" x14ac:dyDescent="0.25">
      <c r="A133" s="493"/>
      <c r="B133" s="493"/>
      <c r="C133" s="493"/>
      <c r="D133" s="493"/>
      <c r="E133" s="493"/>
      <c r="F133" s="493"/>
      <c r="G133" s="493"/>
      <c r="H133" s="493"/>
      <c r="I133" s="493"/>
      <c r="J133" s="493"/>
      <c r="K133" s="493"/>
      <c r="L133" s="493"/>
      <c r="M133" s="493"/>
    </row>
    <row r="134" spans="1:13" x14ac:dyDescent="0.25">
      <c r="A134" s="493"/>
      <c r="B134" s="493"/>
      <c r="C134" s="493"/>
      <c r="D134" s="493"/>
      <c r="E134" s="493"/>
      <c r="F134" s="493"/>
      <c r="G134" s="493"/>
      <c r="H134" s="493"/>
      <c r="I134" s="493"/>
      <c r="J134" s="493"/>
      <c r="K134" s="493"/>
      <c r="L134" s="493"/>
      <c r="M134" s="493"/>
    </row>
    <row r="135" spans="1:13" x14ac:dyDescent="0.25">
      <c r="A135" s="493"/>
      <c r="B135" s="493"/>
      <c r="C135" s="493"/>
      <c r="D135" s="493"/>
      <c r="E135" s="493"/>
      <c r="F135" s="493"/>
      <c r="G135" s="493"/>
      <c r="H135" s="493"/>
      <c r="I135" s="493"/>
      <c r="J135" s="493"/>
      <c r="K135" s="493"/>
      <c r="L135" s="493"/>
      <c r="M135" s="493"/>
    </row>
    <row r="136" spans="1:13" x14ac:dyDescent="0.25">
      <c r="A136" s="493"/>
      <c r="B136" s="493"/>
      <c r="C136" s="493"/>
      <c r="D136" s="493"/>
      <c r="E136" s="493"/>
      <c r="F136" s="493"/>
      <c r="G136" s="493"/>
      <c r="H136" s="493"/>
      <c r="I136" s="493"/>
      <c r="J136" s="493"/>
      <c r="K136" s="493"/>
      <c r="L136" s="493"/>
      <c r="M136" s="493"/>
    </row>
    <row r="137" spans="1:13" x14ac:dyDescent="0.25">
      <c r="A137" s="493"/>
      <c r="B137" s="493"/>
      <c r="C137" s="493"/>
      <c r="D137" s="493"/>
      <c r="E137" s="493"/>
      <c r="F137" s="493"/>
      <c r="G137" s="493"/>
      <c r="H137" s="493"/>
      <c r="I137" s="493"/>
      <c r="J137" s="493"/>
      <c r="K137" s="493"/>
      <c r="L137" s="493"/>
      <c r="M137" s="493"/>
    </row>
    <row r="138" spans="1:13" x14ac:dyDescent="0.25">
      <c r="A138" s="493"/>
      <c r="B138" s="493"/>
      <c r="C138" s="493"/>
      <c r="D138" s="493"/>
      <c r="E138" s="493"/>
      <c r="F138" s="493"/>
      <c r="G138" s="493"/>
      <c r="H138" s="493"/>
      <c r="I138" s="493"/>
      <c r="J138" s="493"/>
      <c r="K138" s="493"/>
      <c r="L138" s="493"/>
      <c r="M138" s="493"/>
    </row>
    <row r="139" spans="1:13" x14ac:dyDescent="0.25">
      <c r="A139" s="493"/>
      <c r="B139" s="493"/>
      <c r="C139" s="493"/>
      <c r="D139" s="493"/>
      <c r="E139" s="493"/>
      <c r="F139" s="493"/>
      <c r="G139" s="493"/>
      <c r="H139" s="493"/>
      <c r="I139" s="493"/>
      <c r="J139" s="493"/>
      <c r="K139" s="493"/>
      <c r="L139" s="493"/>
      <c r="M139" s="493"/>
    </row>
    <row r="140" spans="1:13" x14ac:dyDescent="0.25">
      <c r="A140" s="493"/>
      <c r="B140" s="493"/>
      <c r="C140" s="493"/>
      <c r="D140" s="493"/>
      <c r="E140" s="493"/>
      <c r="F140" s="493"/>
      <c r="G140" s="493"/>
      <c r="H140" s="493"/>
      <c r="I140" s="493"/>
      <c r="J140" s="493"/>
      <c r="K140" s="493"/>
      <c r="L140" s="493"/>
      <c r="M140" s="493"/>
    </row>
    <row r="141" spans="1:13" x14ac:dyDescent="0.25">
      <c r="A141" s="493"/>
      <c r="B141" s="493"/>
      <c r="C141" s="493"/>
      <c r="D141" s="493"/>
      <c r="E141" s="493"/>
      <c r="F141" s="493"/>
      <c r="G141" s="493"/>
      <c r="H141" s="493"/>
      <c r="I141" s="493"/>
      <c r="J141" s="493"/>
      <c r="K141" s="493"/>
      <c r="L141" s="493"/>
      <c r="M141" s="493"/>
    </row>
    <row r="142" spans="1:13" x14ac:dyDescent="0.25">
      <c r="A142" s="493"/>
      <c r="B142" s="493"/>
      <c r="C142" s="493"/>
      <c r="D142" s="493"/>
      <c r="E142" s="493"/>
      <c r="F142" s="493"/>
      <c r="G142" s="493"/>
      <c r="H142" s="493"/>
      <c r="I142" s="493"/>
      <c r="J142" s="493"/>
      <c r="K142" s="493"/>
      <c r="L142" s="493"/>
      <c r="M142" s="493"/>
    </row>
    <row r="143" spans="1:13" x14ac:dyDescent="0.25">
      <c r="A143" s="493"/>
      <c r="B143" s="493"/>
      <c r="C143" s="493"/>
      <c r="D143" s="493"/>
      <c r="E143" s="493"/>
      <c r="F143" s="493"/>
      <c r="G143" s="493"/>
      <c r="H143" s="493"/>
      <c r="I143" s="493"/>
      <c r="J143" s="493"/>
      <c r="K143" s="493"/>
      <c r="L143" s="493"/>
      <c r="M143" s="493"/>
    </row>
    <row r="144" spans="1:13" x14ac:dyDescent="0.25">
      <c r="A144" s="493"/>
      <c r="B144" s="493"/>
      <c r="C144" s="493"/>
      <c r="D144" s="493"/>
      <c r="E144" s="493"/>
      <c r="F144" s="493"/>
      <c r="G144" s="493"/>
      <c r="H144" s="493"/>
      <c r="I144" s="493"/>
      <c r="J144" s="493"/>
      <c r="K144" s="493"/>
      <c r="L144" s="493"/>
      <c r="M144" s="493"/>
    </row>
    <row r="145" spans="1:13" x14ac:dyDescent="0.25">
      <c r="A145" s="493"/>
      <c r="B145" s="493"/>
      <c r="C145" s="493"/>
      <c r="D145" s="493"/>
      <c r="E145" s="493"/>
      <c r="F145" s="493"/>
      <c r="G145" s="493"/>
      <c r="H145" s="493"/>
      <c r="I145" s="493"/>
      <c r="J145" s="493"/>
      <c r="K145" s="493"/>
      <c r="L145" s="493"/>
      <c r="M145" s="493"/>
    </row>
    <row r="146" spans="1:13" x14ac:dyDescent="0.25">
      <c r="A146" s="493"/>
      <c r="B146" s="493"/>
      <c r="C146" s="493"/>
      <c r="D146" s="493"/>
      <c r="E146" s="493"/>
      <c r="F146" s="493"/>
      <c r="G146" s="493"/>
      <c r="H146" s="493"/>
      <c r="I146" s="493"/>
      <c r="J146" s="493"/>
      <c r="K146" s="493"/>
      <c r="L146" s="493"/>
      <c r="M146" s="493"/>
    </row>
    <row r="147" spans="1:13" x14ac:dyDescent="0.25">
      <c r="A147" s="493"/>
      <c r="B147" s="493"/>
      <c r="C147" s="493"/>
      <c r="D147" s="493"/>
      <c r="E147" s="493"/>
      <c r="F147" s="493"/>
      <c r="G147" s="493"/>
      <c r="H147" s="493"/>
      <c r="I147" s="493"/>
      <c r="J147" s="493"/>
      <c r="K147" s="493"/>
      <c r="L147" s="493"/>
      <c r="M147" s="493"/>
    </row>
    <row r="148" spans="1:13" x14ac:dyDescent="0.25">
      <c r="A148" s="493"/>
      <c r="B148" s="493"/>
      <c r="C148" s="493"/>
      <c r="D148" s="493"/>
      <c r="E148" s="493"/>
      <c r="F148" s="493"/>
      <c r="G148" s="493"/>
      <c r="H148" s="493"/>
      <c r="I148" s="493"/>
      <c r="J148" s="493"/>
      <c r="K148" s="493"/>
      <c r="L148" s="493"/>
      <c r="M148" s="493"/>
    </row>
    <row r="149" spans="1:13" x14ac:dyDescent="0.25">
      <c r="A149" s="493"/>
      <c r="B149" s="493"/>
      <c r="C149" s="493"/>
      <c r="D149" s="493"/>
      <c r="E149" s="493"/>
      <c r="F149" s="493"/>
      <c r="G149" s="493"/>
      <c r="H149" s="493"/>
      <c r="I149" s="493"/>
      <c r="J149" s="493"/>
      <c r="K149" s="493"/>
      <c r="L149" s="493"/>
      <c r="M149" s="493"/>
    </row>
    <row r="150" spans="1:13" x14ac:dyDescent="0.25">
      <c r="A150" s="493"/>
      <c r="B150" s="493"/>
      <c r="C150" s="493"/>
      <c r="D150" s="493"/>
      <c r="E150" s="493"/>
      <c r="F150" s="493"/>
      <c r="G150" s="493"/>
      <c r="H150" s="493"/>
      <c r="I150" s="493"/>
      <c r="J150" s="493"/>
      <c r="K150" s="493"/>
      <c r="L150" s="493"/>
      <c r="M150" s="493"/>
    </row>
    <row r="151" spans="1:13" x14ac:dyDescent="0.25">
      <c r="A151" s="493"/>
      <c r="B151" s="493"/>
      <c r="C151" s="493"/>
      <c r="D151" s="493"/>
      <c r="E151" s="493"/>
      <c r="F151" s="493"/>
      <c r="G151" s="493"/>
      <c r="H151" s="493"/>
      <c r="I151" s="493"/>
      <c r="J151" s="493"/>
      <c r="K151" s="493"/>
      <c r="L151" s="493"/>
      <c r="M151" s="493"/>
    </row>
    <row r="152" spans="1:13" x14ac:dyDescent="0.25">
      <c r="A152" s="493"/>
      <c r="B152" s="493"/>
      <c r="C152" s="493"/>
      <c r="D152" s="493"/>
      <c r="E152" s="493"/>
      <c r="F152" s="493"/>
      <c r="G152" s="493"/>
      <c r="H152" s="493"/>
      <c r="I152" s="493"/>
      <c r="J152" s="493"/>
      <c r="K152" s="493"/>
      <c r="L152" s="493"/>
      <c r="M152" s="493"/>
    </row>
    <row r="153" spans="1:13" x14ac:dyDescent="0.25">
      <c r="A153" s="493"/>
      <c r="B153" s="493"/>
      <c r="C153" s="493"/>
      <c r="D153" s="493"/>
      <c r="E153" s="493"/>
      <c r="F153" s="493"/>
      <c r="G153" s="493"/>
      <c r="H153" s="493"/>
      <c r="I153" s="493"/>
      <c r="J153" s="493"/>
      <c r="K153" s="493"/>
      <c r="L153" s="493"/>
      <c r="M153" s="493"/>
    </row>
    <row r="154" spans="1:13" x14ac:dyDescent="0.25">
      <c r="A154" s="493"/>
      <c r="B154" s="493"/>
      <c r="C154" s="493"/>
      <c r="D154" s="493"/>
      <c r="E154" s="493"/>
      <c r="F154" s="493"/>
      <c r="G154" s="493"/>
      <c r="H154" s="493"/>
      <c r="I154" s="493"/>
      <c r="J154" s="493"/>
      <c r="K154" s="493"/>
      <c r="L154" s="493"/>
      <c r="M154" s="493"/>
    </row>
    <row r="155" spans="1:13" x14ac:dyDescent="0.25">
      <c r="A155" s="493"/>
      <c r="B155" s="493"/>
      <c r="C155" s="493"/>
      <c r="D155" s="493"/>
      <c r="E155" s="493"/>
      <c r="F155" s="493"/>
      <c r="G155" s="493"/>
      <c r="H155" s="493"/>
      <c r="I155" s="493"/>
      <c r="J155" s="493"/>
      <c r="K155" s="493"/>
      <c r="L155" s="493"/>
      <c r="M155" s="493"/>
    </row>
    <row r="156" spans="1:13" x14ac:dyDescent="0.25">
      <c r="A156" s="493"/>
      <c r="B156" s="493"/>
      <c r="C156" s="493"/>
      <c r="D156" s="493"/>
      <c r="E156" s="493"/>
      <c r="F156" s="493"/>
      <c r="G156" s="493"/>
      <c r="H156" s="493"/>
      <c r="I156" s="493"/>
      <c r="J156" s="493"/>
      <c r="K156" s="493"/>
      <c r="L156" s="493"/>
      <c r="M156" s="493"/>
    </row>
    <row r="157" spans="1:13" x14ac:dyDescent="0.25">
      <c r="A157" s="493"/>
      <c r="B157" s="493"/>
      <c r="C157" s="493"/>
      <c r="D157" s="493"/>
      <c r="E157" s="493"/>
      <c r="F157" s="493"/>
      <c r="G157" s="493"/>
      <c r="H157" s="493"/>
      <c r="I157" s="493"/>
      <c r="J157" s="493"/>
      <c r="K157" s="493"/>
      <c r="L157" s="493"/>
      <c r="M157" s="493"/>
    </row>
    <row r="158" spans="1:13" x14ac:dyDescent="0.25">
      <c r="A158" s="493"/>
      <c r="B158" s="493"/>
      <c r="C158" s="493"/>
      <c r="D158" s="493"/>
      <c r="E158" s="493"/>
      <c r="F158" s="493"/>
      <c r="G158" s="493"/>
      <c r="H158" s="493"/>
      <c r="I158" s="493"/>
      <c r="J158" s="493"/>
      <c r="K158" s="493"/>
      <c r="L158" s="493"/>
      <c r="M158" s="493"/>
    </row>
    <row r="159" spans="1:13" x14ac:dyDescent="0.25">
      <c r="A159" s="493"/>
      <c r="B159" s="493"/>
      <c r="C159" s="493"/>
      <c r="D159" s="493"/>
      <c r="E159" s="493"/>
      <c r="F159" s="493"/>
      <c r="G159" s="493"/>
      <c r="H159" s="493"/>
      <c r="I159" s="493"/>
      <c r="J159" s="493"/>
      <c r="K159" s="493"/>
      <c r="L159" s="493"/>
      <c r="M159" s="493"/>
    </row>
    <row r="160" spans="1:13" x14ac:dyDescent="0.25">
      <c r="A160" s="493"/>
      <c r="B160" s="493"/>
      <c r="C160" s="493"/>
      <c r="D160" s="493"/>
      <c r="E160" s="493"/>
      <c r="F160" s="493"/>
      <c r="G160" s="493"/>
      <c r="H160" s="493"/>
      <c r="I160" s="493"/>
      <c r="J160" s="493"/>
      <c r="K160" s="493"/>
      <c r="L160" s="493"/>
      <c r="M160" s="493"/>
    </row>
    <row r="161" spans="1:13" x14ac:dyDescent="0.25">
      <c r="A161" s="493"/>
      <c r="B161" s="493"/>
      <c r="C161" s="493"/>
      <c r="D161" s="493"/>
      <c r="E161" s="493"/>
      <c r="F161" s="493"/>
      <c r="G161" s="493"/>
      <c r="H161" s="493"/>
      <c r="I161" s="493"/>
      <c r="J161" s="493"/>
      <c r="K161" s="493"/>
      <c r="L161" s="493"/>
      <c r="M161" s="493"/>
    </row>
    <row r="162" spans="1:13" x14ac:dyDescent="0.25">
      <c r="A162" s="493"/>
      <c r="B162" s="493"/>
      <c r="C162" s="493"/>
      <c r="D162" s="493"/>
      <c r="E162" s="493"/>
      <c r="F162" s="493"/>
      <c r="G162" s="493"/>
      <c r="H162" s="493"/>
      <c r="I162" s="493"/>
      <c r="J162" s="493"/>
      <c r="K162" s="493"/>
      <c r="L162" s="493"/>
      <c r="M162" s="493"/>
    </row>
    <row r="163" spans="1:13" x14ac:dyDescent="0.25">
      <c r="A163" s="493"/>
      <c r="B163" s="493"/>
      <c r="C163" s="493"/>
      <c r="D163" s="493"/>
      <c r="E163" s="493"/>
      <c r="F163" s="493"/>
      <c r="G163" s="493"/>
      <c r="H163" s="493"/>
      <c r="I163" s="493"/>
      <c r="J163" s="493"/>
      <c r="K163" s="493"/>
      <c r="L163" s="493"/>
      <c r="M163" s="493"/>
    </row>
    <row r="164" spans="1:13" x14ac:dyDescent="0.25">
      <c r="A164" s="493"/>
      <c r="B164" s="493"/>
      <c r="C164" s="493"/>
      <c r="D164" s="493"/>
      <c r="E164" s="493"/>
      <c r="F164" s="493"/>
      <c r="G164" s="493"/>
      <c r="H164" s="493"/>
      <c r="I164" s="493"/>
      <c r="J164" s="493"/>
      <c r="K164" s="493"/>
      <c r="L164" s="493"/>
      <c r="M164" s="493"/>
    </row>
    <row r="165" spans="1:13" x14ac:dyDescent="0.25">
      <c r="A165" s="493"/>
      <c r="B165" s="493"/>
      <c r="C165" s="493"/>
      <c r="D165" s="493"/>
      <c r="E165" s="493"/>
      <c r="F165" s="493"/>
      <c r="G165" s="493"/>
      <c r="H165" s="493"/>
      <c r="I165" s="493"/>
      <c r="J165" s="493"/>
      <c r="K165" s="493"/>
      <c r="L165" s="493"/>
      <c r="M165" s="493"/>
    </row>
    <row r="166" spans="1:13" x14ac:dyDescent="0.25">
      <c r="A166" s="493"/>
      <c r="B166" s="493"/>
      <c r="C166" s="493"/>
      <c r="D166" s="493"/>
      <c r="E166" s="493"/>
      <c r="F166" s="493"/>
      <c r="G166" s="493"/>
      <c r="H166" s="493"/>
      <c r="I166" s="493"/>
      <c r="J166" s="493"/>
      <c r="K166" s="493"/>
      <c r="L166" s="493"/>
      <c r="M166" s="493"/>
    </row>
    <row r="167" spans="1:13" x14ac:dyDescent="0.25">
      <c r="A167" s="493"/>
      <c r="B167" s="493"/>
      <c r="C167" s="493"/>
      <c r="D167" s="493"/>
      <c r="E167" s="493"/>
      <c r="F167" s="493"/>
      <c r="G167" s="493"/>
      <c r="H167" s="493"/>
      <c r="I167" s="493"/>
      <c r="J167" s="493"/>
      <c r="K167" s="493"/>
      <c r="L167" s="493"/>
      <c r="M167" s="493"/>
    </row>
    <row r="168" spans="1:13" x14ac:dyDescent="0.25">
      <c r="A168" s="493"/>
      <c r="B168" s="493"/>
      <c r="C168" s="493"/>
      <c r="D168" s="493"/>
      <c r="E168" s="493"/>
      <c r="F168" s="493"/>
      <c r="G168" s="493"/>
      <c r="H168" s="493"/>
      <c r="I168" s="493"/>
      <c r="J168" s="493"/>
      <c r="K168" s="493"/>
      <c r="L168" s="493"/>
      <c r="M168" s="493"/>
    </row>
    <row r="169" spans="1:13" x14ac:dyDescent="0.25">
      <c r="A169" s="493"/>
      <c r="B169" s="493"/>
      <c r="C169" s="493"/>
      <c r="D169" s="493"/>
      <c r="E169" s="493"/>
      <c r="F169" s="493"/>
      <c r="G169" s="493"/>
      <c r="H169" s="493"/>
      <c r="I169" s="493"/>
      <c r="J169" s="493"/>
      <c r="K169" s="493"/>
      <c r="L169" s="493"/>
      <c r="M169" s="493"/>
    </row>
    <row r="170" spans="1:13" x14ac:dyDescent="0.25">
      <c r="A170" s="493"/>
      <c r="B170" s="493"/>
      <c r="C170" s="493"/>
      <c r="D170" s="493"/>
      <c r="E170" s="493"/>
      <c r="F170" s="493"/>
      <c r="G170" s="493"/>
      <c r="H170" s="493"/>
      <c r="I170" s="493"/>
      <c r="J170" s="493"/>
      <c r="K170" s="493"/>
      <c r="L170" s="493"/>
      <c r="M170" s="493"/>
    </row>
    <row r="171" spans="1:13" x14ac:dyDescent="0.25">
      <c r="A171" s="493"/>
      <c r="B171" s="493"/>
      <c r="C171" s="493"/>
      <c r="D171" s="493"/>
      <c r="E171" s="493"/>
      <c r="F171" s="493"/>
      <c r="G171" s="493"/>
      <c r="H171" s="493"/>
      <c r="I171" s="493"/>
      <c r="J171" s="493"/>
      <c r="K171" s="493"/>
      <c r="L171" s="493"/>
      <c r="M171" s="493"/>
    </row>
    <row r="172" spans="1:13" x14ac:dyDescent="0.25">
      <c r="A172" s="493"/>
      <c r="B172" s="493"/>
      <c r="C172" s="493"/>
      <c r="D172" s="493"/>
      <c r="E172" s="493"/>
      <c r="F172" s="493"/>
      <c r="G172" s="493"/>
      <c r="H172" s="493"/>
      <c r="I172" s="493"/>
      <c r="J172" s="493"/>
      <c r="K172" s="493"/>
      <c r="L172" s="493"/>
      <c r="M172" s="493"/>
    </row>
    <row r="173" spans="1:13" x14ac:dyDescent="0.25">
      <c r="A173" s="493"/>
      <c r="B173" s="493"/>
      <c r="C173" s="493"/>
      <c r="D173" s="493"/>
      <c r="E173" s="493"/>
      <c r="F173" s="493"/>
      <c r="G173" s="493"/>
      <c r="H173" s="493"/>
      <c r="I173" s="493"/>
      <c r="J173" s="493"/>
      <c r="K173" s="493"/>
      <c r="L173" s="493"/>
      <c r="M173" s="493"/>
    </row>
    <row r="174" spans="1:13" x14ac:dyDescent="0.25">
      <c r="A174" s="493"/>
      <c r="B174" s="493"/>
      <c r="C174" s="493"/>
      <c r="D174" s="493"/>
      <c r="E174" s="493"/>
      <c r="F174" s="493"/>
      <c r="G174" s="493"/>
      <c r="H174" s="493"/>
      <c r="I174" s="493"/>
      <c r="J174" s="493"/>
      <c r="K174" s="493"/>
      <c r="L174" s="493"/>
      <c r="M174" s="493"/>
    </row>
    <row r="175" spans="1:13" x14ac:dyDescent="0.25">
      <c r="A175" s="493"/>
      <c r="B175" s="493"/>
      <c r="C175" s="493"/>
      <c r="D175" s="493"/>
      <c r="E175" s="493"/>
      <c r="F175" s="493"/>
      <c r="G175" s="493"/>
      <c r="H175" s="493"/>
      <c r="I175" s="493"/>
      <c r="J175" s="493"/>
      <c r="K175" s="493"/>
      <c r="L175" s="493"/>
      <c r="M175" s="493"/>
    </row>
    <row r="176" spans="1:13" x14ac:dyDescent="0.25">
      <c r="A176" s="493"/>
      <c r="B176" s="493"/>
      <c r="C176" s="493"/>
      <c r="D176" s="493"/>
      <c r="E176" s="493"/>
      <c r="F176" s="493"/>
      <c r="G176" s="493"/>
      <c r="H176" s="493"/>
      <c r="I176" s="493"/>
      <c r="J176" s="493"/>
      <c r="K176" s="493"/>
      <c r="L176" s="493"/>
      <c r="M176" s="493"/>
    </row>
    <row r="177" spans="1:13" x14ac:dyDescent="0.25">
      <c r="A177" s="493"/>
      <c r="B177" s="493"/>
      <c r="C177" s="493"/>
      <c r="D177" s="493"/>
      <c r="E177" s="493"/>
      <c r="F177" s="493"/>
      <c r="G177" s="493"/>
      <c r="H177" s="493"/>
      <c r="I177" s="493"/>
      <c r="J177" s="493"/>
      <c r="K177" s="493"/>
      <c r="L177" s="493"/>
      <c r="M177" s="493"/>
    </row>
    <row r="178" spans="1:13" x14ac:dyDescent="0.25">
      <c r="A178" s="493"/>
      <c r="B178" s="493"/>
      <c r="C178" s="493"/>
      <c r="D178" s="493"/>
      <c r="E178" s="493"/>
      <c r="F178" s="493"/>
      <c r="G178" s="493"/>
      <c r="H178" s="493"/>
      <c r="I178" s="493"/>
      <c r="J178" s="493"/>
      <c r="K178" s="493"/>
      <c r="L178" s="493"/>
      <c r="M178" s="493"/>
    </row>
    <row r="179" spans="1:13" x14ac:dyDescent="0.25">
      <c r="A179" s="493"/>
      <c r="B179" s="493"/>
      <c r="C179" s="493"/>
      <c r="D179" s="493"/>
      <c r="E179" s="493"/>
      <c r="F179" s="493"/>
      <c r="G179" s="493"/>
      <c r="H179" s="493"/>
      <c r="I179" s="493"/>
      <c r="J179" s="493"/>
      <c r="K179" s="493"/>
      <c r="L179" s="493"/>
      <c r="M179" s="493"/>
    </row>
    <row r="180" spans="1:13" x14ac:dyDescent="0.25">
      <c r="A180" s="493"/>
      <c r="B180" s="493"/>
      <c r="C180" s="493"/>
      <c r="D180" s="493"/>
      <c r="E180" s="493"/>
      <c r="F180" s="493"/>
      <c r="G180" s="493"/>
      <c r="H180" s="493"/>
      <c r="I180" s="493"/>
      <c r="J180" s="493"/>
      <c r="K180" s="493"/>
      <c r="L180" s="493"/>
      <c r="M180" s="493"/>
    </row>
    <row r="181" spans="1:13" x14ac:dyDescent="0.25">
      <c r="A181" s="493"/>
      <c r="B181" s="493"/>
      <c r="C181" s="493"/>
      <c r="D181" s="493"/>
      <c r="E181" s="493"/>
      <c r="F181" s="493"/>
      <c r="G181" s="493"/>
      <c r="H181" s="493"/>
      <c r="I181" s="493"/>
      <c r="J181" s="493"/>
      <c r="K181" s="493"/>
      <c r="L181" s="493"/>
      <c r="M181" s="493"/>
    </row>
    <row r="182" spans="1:13" x14ac:dyDescent="0.25">
      <c r="A182" s="493"/>
      <c r="B182" s="493"/>
      <c r="C182" s="493"/>
      <c r="D182" s="493"/>
      <c r="E182" s="493"/>
      <c r="F182" s="493"/>
      <c r="G182" s="493"/>
      <c r="H182" s="493"/>
      <c r="I182" s="493"/>
      <c r="J182" s="493"/>
      <c r="K182" s="493"/>
      <c r="L182" s="493"/>
      <c r="M182" s="493"/>
    </row>
    <row r="183" spans="1:13" x14ac:dyDescent="0.25">
      <c r="A183" s="493"/>
      <c r="B183" s="493"/>
      <c r="C183" s="493"/>
      <c r="D183" s="493"/>
      <c r="E183" s="493"/>
      <c r="F183" s="493"/>
      <c r="G183" s="493"/>
      <c r="H183" s="493"/>
      <c r="I183" s="493"/>
      <c r="J183" s="493"/>
      <c r="K183" s="493"/>
      <c r="L183" s="493"/>
      <c r="M183" s="493"/>
    </row>
    <row r="184" spans="1:13" x14ac:dyDescent="0.25">
      <c r="A184" s="493"/>
      <c r="B184" s="493"/>
      <c r="C184" s="493"/>
      <c r="D184" s="493"/>
      <c r="E184" s="493"/>
      <c r="F184" s="493"/>
      <c r="G184" s="493"/>
      <c r="H184" s="493"/>
      <c r="I184" s="493"/>
      <c r="J184" s="493"/>
      <c r="K184" s="493"/>
      <c r="L184" s="493"/>
      <c r="M184" s="493"/>
    </row>
    <row r="185" spans="1:13" x14ac:dyDescent="0.25">
      <c r="A185" s="493"/>
      <c r="B185" s="493"/>
      <c r="C185" s="493"/>
      <c r="D185" s="493"/>
      <c r="E185" s="493"/>
      <c r="F185" s="493"/>
      <c r="G185" s="493"/>
      <c r="H185" s="493"/>
      <c r="I185" s="493"/>
      <c r="J185" s="493"/>
      <c r="K185" s="493"/>
      <c r="L185" s="493"/>
      <c r="M185" s="493"/>
    </row>
    <row r="186" spans="1:13" x14ac:dyDescent="0.25">
      <c r="A186" s="493"/>
      <c r="B186" s="493"/>
      <c r="C186" s="493"/>
      <c r="D186" s="493"/>
      <c r="E186" s="493"/>
      <c r="F186" s="493"/>
      <c r="G186" s="493"/>
      <c r="H186" s="493"/>
      <c r="I186" s="493"/>
      <c r="J186" s="493"/>
      <c r="K186" s="493"/>
      <c r="L186" s="493"/>
      <c r="M186" s="493"/>
    </row>
    <row r="187" spans="1:13" x14ac:dyDescent="0.25">
      <c r="A187" s="493"/>
      <c r="B187" s="493"/>
      <c r="C187" s="493"/>
      <c r="D187" s="493"/>
      <c r="E187" s="493"/>
      <c r="F187" s="493"/>
      <c r="G187" s="493"/>
      <c r="H187" s="493"/>
      <c r="I187" s="493"/>
      <c r="J187" s="493"/>
      <c r="K187" s="493"/>
      <c r="L187" s="493"/>
      <c r="M187" s="493"/>
    </row>
    <row r="188" spans="1:13" x14ac:dyDescent="0.25">
      <c r="A188" s="493"/>
      <c r="B188" s="493"/>
      <c r="C188" s="493"/>
      <c r="D188" s="493"/>
      <c r="E188" s="493"/>
      <c r="F188" s="493"/>
      <c r="G188" s="493"/>
      <c r="H188" s="493"/>
      <c r="I188" s="493"/>
      <c r="J188" s="493"/>
      <c r="K188" s="493"/>
      <c r="L188" s="493"/>
      <c r="M188" s="493"/>
    </row>
    <row r="189" spans="1:13" x14ac:dyDescent="0.25">
      <c r="A189" s="493"/>
      <c r="B189" s="493"/>
      <c r="C189" s="493"/>
      <c r="D189" s="493"/>
      <c r="E189" s="493"/>
      <c r="F189" s="493"/>
      <c r="G189" s="493"/>
      <c r="H189" s="493"/>
      <c r="I189" s="493"/>
      <c r="J189" s="493"/>
      <c r="K189" s="493"/>
      <c r="L189" s="493"/>
      <c r="M189" s="493"/>
    </row>
    <row r="190" spans="1:13" x14ac:dyDescent="0.25">
      <c r="A190" s="493"/>
      <c r="B190" s="493"/>
      <c r="C190" s="493"/>
      <c r="D190" s="493"/>
      <c r="E190" s="493"/>
      <c r="F190" s="493"/>
      <c r="G190" s="493"/>
      <c r="H190" s="493"/>
      <c r="I190" s="493"/>
      <c r="J190" s="493"/>
      <c r="K190" s="493"/>
      <c r="L190" s="493"/>
      <c r="M190" s="493"/>
    </row>
    <row r="191" spans="1:13" x14ac:dyDescent="0.25">
      <c r="A191" s="493"/>
      <c r="B191" s="493"/>
      <c r="C191" s="493"/>
      <c r="D191" s="493"/>
      <c r="E191" s="493"/>
      <c r="F191" s="493"/>
      <c r="G191" s="493"/>
      <c r="H191" s="493"/>
      <c r="I191" s="493"/>
      <c r="J191" s="493"/>
      <c r="K191" s="493"/>
      <c r="L191" s="493"/>
      <c r="M191" s="493"/>
    </row>
  </sheetData>
  <mergeCells count="12">
    <mergeCell ref="B5:C5"/>
    <mergeCell ref="I5:K5"/>
    <mergeCell ref="N5:O5"/>
    <mergeCell ref="S5:U5"/>
    <mergeCell ref="Y5:AA5"/>
    <mergeCell ref="A1:W1"/>
    <mergeCell ref="Y1:AB1"/>
    <mergeCell ref="A2:V2"/>
    <mergeCell ref="Y2:AB2"/>
    <mergeCell ref="B4:L4"/>
    <mergeCell ref="N4:V4"/>
    <mergeCell ref="Y4:AB4"/>
  </mergeCells>
  <pageMargins left="0.75" right="0.75" top="1" bottom="1" header="0.5" footer="0.5"/>
  <pageSetup paperSize="5" scale="76" orientation="landscape" r:id="rId1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43">
    <pageSetUpPr fitToPage="1"/>
  </sheetPr>
  <dimension ref="A1:AD190"/>
  <sheetViews>
    <sheetView zoomScaleNormal="100" workbookViewId="0">
      <selection activeCell="B8" sqref="B8"/>
    </sheetView>
  </sheetViews>
  <sheetFormatPr defaultColWidth="9.1796875" defaultRowHeight="12.5" x14ac:dyDescent="0.25"/>
  <cols>
    <col min="1" max="1" width="13" style="492" customWidth="1"/>
    <col min="2" max="2" width="7.54296875" style="492" customWidth="1"/>
    <col min="3" max="3" width="4.81640625" style="492" hidden="1" customWidth="1"/>
    <col min="4" max="4" width="8.54296875" style="492" bestFit="1" customWidth="1"/>
    <col min="5" max="5" width="12" style="492" bestFit="1" customWidth="1"/>
    <col min="6" max="6" width="11.1796875" style="492" customWidth="1"/>
    <col min="7" max="7" width="12" style="492" bestFit="1" customWidth="1"/>
    <col min="8" max="8" width="11.1796875" style="492" customWidth="1"/>
    <col min="9" max="9" width="11.54296875" style="492" hidden="1" customWidth="1"/>
    <col min="10" max="10" width="11.54296875" style="492" bestFit="1" customWidth="1"/>
    <col min="11" max="11" width="4.81640625" style="492" hidden="1" customWidth="1"/>
    <col min="12" max="12" width="12.54296875" style="492" customWidth="1"/>
    <col min="13" max="13" width="2.54296875" style="492" customWidth="1"/>
    <col min="14" max="14" width="7" style="492" customWidth="1"/>
    <col min="15" max="15" width="7" style="492" hidden="1" customWidth="1"/>
    <col min="16" max="16" width="8.54296875" style="492" bestFit="1" customWidth="1"/>
    <col min="17" max="17" width="11.54296875" style="492" bestFit="1" customWidth="1"/>
    <col min="18" max="18" width="9.81640625" style="492" bestFit="1" customWidth="1"/>
    <col min="19" max="19" width="10.7265625" style="492" hidden="1" customWidth="1"/>
    <col min="20" max="20" width="9.81640625" style="492" bestFit="1" customWidth="1"/>
    <col min="21" max="21" width="4.81640625" style="492" hidden="1" customWidth="1"/>
    <col min="22" max="22" width="10.7265625" style="492" bestFit="1" customWidth="1"/>
    <col min="23" max="23" width="2.7265625" style="492" customWidth="1"/>
    <col min="24" max="24" width="13.81640625" style="492" bestFit="1" customWidth="1"/>
    <col min="25" max="25" width="12.81640625" style="492" hidden="1" customWidth="1"/>
    <col min="26" max="26" width="11.54296875" style="492" bestFit="1" customWidth="1"/>
    <col min="27" max="27" width="4.81640625" style="492" hidden="1" customWidth="1"/>
    <col min="28" max="28" width="10.453125" style="492" bestFit="1" customWidth="1"/>
    <col min="29" max="29" width="11.81640625" style="492" customWidth="1"/>
    <col min="30" max="30" width="9.7265625" style="492" bestFit="1" customWidth="1"/>
    <col min="31" max="16384" width="9.1796875" style="492"/>
  </cols>
  <sheetData>
    <row r="1" spans="1:30" ht="13" x14ac:dyDescent="0.3">
      <c r="A1" s="813" t="s">
        <v>497</v>
      </c>
      <c r="B1" s="813"/>
      <c r="C1" s="813"/>
      <c r="D1" s="813"/>
      <c r="E1" s="813"/>
      <c r="F1" s="813"/>
      <c r="G1" s="813"/>
      <c r="H1" s="813"/>
      <c r="I1" s="813"/>
      <c r="J1" s="813"/>
      <c r="K1" s="813"/>
      <c r="L1" s="813"/>
      <c r="M1" s="813"/>
      <c r="N1" s="813"/>
      <c r="O1" s="813"/>
      <c r="P1" s="813"/>
      <c r="Q1" s="813"/>
      <c r="R1" s="813"/>
      <c r="S1" s="813"/>
      <c r="T1" s="813"/>
      <c r="U1" s="813"/>
      <c r="V1" s="813"/>
      <c r="W1" s="813"/>
      <c r="X1" s="491"/>
      <c r="Y1" s="823"/>
      <c r="Z1" s="823"/>
      <c r="AA1" s="823"/>
      <c r="AB1" s="823"/>
    </row>
    <row r="2" spans="1:30" ht="13" x14ac:dyDescent="0.3">
      <c r="A2" s="815">
        <f>'[100]Sales Forecast'!G6</f>
        <v>44105</v>
      </c>
      <c r="B2" s="815"/>
      <c r="C2" s="815"/>
      <c r="D2" s="815"/>
      <c r="E2" s="815"/>
      <c r="F2" s="815"/>
      <c r="G2" s="815"/>
      <c r="H2" s="815"/>
      <c r="I2" s="815"/>
      <c r="J2" s="815"/>
      <c r="K2" s="815"/>
      <c r="L2" s="815"/>
      <c r="M2" s="815"/>
      <c r="N2" s="815"/>
      <c r="O2" s="815"/>
      <c r="P2" s="815"/>
      <c r="Q2" s="815"/>
      <c r="R2" s="815"/>
      <c r="S2" s="815"/>
      <c r="T2" s="815"/>
      <c r="U2" s="815"/>
      <c r="V2" s="815"/>
      <c r="Y2" s="824"/>
      <c r="Z2" s="824"/>
      <c r="AA2" s="824"/>
      <c r="AB2" s="824"/>
    </row>
    <row r="3" spans="1:30" ht="13" thickBot="1" x14ac:dyDescent="0.3">
      <c r="A3" s="493"/>
      <c r="B3" s="493"/>
      <c r="C3" s="493"/>
      <c r="D3" s="493"/>
      <c r="E3" s="493"/>
      <c r="F3" s="493"/>
      <c r="G3" s="493"/>
      <c r="H3" s="493"/>
      <c r="I3" s="493"/>
      <c r="J3" s="493"/>
      <c r="K3" s="493"/>
      <c r="L3" s="493"/>
      <c r="M3" s="493"/>
    </row>
    <row r="4" spans="1:30" ht="13.5" thickBot="1" x14ac:dyDescent="0.35">
      <c r="A4" s="493"/>
      <c r="B4" s="825" t="s">
        <v>498</v>
      </c>
      <c r="C4" s="826"/>
      <c r="D4" s="826"/>
      <c r="E4" s="826"/>
      <c r="F4" s="826"/>
      <c r="G4" s="826"/>
      <c r="H4" s="826"/>
      <c r="I4" s="826"/>
      <c r="J4" s="826"/>
      <c r="K4" s="826"/>
      <c r="L4" s="826"/>
      <c r="M4" s="493"/>
      <c r="N4" s="825" t="s">
        <v>499</v>
      </c>
      <c r="O4" s="826"/>
      <c r="P4" s="826"/>
      <c r="Q4" s="826"/>
      <c r="R4" s="826"/>
      <c r="S4" s="826"/>
      <c r="T4" s="826"/>
      <c r="U4" s="826"/>
      <c r="V4" s="826"/>
      <c r="Y4" s="827" t="s">
        <v>500</v>
      </c>
      <c r="Z4" s="828"/>
      <c r="AA4" s="828"/>
      <c r="AB4" s="828"/>
      <c r="AC4" s="494"/>
    </row>
    <row r="5" spans="1:30" x14ac:dyDescent="0.25">
      <c r="A5" s="493"/>
      <c r="B5" s="829" t="s">
        <v>501</v>
      </c>
      <c r="C5" s="829"/>
      <c r="D5" s="495" t="s">
        <v>284</v>
      </c>
      <c r="E5" s="495" t="s">
        <v>162</v>
      </c>
      <c r="F5" s="495" t="s">
        <v>162</v>
      </c>
      <c r="G5" s="495" t="s">
        <v>283</v>
      </c>
      <c r="H5" s="495" t="s">
        <v>283</v>
      </c>
      <c r="I5" s="829" t="s">
        <v>502</v>
      </c>
      <c r="J5" s="829"/>
      <c r="K5" s="829"/>
      <c r="L5" s="496" t="s">
        <v>503</v>
      </c>
      <c r="M5" s="493"/>
      <c r="N5" s="829" t="s">
        <v>501</v>
      </c>
      <c r="O5" s="829"/>
      <c r="P5" s="495" t="str">
        <f>D5</f>
        <v>Capacity</v>
      </c>
      <c r="Q5" s="495" t="s">
        <v>260</v>
      </c>
      <c r="R5" s="495" t="s">
        <v>260</v>
      </c>
      <c r="S5" s="829" t="s">
        <v>504</v>
      </c>
      <c r="T5" s="829"/>
      <c r="U5" s="829"/>
      <c r="V5" s="496" t="s">
        <v>505</v>
      </c>
      <c r="Y5" s="830" t="s">
        <v>506</v>
      </c>
      <c r="Z5" s="830"/>
      <c r="AA5" s="830"/>
      <c r="AB5" s="496" t="s">
        <v>507</v>
      </c>
      <c r="AC5" s="497"/>
    </row>
    <row r="6" spans="1:30" x14ac:dyDescent="0.25">
      <c r="A6" s="493" t="s">
        <v>508</v>
      </c>
      <c r="B6" s="498" t="s">
        <v>368</v>
      </c>
      <c r="C6" s="498" t="s">
        <v>366</v>
      </c>
      <c r="D6" s="498" t="s">
        <v>366</v>
      </c>
      <c r="E6" s="498" t="s">
        <v>509</v>
      </c>
      <c r="F6" s="498" t="s">
        <v>135</v>
      </c>
      <c r="G6" s="498" t="s">
        <v>509</v>
      </c>
      <c r="H6" s="498" t="s">
        <v>135</v>
      </c>
      <c r="I6" s="498" t="s">
        <v>510</v>
      </c>
      <c r="J6" s="498" t="str">
        <f>D5</f>
        <v>Capacity</v>
      </c>
      <c r="K6" s="498" t="s">
        <v>162</v>
      </c>
      <c r="L6" s="498" t="s">
        <v>162</v>
      </c>
      <c r="M6" s="499"/>
      <c r="N6" s="498" t="s">
        <v>368</v>
      </c>
      <c r="O6" s="498" t="s">
        <v>366</v>
      </c>
      <c r="P6" s="498" t="s">
        <v>366</v>
      </c>
      <c r="Q6" s="498" t="s">
        <v>509</v>
      </c>
      <c r="R6" s="498" t="s">
        <v>135</v>
      </c>
      <c r="S6" s="498" t="s">
        <v>510</v>
      </c>
      <c r="T6" s="498" t="str">
        <f>J6</f>
        <v>Capacity</v>
      </c>
      <c r="U6" s="498" t="s">
        <v>162</v>
      </c>
      <c r="V6" s="498" t="s">
        <v>162</v>
      </c>
      <c r="X6" s="498" t="s">
        <v>508</v>
      </c>
      <c r="Y6" s="498" t="s">
        <v>510</v>
      </c>
      <c r="Z6" s="498" t="str">
        <f>T6</f>
        <v>Capacity</v>
      </c>
      <c r="AA6" s="498" t="s">
        <v>162</v>
      </c>
      <c r="AB6" s="498" t="s">
        <v>162</v>
      </c>
      <c r="AC6" s="498"/>
    </row>
    <row r="7" spans="1:30" x14ac:dyDescent="0.25">
      <c r="A7" s="493"/>
      <c r="B7" s="493"/>
      <c r="C7" s="493"/>
      <c r="D7" s="493"/>
      <c r="E7" s="493"/>
      <c r="F7" s="493"/>
      <c r="G7" s="493"/>
      <c r="H7" s="493"/>
      <c r="I7" s="493"/>
      <c r="J7" s="493"/>
      <c r="K7" s="493"/>
      <c r="L7" s="493"/>
      <c r="M7" s="493"/>
      <c r="N7" s="493"/>
      <c r="O7" s="493"/>
      <c r="P7" s="493"/>
      <c r="Q7" s="493"/>
      <c r="R7" s="493"/>
      <c r="S7" s="493"/>
      <c r="T7" s="493"/>
      <c r="U7" s="493"/>
      <c r="V7" s="493"/>
    </row>
    <row r="8" spans="1:30" x14ac:dyDescent="0.25">
      <c r="A8" s="500">
        <v>1</v>
      </c>
      <c r="B8" s="529">
        <f>'Forecast MAC Total'!R23</f>
        <v>7.6400000000000001E-3</v>
      </c>
      <c r="C8" s="522" t="e">
        <f>#REF!</f>
        <v>#REF!</v>
      </c>
      <c r="D8" s="522">
        <f>+'May - Oct Capacity MSC by Class'!G20</f>
        <v>3.4700000000000002E-2</v>
      </c>
      <c r="E8" s="530">
        <f>+'Adj Sales Forecast'!G10</f>
        <v>1044799350</v>
      </c>
      <c r="F8" s="493">
        <v>0</v>
      </c>
      <c r="G8" s="8">
        <f>ROUND(E8*0.88,0)</f>
        <v>919423428</v>
      </c>
      <c r="H8" s="8">
        <f>ROUND(F8*0.88,0)</f>
        <v>0</v>
      </c>
      <c r="I8" s="169" t="e">
        <f>ROUND(C8*G8,0)</f>
        <v>#REF!</v>
      </c>
      <c r="J8" s="169">
        <f>ROUND(D8*G8,0)</f>
        <v>31903993</v>
      </c>
      <c r="K8" s="169" t="e">
        <f t="shared" ref="K8:K19" si="0">I8+J8</f>
        <v>#REF!</v>
      </c>
      <c r="L8" s="169">
        <f t="shared" ref="L8:L19" si="1">ROUND(B8*G8,0)</f>
        <v>7024395</v>
      </c>
      <c r="M8" s="493"/>
      <c r="N8" s="501">
        <f t="shared" ref="N8:N19" si="2">$B$8</f>
        <v>7.6400000000000001E-3</v>
      </c>
      <c r="O8" s="493" t="e">
        <f>#REF!</f>
        <v>#REF!</v>
      </c>
      <c r="P8" s="508">
        <f>'May Price Out'!P8</f>
        <v>2.4369999999999999E-2</v>
      </c>
      <c r="Q8" s="502">
        <f>E8-G8</f>
        <v>125375922</v>
      </c>
      <c r="R8" s="502">
        <f>F8-H8</f>
        <v>0</v>
      </c>
      <c r="S8" s="169" t="e">
        <f t="shared" ref="S8:S19" si="3">ROUND(O8*Q8,0)</f>
        <v>#REF!</v>
      </c>
      <c r="T8" s="169">
        <f>ROUND(P8*Q8,0)</f>
        <v>3055411</v>
      </c>
      <c r="U8" s="169" t="e">
        <f t="shared" ref="U8:U19" si="4">S8+T8</f>
        <v>#REF!</v>
      </c>
      <c r="V8" s="169">
        <f t="shared" ref="V8:V19" si="5">ROUND(N8*Q8,0)</f>
        <v>957872</v>
      </c>
      <c r="X8" s="500">
        <v>1</v>
      </c>
      <c r="Y8" s="503" t="e">
        <f t="shared" ref="Y8:Z19" si="6">I8+S8</f>
        <v>#REF!</v>
      </c>
      <c r="Z8" s="503">
        <f t="shared" si="6"/>
        <v>34959404</v>
      </c>
      <c r="AA8" s="503" t="e">
        <f t="shared" ref="AA8:AA19" si="7">Y8+Z8</f>
        <v>#REF!</v>
      </c>
      <c r="AB8" s="503">
        <f t="shared" ref="AB8:AB19" si="8">L8+V8</f>
        <v>7982267</v>
      </c>
    </row>
    <row r="9" spans="1:30" x14ac:dyDescent="0.25">
      <c r="A9" s="500" t="s">
        <v>511</v>
      </c>
      <c r="B9" s="529">
        <f>$B$8</f>
        <v>7.6400000000000001E-3</v>
      </c>
      <c r="C9" s="522" t="e">
        <f>#REF!</f>
        <v>#REF!</v>
      </c>
      <c r="D9" s="522">
        <f>+'May - Oct Capacity MSC by Class'!G40</f>
        <v>7.7899999999999997E-2</v>
      </c>
      <c r="E9" s="530">
        <f>+'Adj Sales Forecast'!G37</f>
        <v>2050928</v>
      </c>
      <c r="F9" s="493">
        <v>0</v>
      </c>
      <c r="G9" s="8">
        <f>ROUND(E9*0.88,0)</f>
        <v>1804817</v>
      </c>
      <c r="H9" s="8">
        <f>ROUND(F9*0.88,0)</f>
        <v>0</v>
      </c>
      <c r="I9" s="169" t="e">
        <f t="shared" ref="I9:I19" si="9">ROUND(C9*G9,0)</f>
        <v>#REF!</v>
      </c>
      <c r="J9" s="169">
        <f t="shared" ref="J9:J19" si="10">ROUND(D9*G9,0)</f>
        <v>140595</v>
      </c>
      <c r="K9" s="169" t="e">
        <f t="shared" si="0"/>
        <v>#REF!</v>
      </c>
      <c r="L9" s="169">
        <f t="shared" si="1"/>
        <v>13789</v>
      </c>
      <c r="M9" s="493"/>
      <c r="N9" s="501">
        <f t="shared" si="2"/>
        <v>7.6400000000000001E-3</v>
      </c>
      <c r="O9" s="493" t="e">
        <f>#REF!</f>
        <v>#REF!</v>
      </c>
      <c r="P9" s="509">
        <f>'May Price Out'!P9</f>
        <v>5.4699999999999999E-2</v>
      </c>
      <c r="Q9" s="502">
        <f>E9-G9</f>
        <v>246111</v>
      </c>
      <c r="R9" s="502">
        <f>F9-H9</f>
        <v>0</v>
      </c>
      <c r="S9" s="169" t="e">
        <f t="shared" si="3"/>
        <v>#REF!</v>
      </c>
      <c r="T9" s="169">
        <f t="shared" ref="T9:T19" si="11">ROUND(P9*Q9,0)</f>
        <v>13462</v>
      </c>
      <c r="U9" s="169" t="e">
        <f t="shared" si="4"/>
        <v>#REF!</v>
      </c>
      <c r="V9" s="169">
        <f t="shared" si="5"/>
        <v>1880</v>
      </c>
      <c r="X9" s="500" t="s">
        <v>511</v>
      </c>
      <c r="Y9" s="503" t="e">
        <f t="shared" si="6"/>
        <v>#REF!</v>
      </c>
      <c r="Z9" s="503">
        <f t="shared" si="6"/>
        <v>154057</v>
      </c>
      <c r="AA9" s="503" t="e">
        <f t="shared" si="7"/>
        <v>#REF!</v>
      </c>
      <c r="AB9" s="503">
        <f t="shared" si="8"/>
        <v>15669</v>
      </c>
      <c r="AD9" s="503"/>
    </row>
    <row r="10" spans="1:30" x14ac:dyDescent="0.25">
      <c r="A10" s="500" t="s">
        <v>512</v>
      </c>
      <c r="B10" s="529">
        <f t="shared" ref="B10:B42" si="12">$B$8</f>
        <v>7.6400000000000001E-3</v>
      </c>
      <c r="C10" s="533" t="e">
        <f>#REF!</f>
        <v>#REF!</v>
      </c>
      <c r="D10" s="522">
        <v>0</v>
      </c>
      <c r="E10" s="530">
        <f>+'Adj Sales Forecast'!G38</f>
        <v>3149722</v>
      </c>
      <c r="F10" s="493">
        <v>0</v>
      </c>
      <c r="G10" s="8">
        <f t="shared" ref="G10:H19" si="13">ROUND(E10*0.88,0)</f>
        <v>2771755</v>
      </c>
      <c r="H10" s="8">
        <f>ROUND(F10*0.88,0)</f>
        <v>0</v>
      </c>
      <c r="I10" s="169" t="e">
        <f t="shared" si="9"/>
        <v>#REF!</v>
      </c>
      <c r="J10" s="169">
        <f t="shared" si="10"/>
        <v>0</v>
      </c>
      <c r="K10" s="169" t="e">
        <f t="shared" si="0"/>
        <v>#REF!</v>
      </c>
      <c r="L10" s="169">
        <f t="shared" si="1"/>
        <v>21176</v>
      </c>
      <c r="M10" s="493"/>
      <c r="N10" s="501">
        <f t="shared" si="2"/>
        <v>7.6400000000000001E-3</v>
      </c>
      <c r="O10" s="504" t="e">
        <f>#REF!</f>
        <v>#REF!</v>
      </c>
      <c r="P10" s="509">
        <f>'May Price Out'!P10</f>
        <v>0</v>
      </c>
      <c r="Q10" s="502">
        <f t="shared" ref="Q10:R19" si="14">E10-G10</f>
        <v>377967</v>
      </c>
      <c r="R10" s="502">
        <f>F10-H10</f>
        <v>0</v>
      </c>
      <c r="S10" s="169" t="e">
        <f t="shared" si="3"/>
        <v>#REF!</v>
      </c>
      <c r="T10" s="169">
        <f t="shared" si="11"/>
        <v>0</v>
      </c>
      <c r="U10" s="169" t="e">
        <f t="shared" si="4"/>
        <v>#REF!</v>
      </c>
      <c r="V10" s="169">
        <f t="shared" si="5"/>
        <v>2888</v>
      </c>
      <c r="X10" s="500" t="s">
        <v>512</v>
      </c>
      <c r="Y10" s="503" t="e">
        <f t="shared" si="6"/>
        <v>#REF!</v>
      </c>
      <c r="Z10" s="503">
        <f t="shared" si="6"/>
        <v>0</v>
      </c>
      <c r="AA10" s="503" t="e">
        <f t="shared" si="7"/>
        <v>#REF!</v>
      </c>
      <c r="AB10" s="503">
        <f t="shared" si="8"/>
        <v>24064</v>
      </c>
    </row>
    <row r="11" spans="1:30" x14ac:dyDescent="0.25">
      <c r="A11" s="500">
        <v>2</v>
      </c>
      <c r="B11" s="529">
        <f t="shared" si="12"/>
        <v>7.6400000000000001E-3</v>
      </c>
      <c r="C11" s="533" t="e">
        <f>#REF!</f>
        <v>#REF!</v>
      </c>
      <c r="D11" s="522">
        <f>+'May - Oct Capacity MSC by Class'!G21</f>
        <v>0.02</v>
      </c>
      <c r="E11" s="530">
        <f>+'Adj Sales Forecast'!G15</f>
        <v>173542096</v>
      </c>
      <c r="F11" s="493">
        <v>0</v>
      </c>
      <c r="G11" s="8">
        <f t="shared" si="13"/>
        <v>152717044</v>
      </c>
      <c r="H11" s="8">
        <f t="shared" si="13"/>
        <v>0</v>
      </c>
      <c r="I11" s="169" t="e">
        <f t="shared" si="9"/>
        <v>#REF!</v>
      </c>
      <c r="J11" s="169">
        <f t="shared" si="10"/>
        <v>3054341</v>
      </c>
      <c r="K11" s="169" t="e">
        <f t="shared" si="0"/>
        <v>#REF!</v>
      </c>
      <c r="L11" s="169">
        <f t="shared" si="1"/>
        <v>1166758</v>
      </c>
      <c r="M11" s="493"/>
      <c r="N11" s="501">
        <f t="shared" si="2"/>
        <v>7.6400000000000001E-3</v>
      </c>
      <c r="O11" s="504" t="e">
        <f>#REF!</f>
        <v>#REF!</v>
      </c>
      <c r="P11" s="509">
        <f>'May Price Out'!P11</f>
        <v>1.8599999999999998E-2</v>
      </c>
      <c r="Q11" s="502">
        <f t="shared" si="14"/>
        <v>20825052</v>
      </c>
      <c r="R11" s="502">
        <f t="shared" si="14"/>
        <v>0</v>
      </c>
      <c r="S11" s="169" t="e">
        <f t="shared" si="3"/>
        <v>#REF!</v>
      </c>
      <c r="T11" s="169">
        <f t="shared" si="11"/>
        <v>387346</v>
      </c>
      <c r="U11" s="169" t="e">
        <f t="shared" si="4"/>
        <v>#REF!</v>
      </c>
      <c r="V11" s="169">
        <f t="shared" si="5"/>
        <v>159103</v>
      </c>
      <c r="X11" s="500">
        <v>2</v>
      </c>
      <c r="Y11" s="503" t="e">
        <f t="shared" si="6"/>
        <v>#REF!</v>
      </c>
      <c r="Z11" s="503">
        <f t="shared" si="6"/>
        <v>3441687</v>
      </c>
      <c r="AA11" s="503" t="e">
        <f t="shared" si="7"/>
        <v>#REF!</v>
      </c>
      <c r="AB11" s="503">
        <f t="shared" si="8"/>
        <v>1325861</v>
      </c>
    </row>
    <row r="12" spans="1:30" x14ac:dyDescent="0.25">
      <c r="A12" s="500" t="s">
        <v>513</v>
      </c>
      <c r="B12" s="529">
        <f t="shared" si="12"/>
        <v>7.6400000000000001E-3</v>
      </c>
      <c r="C12" s="522" t="e">
        <f>#REF!</f>
        <v>#REF!</v>
      </c>
      <c r="D12" s="522">
        <f>+'May - Oct Capacity MSC by Class'!G43</f>
        <v>4.1200000000000001E-2</v>
      </c>
      <c r="E12" s="530">
        <f>+'Adj Sales Forecast'!G40</f>
        <v>3639648</v>
      </c>
      <c r="F12" s="493">
        <v>0</v>
      </c>
      <c r="G12" s="8">
        <f t="shared" si="13"/>
        <v>3202890</v>
      </c>
      <c r="H12" s="8">
        <f t="shared" si="13"/>
        <v>0</v>
      </c>
      <c r="I12" s="169" t="e">
        <f t="shared" si="9"/>
        <v>#REF!</v>
      </c>
      <c r="J12" s="169">
        <f t="shared" si="10"/>
        <v>131959</v>
      </c>
      <c r="K12" s="169" t="e">
        <f t="shared" si="0"/>
        <v>#REF!</v>
      </c>
      <c r="L12" s="169">
        <f t="shared" si="1"/>
        <v>24470</v>
      </c>
      <c r="M12" s="493"/>
      <c r="N12" s="501">
        <f t="shared" si="2"/>
        <v>7.6400000000000001E-3</v>
      </c>
      <c r="O12" s="493" t="e">
        <f>#REF!</f>
        <v>#REF!</v>
      </c>
      <c r="P12" s="509">
        <f>'May Price Out'!P12</f>
        <v>3.8199999999999998E-2</v>
      </c>
      <c r="Q12" s="502">
        <f t="shared" si="14"/>
        <v>436758</v>
      </c>
      <c r="R12" s="502">
        <f t="shared" si="14"/>
        <v>0</v>
      </c>
      <c r="S12" s="169" t="e">
        <f t="shared" si="3"/>
        <v>#REF!</v>
      </c>
      <c r="T12" s="169">
        <f t="shared" si="11"/>
        <v>16684</v>
      </c>
      <c r="U12" s="169" t="e">
        <f t="shared" si="4"/>
        <v>#REF!</v>
      </c>
      <c r="V12" s="169">
        <f t="shared" si="5"/>
        <v>3337</v>
      </c>
      <c r="X12" s="500" t="s">
        <v>513</v>
      </c>
      <c r="Y12" s="503" t="e">
        <f t="shared" si="6"/>
        <v>#REF!</v>
      </c>
      <c r="Z12" s="503">
        <f t="shared" si="6"/>
        <v>148643</v>
      </c>
      <c r="AA12" s="503" t="e">
        <f t="shared" si="7"/>
        <v>#REF!</v>
      </c>
      <c r="AB12" s="503">
        <f t="shared" si="8"/>
        <v>27807</v>
      </c>
    </row>
    <row r="13" spans="1:30" x14ac:dyDescent="0.25">
      <c r="A13" s="500" t="s">
        <v>514</v>
      </c>
      <c r="B13" s="529">
        <f t="shared" si="12"/>
        <v>7.6400000000000001E-3</v>
      </c>
      <c r="C13" s="533" t="e">
        <f>#REF!</f>
        <v>#REF!</v>
      </c>
      <c r="D13" s="522">
        <v>0</v>
      </c>
      <c r="E13" s="530">
        <f>+'Adj Sales Forecast'!G41</f>
        <v>4818256</v>
      </c>
      <c r="F13" s="493">
        <v>0</v>
      </c>
      <c r="G13" s="8">
        <f t="shared" si="13"/>
        <v>4240065</v>
      </c>
      <c r="H13" s="8">
        <f t="shared" si="13"/>
        <v>0</v>
      </c>
      <c r="I13" s="169" t="e">
        <f t="shared" si="9"/>
        <v>#REF!</v>
      </c>
      <c r="J13" s="169">
        <f t="shared" si="10"/>
        <v>0</v>
      </c>
      <c r="K13" s="169" t="e">
        <f t="shared" si="0"/>
        <v>#REF!</v>
      </c>
      <c r="L13" s="169">
        <f t="shared" si="1"/>
        <v>32394</v>
      </c>
      <c r="M13" s="493"/>
      <c r="N13" s="501">
        <f t="shared" si="2"/>
        <v>7.6400000000000001E-3</v>
      </c>
      <c r="O13" s="504" t="e">
        <f>#REF!</f>
        <v>#REF!</v>
      </c>
      <c r="P13" s="509">
        <f>'May Price Out'!P13</f>
        <v>0</v>
      </c>
      <c r="Q13" s="502">
        <f t="shared" si="14"/>
        <v>578191</v>
      </c>
      <c r="R13" s="502">
        <f t="shared" si="14"/>
        <v>0</v>
      </c>
      <c r="S13" s="169" t="e">
        <f t="shared" si="3"/>
        <v>#REF!</v>
      </c>
      <c r="T13" s="169">
        <f t="shared" si="11"/>
        <v>0</v>
      </c>
      <c r="U13" s="169" t="e">
        <f t="shared" si="4"/>
        <v>#REF!</v>
      </c>
      <c r="V13" s="169">
        <f t="shared" si="5"/>
        <v>4417</v>
      </c>
      <c r="X13" s="500" t="s">
        <v>514</v>
      </c>
      <c r="Y13" s="503" t="e">
        <f t="shared" si="6"/>
        <v>#REF!</v>
      </c>
      <c r="Z13" s="503">
        <f t="shared" si="6"/>
        <v>0</v>
      </c>
      <c r="AA13" s="503" t="e">
        <f t="shared" si="7"/>
        <v>#REF!</v>
      </c>
      <c r="AB13" s="503">
        <f t="shared" si="8"/>
        <v>36811</v>
      </c>
    </row>
    <row r="14" spans="1:30" x14ac:dyDescent="0.25">
      <c r="A14" s="500">
        <v>6</v>
      </c>
      <c r="B14" s="529">
        <f t="shared" si="12"/>
        <v>7.6400000000000001E-3</v>
      </c>
      <c r="C14" s="522" t="e">
        <f>#REF!</f>
        <v>#REF!</v>
      </c>
      <c r="D14" s="522">
        <f>+'May - Oct Capacity MSC by Class'!G25</f>
        <v>4.0000000000000002E-4</v>
      </c>
      <c r="E14" s="530">
        <f>+'Adj Sales Forecast'!G18</f>
        <v>583994</v>
      </c>
      <c r="F14" s="493">
        <v>0</v>
      </c>
      <c r="G14" s="8">
        <f t="shared" si="13"/>
        <v>513915</v>
      </c>
      <c r="H14" s="8">
        <f t="shared" si="13"/>
        <v>0</v>
      </c>
      <c r="I14" s="169" t="e">
        <f t="shared" si="9"/>
        <v>#REF!</v>
      </c>
      <c r="J14" s="169">
        <f t="shared" si="10"/>
        <v>206</v>
      </c>
      <c r="K14" s="169" t="e">
        <f t="shared" si="0"/>
        <v>#REF!</v>
      </c>
      <c r="L14" s="169">
        <f t="shared" si="1"/>
        <v>3926</v>
      </c>
      <c r="M14" s="493"/>
      <c r="N14" s="501">
        <f t="shared" si="2"/>
        <v>7.6400000000000001E-3</v>
      </c>
      <c r="O14" s="493" t="e">
        <f>#REF!</f>
        <v>#REF!</v>
      </c>
      <c r="P14" s="509">
        <f>'May Price Out'!P14</f>
        <v>4.0000000000000002E-4</v>
      </c>
      <c r="Q14" s="502">
        <f t="shared" si="14"/>
        <v>70079</v>
      </c>
      <c r="R14" s="502">
        <f t="shared" si="14"/>
        <v>0</v>
      </c>
      <c r="S14" s="169" t="e">
        <f t="shared" si="3"/>
        <v>#REF!</v>
      </c>
      <c r="T14" s="169">
        <f t="shared" si="11"/>
        <v>28</v>
      </c>
      <c r="U14" s="169" t="e">
        <f t="shared" si="4"/>
        <v>#REF!</v>
      </c>
      <c r="V14" s="169">
        <f t="shared" si="5"/>
        <v>535</v>
      </c>
      <c r="X14" s="500">
        <v>6</v>
      </c>
      <c r="Y14" s="503" t="e">
        <f t="shared" si="6"/>
        <v>#REF!</v>
      </c>
      <c r="Z14" s="503">
        <f t="shared" si="6"/>
        <v>234</v>
      </c>
      <c r="AA14" s="503" t="e">
        <f t="shared" si="7"/>
        <v>#REF!</v>
      </c>
      <c r="AB14" s="503">
        <f t="shared" si="8"/>
        <v>4461</v>
      </c>
    </row>
    <row r="15" spans="1:30" hidden="1" x14ac:dyDescent="0.25">
      <c r="A15" s="500">
        <v>7</v>
      </c>
      <c r="B15" s="529">
        <f t="shared" si="12"/>
        <v>7.6400000000000001E-3</v>
      </c>
      <c r="C15" s="522" t="e">
        <f>#REF!</f>
        <v>#REF!</v>
      </c>
      <c r="D15" s="522"/>
      <c r="E15" s="530"/>
      <c r="F15" s="493"/>
      <c r="G15" s="8"/>
      <c r="H15" s="8"/>
      <c r="I15" s="169"/>
      <c r="J15" s="169"/>
      <c r="K15" s="169"/>
      <c r="L15" s="169"/>
      <c r="M15" s="493"/>
      <c r="N15" s="501">
        <f t="shared" si="2"/>
        <v>7.6400000000000001E-3</v>
      </c>
      <c r="O15" s="493" t="e">
        <f>#REF!</f>
        <v>#REF!</v>
      </c>
      <c r="P15" s="508">
        <f>'May Price Out'!P15</f>
        <v>0</v>
      </c>
      <c r="Q15" s="502">
        <f t="shared" si="14"/>
        <v>0</v>
      </c>
      <c r="R15" s="502">
        <f t="shared" si="14"/>
        <v>0</v>
      </c>
      <c r="S15" s="169" t="e">
        <f t="shared" si="3"/>
        <v>#REF!</v>
      </c>
      <c r="T15" s="169">
        <f t="shared" si="11"/>
        <v>0</v>
      </c>
      <c r="U15" s="169" t="e">
        <f t="shared" si="4"/>
        <v>#REF!</v>
      </c>
      <c r="V15" s="169">
        <f t="shared" si="5"/>
        <v>0</v>
      </c>
      <c r="X15" s="500">
        <v>7</v>
      </c>
      <c r="Y15" s="503" t="e">
        <f t="shared" si="6"/>
        <v>#REF!</v>
      </c>
      <c r="Z15" s="503">
        <f t="shared" si="6"/>
        <v>0</v>
      </c>
      <c r="AA15" s="503" t="e">
        <f t="shared" si="7"/>
        <v>#REF!</v>
      </c>
      <c r="AB15" s="503">
        <f t="shared" si="8"/>
        <v>0</v>
      </c>
    </row>
    <row r="16" spans="1:30" hidden="1" x14ac:dyDescent="0.25">
      <c r="A16" s="500" t="s">
        <v>515</v>
      </c>
      <c r="B16" s="529">
        <f t="shared" si="12"/>
        <v>7.6400000000000001E-3</v>
      </c>
      <c r="C16" s="522" t="e">
        <f>#REF!</f>
        <v>#REF!</v>
      </c>
      <c r="D16" s="522"/>
      <c r="E16" s="530"/>
      <c r="F16" s="493"/>
      <c r="G16" s="8"/>
      <c r="H16" s="8"/>
      <c r="I16" s="169"/>
      <c r="J16" s="169"/>
      <c r="K16" s="169"/>
      <c r="L16" s="169"/>
      <c r="M16" s="493"/>
      <c r="N16" s="501">
        <f t="shared" si="2"/>
        <v>7.6400000000000001E-3</v>
      </c>
      <c r="O16" s="493" t="e">
        <f>#REF!</f>
        <v>#REF!</v>
      </c>
      <c r="P16" s="509">
        <f>'May Price Out'!P16</f>
        <v>0</v>
      </c>
      <c r="Q16" s="502">
        <f t="shared" si="14"/>
        <v>0</v>
      </c>
      <c r="R16" s="502">
        <f t="shared" si="14"/>
        <v>0</v>
      </c>
      <c r="S16" s="169" t="e">
        <f t="shared" si="3"/>
        <v>#REF!</v>
      </c>
      <c r="T16" s="169">
        <f t="shared" si="11"/>
        <v>0</v>
      </c>
      <c r="U16" s="169" t="e">
        <f t="shared" si="4"/>
        <v>#REF!</v>
      </c>
      <c r="V16" s="169">
        <f t="shared" si="5"/>
        <v>0</v>
      </c>
      <c r="X16" s="500" t="s">
        <v>515</v>
      </c>
      <c r="Y16" s="503" t="e">
        <f t="shared" si="6"/>
        <v>#REF!</v>
      </c>
      <c r="Z16" s="503">
        <f t="shared" si="6"/>
        <v>0</v>
      </c>
      <c r="AA16" s="503" t="e">
        <f t="shared" si="7"/>
        <v>#REF!</v>
      </c>
      <c r="AB16" s="503">
        <f t="shared" si="8"/>
        <v>0</v>
      </c>
    </row>
    <row r="17" spans="1:28" hidden="1" x14ac:dyDescent="0.25">
      <c r="A17" s="500" t="s">
        <v>516</v>
      </c>
      <c r="B17" s="529">
        <f t="shared" si="12"/>
        <v>7.6400000000000001E-3</v>
      </c>
      <c r="C17" s="533" t="e">
        <f>#REF!</f>
        <v>#REF!</v>
      </c>
      <c r="D17" s="522"/>
      <c r="E17" s="530"/>
      <c r="F17" s="493"/>
      <c r="G17" s="8"/>
      <c r="H17" s="8"/>
      <c r="I17" s="169"/>
      <c r="J17" s="169"/>
      <c r="K17" s="169"/>
      <c r="L17" s="169"/>
      <c r="M17" s="493"/>
      <c r="N17" s="501">
        <f t="shared" si="2"/>
        <v>7.6400000000000001E-3</v>
      </c>
      <c r="O17" s="504" t="e">
        <f>#REF!</f>
        <v>#REF!</v>
      </c>
      <c r="P17" s="509">
        <f>'May Price Out'!P17</f>
        <v>0</v>
      </c>
      <c r="Q17" s="502">
        <f t="shared" si="14"/>
        <v>0</v>
      </c>
      <c r="R17" s="502">
        <f t="shared" si="14"/>
        <v>0</v>
      </c>
      <c r="S17" s="169" t="e">
        <f t="shared" si="3"/>
        <v>#REF!</v>
      </c>
      <c r="T17" s="169">
        <f t="shared" si="11"/>
        <v>0</v>
      </c>
      <c r="U17" s="169" t="e">
        <f t="shared" si="4"/>
        <v>#REF!</v>
      </c>
      <c r="V17" s="169">
        <f t="shared" si="5"/>
        <v>0</v>
      </c>
      <c r="X17" s="500" t="s">
        <v>516</v>
      </c>
      <c r="Y17" s="503" t="e">
        <f t="shared" si="6"/>
        <v>#REF!</v>
      </c>
      <c r="Z17" s="503">
        <f t="shared" si="6"/>
        <v>0</v>
      </c>
      <c r="AA17" s="503" t="e">
        <f t="shared" si="7"/>
        <v>#REF!</v>
      </c>
      <c r="AB17" s="503">
        <f t="shared" si="8"/>
        <v>0</v>
      </c>
    </row>
    <row r="18" spans="1:28" x14ac:dyDescent="0.25">
      <c r="A18" s="500" t="s">
        <v>56</v>
      </c>
      <c r="B18" s="529">
        <f t="shared" si="12"/>
        <v>7.6400000000000001E-3</v>
      </c>
      <c r="C18" s="522" t="e">
        <f>#REF!</f>
        <v>#REF!</v>
      </c>
      <c r="D18" s="522">
        <f>+'May - Oct Capacity MSC by Class'!G30</f>
        <v>0</v>
      </c>
      <c r="E18" s="530">
        <f>+'Adj Sales Forecast'!G26</f>
        <v>0</v>
      </c>
      <c r="F18" s="493">
        <v>0</v>
      </c>
      <c r="G18" s="8">
        <f t="shared" si="13"/>
        <v>0</v>
      </c>
      <c r="H18" s="8">
        <f t="shared" si="13"/>
        <v>0</v>
      </c>
      <c r="I18" s="169" t="e">
        <f t="shared" si="9"/>
        <v>#REF!</v>
      </c>
      <c r="J18" s="169">
        <f t="shared" si="10"/>
        <v>0</v>
      </c>
      <c r="K18" s="169" t="e">
        <f t="shared" si="0"/>
        <v>#REF!</v>
      </c>
      <c r="L18" s="169">
        <f t="shared" si="1"/>
        <v>0</v>
      </c>
      <c r="M18" s="493"/>
      <c r="N18" s="501">
        <f t="shared" si="2"/>
        <v>7.6400000000000001E-3</v>
      </c>
      <c r="O18" s="493" t="e">
        <f>#REF!</f>
        <v>#REF!</v>
      </c>
      <c r="P18" s="509">
        <f>'May Price Out'!P18</f>
        <v>0</v>
      </c>
      <c r="Q18" s="502">
        <f t="shared" si="14"/>
        <v>0</v>
      </c>
      <c r="R18" s="502">
        <f t="shared" si="14"/>
        <v>0</v>
      </c>
      <c r="S18" s="169" t="e">
        <f t="shared" si="3"/>
        <v>#REF!</v>
      </c>
      <c r="T18" s="169">
        <f t="shared" si="11"/>
        <v>0</v>
      </c>
      <c r="U18" s="169" t="e">
        <f t="shared" si="4"/>
        <v>#REF!</v>
      </c>
      <c r="V18" s="169">
        <f t="shared" si="5"/>
        <v>0</v>
      </c>
      <c r="X18" s="500" t="s">
        <v>56</v>
      </c>
      <c r="Y18" s="503" t="e">
        <f t="shared" si="6"/>
        <v>#REF!</v>
      </c>
      <c r="Z18" s="503">
        <f t="shared" si="6"/>
        <v>0</v>
      </c>
      <c r="AA18" s="503" t="e">
        <f t="shared" si="7"/>
        <v>#REF!</v>
      </c>
      <c r="AB18" s="503">
        <f t="shared" si="8"/>
        <v>0</v>
      </c>
    </row>
    <row r="19" spans="1:28" x14ac:dyDescent="0.25">
      <c r="A19" s="500" t="s">
        <v>517</v>
      </c>
      <c r="B19" s="529">
        <f t="shared" si="12"/>
        <v>7.6400000000000001E-3</v>
      </c>
      <c r="C19" s="522" t="e">
        <f>#REF!</f>
        <v>#REF!</v>
      </c>
      <c r="D19" s="522">
        <f>+'May - Oct Capacity MSC by Class'!G32</f>
        <v>1.7100000000000001E-2</v>
      </c>
      <c r="E19" s="530">
        <f>+'Adj Sales Forecast'!G31</f>
        <v>58568</v>
      </c>
      <c r="F19" s="493">
        <v>0</v>
      </c>
      <c r="G19" s="8">
        <f t="shared" si="13"/>
        <v>51540</v>
      </c>
      <c r="H19" s="8">
        <f t="shared" si="13"/>
        <v>0</v>
      </c>
      <c r="I19" s="169" t="e">
        <f t="shared" si="9"/>
        <v>#REF!</v>
      </c>
      <c r="J19" s="169">
        <f t="shared" si="10"/>
        <v>881</v>
      </c>
      <c r="K19" s="169" t="e">
        <f t="shared" si="0"/>
        <v>#REF!</v>
      </c>
      <c r="L19" s="169">
        <f t="shared" si="1"/>
        <v>394</v>
      </c>
      <c r="M19" s="493"/>
      <c r="N19" s="501">
        <f t="shared" si="2"/>
        <v>7.6400000000000001E-3</v>
      </c>
      <c r="O19" s="493" t="e">
        <f>#REF!</f>
        <v>#REF!</v>
      </c>
      <c r="P19" s="509">
        <f>'May Price Out'!P19</f>
        <v>1.5900000000000001E-2</v>
      </c>
      <c r="Q19" s="502">
        <f t="shared" si="14"/>
        <v>7028</v>
      </c>
      <c r="R19" s="502">
        <f t="shared" si="14"/>
        <v>0</v>
      </c>
      <c r="S19" s="169" t="e">
        <f t="shared" si="3"/>
        <v>#REF!</v>
      </c>
      <c r="T19" s="169">
        <f t="shared" si="11"/>
        <v>112</v>
      </c>
      <c r="U19" s="169" t="e">
        <f t="shared" si="4"/>
        <v>#REF!</v>
      </c>
      <c r="V19" s="169">
        <f t="shared" si="5"/>
        <v>54</v>
      </c>
      <c r="X19" s="500" t="s">
        <v>517</v>
      </c>
      <c r="Y19" s="503" t="e">
        <f t="shared" si="6"/>
        <v>#REF!</v>
      </c>
      <c r="Z19" s="503">
        <f t="shared" si="6"/>
        <v>993</v>
      </c>
      <c r="AA19" s="503" t="e">
        <f t="shared" si="7"/>
        <v>#REF!</v>
      </c>
      <c r="AB19" s="503">
        <f t="shared" si="8"/>
        <v>448</v>
      </c>
    </row>
    <row r="20" spans="1:28" x14ac:dyDescent="0.25">
      <c r="A20" s="493"/>
      <c r="B20" s="522"/>
      <c r="C20" s="522"/>
      <c r="D20" s="522"/>
      <c r="E20" s="522"/>
      <c r="F20" s="493"/>
      <c r="G20" s="493"/>
      <c r="H20" s="493"/>
      <c r="I20" s="493"/>
      <c r="J20" s="493"/>
      <c r="K20" s="493"/>
      <c r="L20" s="493"/>
      <c r="M20" s="493"/>
      <c r="N20" s="493"/>
      <c r="O20" s="493"/>
      <c r="P20" s="493"/>
      <c r="Q20" s="493"/>
      <c r="R20" s="493"/>
      <c r="S20" s="493"/>
      <c r="T20" s="493"/>
      <c r="U20" s="493"/>
      <c r="V20" s="493"/>
      <c r="X20" s="493"/>
      <c r="Y20" s="503"/>
      <c r="Z20" s="503"/>
      <c r="AA20" s="503"/>
      <c r="AB20" s="503"/>
    </row>
    <row r="21" spans="1:28" x14ac:dyDescent="0.25">
      <c r="A21" s="493" t="s">
        <v>518</v>
      </c>
      <c r="B21" s="529">
        <f t="shared" si="12"/>
        <v>7.6400000000000001E-3</v>
      </c>
      <c r="C21" s="522" t="e">
        <f>#REF!</f>
        <v>#REF!</v>
      </c>
      <c r="D21" s="534">
        <f>+'May - Oct Capacity MSC by Class'!G24</f>
        <v>5.9</v>
      </c>
      <c r="E21" s="530">
        <f>+'Adj Sales Forecast'!G16</f>
        <v>45692</v>
      </c>
      <c r="F21" s="8">
        <f>'[100]Adj Demand Forecast '!G6</f>
        <v>100</v>
      </c>
      <c r="G21" s="8">
        <f t="shared" ref="G21:H24" si="15">ROUND(E21*0.88,0)</f>
        <v>40209</v>
      </c>
      <c r="H21" s="8">
        <f t="shared" si="15"/>
        <v>88</v>
      </c>
      <c r="I21" s="169" t="e">
        <f t="shared" ref="I21:J24" si="16">ROUND(C21*G21,0)</f>
        <v>#REF!</v>
      </c>
      <c r="J21" s="169">
        <f t="shared" si="16"/>
        <v>519</v>
      </c>
      <c r="K21" s="169" t="e">
        <f>I21+J21</f>
        <v>#REF!</v>
      </c>
      <c r="L21" s="169">
        <f>ROUND(B21*G21,0)</f>
        <v>307</v>
      </c>
      <c r="M21" s="493"/>
      <c r="N21" s="501">
        <f>$B$8</f>
        <v>7.6400000000000001E-3</v>
      </c>
      <c r="O21" s="493" t="e">
        <f>#REF!</f>
        <v>#REF!</v>
      </c>
      <c r="P21" s="505">
        <f>'May Price Out'!P21</f>
        <v>5.46</v>
      </c>
      <c r="Q21" s="502">
        <f t="shared" ref="Q21:R24" si="17">E21-G21</f>
        <v>5483</v>
      </c>
      <c r="R21" s="502">
        <f t="shared" si="17"/>
        <v>12</v>
      </c>
      <c r="S21" s="169" t="e">
        <f t="shared" ref="S21:T24" si="18">ROUND(O21*Q21,0)</f>
        <v>#REF!</v>
      </c>
      <c r="T21" s="169">
        <f t="shared" si="18"/>
        <v>66</v>
      </c>
      <c r="U21" s="169" t="e">
        <f>S21+T21</f>
        <v>#REF!</v>
      </c>
      <c r="V21" s="169">
        <f>ROUND(N21*Q21,0)</f>
        <v>42</v>
      </c>
      <c r="X21" s="493" t="s">
        <v>518</v>
      </c>
      <c r="Y21" s="503" t="e">
        <f t="shared" ref="Y21:Z24" si="19">I21+S21</f>
        <v>#REF!</v>
      </c>
      <c r="Z21" s="503">
        <f t="shared" si="19"/>
        <v>585</v>
      </c>
      <c r="AA21" s="503" t="e">
        <f>Y21+Z21</f>
        <v>#REF!</v>
      </c>
      <c r="AB21" s="503">
        <f>L21+V21</f>
        <v>349</v>
      </c>
    </row>
    <row r="22" spans="1:28" x14ac:dyDescent="0.25">
      <c r="A22" s="493" t="s">
        <v>303</v>
      </c>
      <c r="B22" s="529">
        <f t="shared" si="12"/>
        <v>7.6400000000000001E-3</v>
      </c>
      <c r="C22" s="522" t="e">
        <f>#REF!</f>
        <v>#REF!</v>
      </c>
      <c r="D22" s="534">
        <f>+'May - Oct Capacity MSC by Class'!G27</f>
        <v>7.48</v>
      </c>
      <c r="E22" s="530">
        <f>+'Adj Sales Forecast'!G22</f>
        <v>124000000</v>
      </c>
      <c r="F22" s="8">
        <f>'[100]Adj Demand Forecast '!G8</f>
        <v>309040</v>
      </c>
      <c r="G22" s="8">
        <f t="shared" si="15"/>
        <v>109120000</v>
      </c>
      <c r="H22" s="8">
        <f t="shared" si="15"/>
        <v>271955</v>
      </c>
      <c r="I22" s="169" t="e">
        <f t="shared" si="16"/>
        <v>#REF!</v>
      </c>
      <c r="J22" s="169">
        <f t="shared" si="16"/>
        <v>2034223</v>
      </c>
      <c r="K22" s="169" t="e">
        <f>I22+J22</f>
        <v>#REF!</v>
      </c>
      <c r="L22" s="169">
        <f>ROUND(B22*G22,0)</f>
        <v>833677</v>
      </c>
      <c r="M22" s="493"/>
      <c r="N22" s="501">
        <f>$B$8</f>
        <v>7.6400000000000001E-3</v>
      </c>
      <c r="O22" s="493" t="e">
        <f>#REF!</f>
        <v>#REF!</v>
      </c>
      <c r="P22" s="505">
        <f>'May Price Out'!P22</f>
        <v>6.92</v>
      </c>
      <c r="Q22" s="502">
        <f t="shared" si="17"/>
        <v>14880000</v>
      </c>
      <c r="R22" s="502">
        <f t="shared" si="17"/>
        <v>37085</v>
      </c>
      <c r="S22" s="169" t="e">
        <f t="shared" si="18"/>
        <v>#REF!</v>
      </c>
      <c r="T22" s="169">
        <f t="shared" si="18"/>
        <v>256628</v>
      </c>
      <c r="U22" s="169" t="e">
        <f>S22+T22</f>
        <v>#REF!</v>
      </c>
      <c r="V22" s="169">
        <f>ROUND(N22*Q22,0)</f>
        <v>113683</v>
      </c>
      <c r="X22" s="493" t="s">
        <v>303</v>
      </c>
      <c r="Y22" s="503" t="e">
        <f t="shared" si="19"/>
        <v>#REF!</v>
      </c>
      <c r="Z22" s="503">
        <f t="shared" si="19"/>
        <v>2290851</v>
      </c>
      <c r="AA22" s="503" t="e">
        <f>Y22+Z22</f>
        <v>#REF!</v>
      </c>
      <c r="AB22" s="503">
        <f>L22+V22</f>
        <v>947360</v>
      </c>
    </row>
    <row r="23" spans="1:28" x14ac:dyDescent="0.25">
      <c r="A23" s="493" t="s">
        <v>305</v>
      </c>
      <c r="B23" s="529">
        <f t="shared" si="12"/>
        <v>7.6400000000000001E-3</v>
      </c>
      <c r="C23" s="522" t="e">
        <f>#REF!</f>
        <v>#REF!</v>
      </c>
      <c r="D23" s="534">
        <f>+'May - Oct Capacity MSC by Class'!G29</f>
        <v>4.9400000000000004</v>
      </c>
      <c r="E23" s="530">
        <f>+'Adj Sales Forecast'!G27</f>
        <v>1288000000</v>
      </c>
      <c r="F23" s="8">
        <f>'[100]Adj Demand Forecast '!G14</f>
        <v>4430670.2</v>
      </c>
      <c r="G23" s="8">
        <f t="shared" si="15"/>
        <v>1133440000</v>
      </c>
      <c r="H23" s="8">
        <f t="shared" si="15"/>
        <v>3898990</v>
      </c>
      <c r="I23" s="169" t="e">
        <f t="shared" si="16"/>
        <v>#REF!</v>
      </c>
      <c r="J23" s="169">
        <f t="shared" si="16"/>
        <v>19261011</v>
      </c>
      <c r="K23" s="169" t="e">
        <f>I23+J23</f>
        <v>#REF!</v>
      </c>
      <c r="L23" s="169">
        <f>ROUND(B23*G23,0)</f>
        <v>8659482</v>
      </c>
      <c r="M23" s="493"/>
      <c r="N23" s="501">
        <f>$B$8</f>
        <v>7.6400000000000001E-3</v>
      </c>
      <c r="O23" s="493" t="e">
        <f>#REF!</f>
        <v>#REF!</v>
      </c>
      <c r="P23" s="505">
        <f>'May Price Out'!P23</f>
        <v>4.57</v>
      </c>
      <c r="Q23" s="502">
        <f t="shared" si="17"/>
        <v>154560000</v>
      </c>
      <c r="R23" s="502">
        <f t="shared" si="17"/>
        <v>531680.20000000019</v>
      </c>
      <c r="S23" s="169" t="e">
        <f t="shared" si="18"/>
        <v>#REF!</v>
      </c>
      <c r="T23" s="169">
        <f t="shared" si="18"/>
        <v>2429779</v>
      </c>
      <c r="U23" s="169" t="e">
        <f>S23+T23</f>
        <v>#REF!</v>
      </c>
      <c r="V23" s="169">
        <f>ROUND(N23*Q23,0)</f>
        <v>1180838</v>
      </c>
      <c r="X23" s="493" t="s">
        <v>305</v>
      </c>
      <c r="Y23" s="503" t="e">
        <f t="shared" si="19"/>
        <v>#REF!</v>
      </c>
      <c r="Z23" s="503">
        <f t="shared" si="19"/>
        <v>21690790</v>
      </c>
      <c r="AA23" s="503" t="e">
        <f>Y23+Z23</f>
        <v>#REF!</v>
      </c>
      <c r="AB23" s="503">
        <f>L23+V23</f>
        <v>9840320</v>
      </c>
    </row>
    <row r="24" spans="1:28" x14ac:dyDescent="0.25">
      <c r="A24" s="493" t="s">
        <v>310</v>
      </c>
      <c r="B24" s="529">
        <f t="shared" si="12"/>
        <v>7.6400000000000001E-3</v>
      </c>
      <c r="C24" s="522" t="e">
        <f>#REF!</f>
        <v>#REF!</v>
      </c>
      <c r="D24" s="534">
        <f>+'May - Oct Capacity MSC by Class'!G33</f>
        <v>7.23</v>
      </c>
      <c r="E24" s="530">
        <f>+'Adj Sales Forecast'!G32</f>
        <v>7941432</v>
      </c>
      <c r="F24" s="8">
        <f>'[100]Adj Demand Forecast '!G20</f>
        <v>19000</v>
      </c>
      <c r="G24" s="8">
        <f t="shared" si="15"/>
        <v>6988460</v>
      </c>
      <c r="H24" s="8">
        <f t="shared" si="15"/>
        <v>16720</v>
      </c>
      <c r="I24" s="169" t="e">
        <f t="shared" si="16"/>
        <v>#REF!</v>
      </c>
      <c r="J24" s="169">
        <f t="shared" si="16"/>
        <v>120886</v>
      </c>
      <c r="K24" s="169" t="e">
        <f>I24+J24</f>
        <v>#REF!</v>
      </c>
      <c r="L24" s="169">
        <f>ROUND(B24*G24,0)</f>
        <v>53392</v>
      </c>
      <c r="M24" s="493"/>
      <c r="N24" s="501">
        <f>$B$8</f>
        <v>7.6400000000000001E-3</v>
      </c>
      <c r="O24" s="493" t="e">
        <f>#REF!</f>
        <v>#REF!</v>
      </c>
      <c r="P24" s="505">
        <f>'May Price Out'!P24</f>
        <v>6.69</v>
      </c>
      <c r="Q24" s="502">
        <f t="shared" si="17"/>
        <v>952972</v>
      </c>
      <c r="R24" s="502">
        <f t="shared" si="17"/>
        <v>2280</v>
      </c>
      <c r="S24" s="169" t="e">
        <f t="shared" si="18"/>
        <v>#REF!</v>
      </c>
      <c r="T24" s="169">
        <f t="shared" si="18"/>
        <v>15253</v>
      </c>
      <c r="U24" s="169" t="e">
        <f>S24+T24</f>
        <v>#REF!</v>
      </c>
      <c r="V24" s="169">
        <f>ROUND(N24*Q24,0)</f>
        <v>7281</v>
      </c>
      <c r="X24" s="493" t="s">
        <v>310</v>
      </c>
      <c r="Y24" s="503" t="e">
        <f t="shared" si="19"/>
        <v>#REF!</v>
      </c>
      <c r="Z24" s="503">
        <f t="shared" si="19"/>
        <v>136139</v>
      </c>
      <c r="AA24" s="503" t="e">
        <f>Y24+Z24</f>
        <v>#REF!</v>
      </c>
      <c r="AB24" s="503">
        <f>L24+V24</f>
        <v>60673</v>
      </c>
    </row>
    <row r="25" spans="1:28" x14ac:dyDescent="0.25">
      <c r="A25" s="493"/>
      <c r="B25" s="522"/>
      <c r="C25" s="522"/>
      <c r="D25" s="522"/>
      <c r="E25" s="522"/>
      <c r="F25" s="8"/>
      <c r="G25" s="8"/>
      <c r="H25" s="8"/>
      <c r="I25" s="493"/>
      <c r="J25" s="493"/>
      <c r="K25" s="493"/>
      <c r="L25" s="493"/>
      <c r="M25" s="493"/>
      <c r="N25" s="493"/>
      <c r="O25" s="493"/>
      <c r="P25" s="493"/>
      <c r="Q25" s="493"/>
      <c r="R25" s="8"/>
      <c r="S25" s="169"/>
      <c r="T25" s="169"/>
      <c r="U25" s="169"/>
      <c r="V25" s="169"/>
      <c r="X25" s="493"/>
      <c r="Y25" s="503"/>
      <c r="Z25" s="503"/>
      <c r="AA25" s="503"/>
      <c r="AB25" s="503"/>
    </row>
    <row r="26" spans="1:28" x14ac:dyDescent="0.25">
      <c r="A26" s="493" t="s">
        <v>519</v>
      </c>
      <c r="B26" s="529">
        <f t="shared" si="12"/>
        <v>7.6400000000000001E-3</v>
      </c>
      <c r="C26" s="533" t="e">
        <f>#REF!</f>
        <v>#REF!</v>
      </c>
      <c r="D26" s="534">
        <f>+'May - Oct Capacity MSC by Class'!G45</f>
        <v>8.15</v>
      </c>
      <c r="E26" s="476">
        <f>+'Forecasted TOD kWh by Period'!G35</f>
        <v>57195600</v>
      </c>
      <c r="F26" s="8">
        <f>'[100]Forecasted TOD kW by Period'!L26</f>
        <v>27330</v>
      </c>
      <c r="G26" s="8">
        <f t="shared" ref="G26:G31" si="20">ROUND(E26*0.88,0)</f>
        <v>50332128</v>
      </c>
      <c r="H26" s="8">
        <f>ROUND(F26*0.88,0)</f>
        <v>24050</v>
      </c>
      <c r="I26" s="169" t="e">
        <f t="shared" ref="I26:J31" si="21">ROUND(C26*G26,0)</f>
        <v>#REF!</v>
      </c>
      <c r="J26" s="169">
        <f t="shared" si="21"/>
        <v>196008</v>
      </c>
      <c r="K26" s="169" t="e">
        <f>I26+J26</f>
        <v>#REF!</v>
      </c>
      <c r="L26" s="169">
        <f>ROUND(B26*G26,0)</f>
        <v>384537</v>
      </c>
      <c r="M26" s="493"/>
      <c r="N26" s="501">
        <f t="shared" ref="N26:N31" si="22">$B$8</f>
        <v>7.6400000000000001E-3</v>
      </c>
      <c r="O26" s="504" t="e">
        <f>#REF!</f>
        <v>#REF!</v>
      </c>
      <c r="P26" s="505">
        <f>'May Price Out'!P26</f>
        <v>7.54</v>
      </c>
      <c r="Q26" s="502">
        <f>E26-G26</f>
        <v>6863472</v>
      </c>
      <c r="R26" s="502">
        <f>F26-H26</f>
        <v>3280</v>
      </c>
      <c r="S26" s="169" t="e">
        <f t="shared" ref="S26:T31" si="23">ROUND(O26*Q26,0)</f>
        <v>#REF!</v>
      </c>
      <c r="T26" s="169">
        <f t="shared" si="23"/>
        <v>24731</v>
      </c>
      <c r="U26" s="169" t="e">
        <f t="shared" ref="U26:U31" si="24">S26+T26</f>
        <v>#REF!</v>
      </c>
      <c r="V26" s="169">
        <f t="shared" ref="V26:V31" si="25">ROUND(N26*Q26,0)</f>
        <v>52437</v>
      </c>
      <c r="X26" s="493" t="s">
        <v>519</v>
      </c>
      <c r="Y26" s="503" t="e">
        <f t="shared" ref="Y26:Z31" si="26">I26+S26</f>
        <v>#REF!</v>
      </c>
      <c r="Z26" s="503">
        <f t="shared" si="26"/>
        <v>220739</v>
      </c>
      <c r="AA26" s="503" t="e">
        <f t="shared" ref="AA26:AA31" si="27">Y26+Z26</f>
        <v>#REF!</v>
      </c>
      <c r="AB26" s="503">
        <f t="shared" ref="AB26:AB31" si="28">L26+V26</f>
        <v>436974</v>
      </c>
    </row>
    <row r="27" spans="1:28" x14ac:dyDescent="0.25">
      <c r="A27" s="493" t="s">
        <v>520</v>
      </c>
      <c r="B27" s="529">
        <f t="shared" si="12"/>
        <v>7.6400000000000001E-3</v>
      </c>
      <c r="C27" s="533" t="e">
        <f>#REF!</f>
        <v>#REF!</v>
      </c>
      <c r="D27" s="522"/>
      <c r="E27" s="476">
        <f>+'Forecasted TOD kWh by Period'!G36</f>
        <v>74804400</v>
      </c>
      <c r="F27" s="8"/>
      <c r="G27" s="8">
        <f t="shared" si="20"/>
        <v>65827872</v>
      </c>
      <c r="H27" s="8"/>
      <c r="I27" s="169" t="e">
        <f t="shared" si="21"/>
        <v>#REF!</v>
      </c>
      <c r="J27" s="169">
        <f t="shared" si="21"/>
        <v>0</v>
      </c>
      <c r="K27" s="169" t="e">
        <f>I27+J27</f>
        <v>#REF!</v>
      </c>
      <c r="L27" s="169">
        <f>ROUND(B27*G27,0)</f>
        <v>502925</v>
      </c>
      <c r="M27" s="493"/>
      <c r="N27" s="501">
        <f t="shared" si="22"/>
        <v>7.6400000000000001E-3</v>
      </c>
      <c r="O27" s="504" t="e">
        <f>#REF!</f>
        <v>#REF!</v>
      </c>
      <c r="P27" s="493">
        <f>'May Price Out'!P27</f>
        <v>0</v>
      </c>
      <c r="Q27" s="502">
        <f>E27-G27</f>
        <v>8976528</v>
      </c>
      <c r="R27" s="502"/>
      <c r="S27" s="169" t="e">
        <f t="shared" si="23"/>
        <v>#REF!</v>
      </c>
      <c r="T27" s="169">
        <f t="shared" si="23"/>
        <v>0</v>
      </c>
      <c r="U27" s="169" t="e">
        <f t="shared" si="24"/>
        <v>#REF!</v>
      </c>
      <c r="V27" s="169">
        <f t="shared" si="25"/>
        <v>68581</v>
      </c>
      <c r="X27" s="493" t="s">
        <v>520</v>
      </c>
      <c r="Y27" s="503" t="e">
        <f t="shared" si="26"/>
        <v>#REF!</v>
      </c>
      <c r="Z27" s="503">
        <f t="shared" si="26"/>
        <v>0</v>
      </c>
      <c r="AA27" s="503" t="e">
        <f t="shared" si="27"/>
        <v>#REF!</v>
      </c>
      <c r="AB27" s="503">
        <f t="shared" si="28"/>
        <v>571506</v>
      </c>
    </row>
    <row r="28" spans="1:28" x14ac:dyDescent="0.25">
      <c r="A28" s="493" t="s">
        <v>521</v>
      </c>
      <c r="B28" s="529">
        <f t="shared" si="12"/>
        <v>7.6400000000000001E-3</v>
      </c>
      <c r="C28" s="533" t="e">
        <f>#REF!</f>
        <v>#REF!</v>
      </c>
      <c r="D28" s="534">
        <f>+'May - Oct Capacity MSC by Class'!G46</f>
        <v>5.05</v>
      </c>
      <c r="E28" s="530">
        <f>+'Forecasted TOD kWh by Period'!G39</f>
        <v>638807400</v>
      </c>
      <c r="F28" s="8">
        <f>'[100]Forecasted TOD kW by Period'!L30</f>
        <v>212752</v>
      </c>
      <c r="G28" s="8">
        <f t="shared" si="20"/>
        <v>562150512</v>
      </c>
      <c r="H28" s="8">
        <f>ROUND(F28*0.88,0)</f>
        <v>187222</v>
      </c>
      <c r="I28" s="169" t="e">
        <f t="shared" si="21"/>
        <v>#REF!</v>
      </c>
      <c r="J28" s="169">
        <f t="shared" si="21"/>
        <v>945471</v>
      </c>
      <c r="K28" s="169" t="e">
        <f>I28+J28</f>
        <v>#REF!</v>
      </c>
      <c r="L28" s="169">
        <f>ROUND(B28*G28,0)</f>
        <v>4294830</v>
      </c>
      <c r="M28" s="493"/>
      <c r="N28" s="501">
        <f t="shared" si="22"/>
        <v>7.6400000000000001E-3</v>
      </c>
      <c r="O28" s="504" t="e">
        <f>#REF!</f>
        <v>#REF!</v>
      </c>
      <c r="P28" s="505">
        <f>'May Price Out'!P28</f>
        <v>4.68</v>
      </c>
      <c r="Q28" s="502">
        <f>E28-G28</f>
        <v>76656888</v>
      </c>
      <c r="R28" s="502">
        <f>F28-H28</f>
        <v>25530</v>
      </c>
      <c r="S28" s="169" t="e">
        <f t="shared" si="23"/>
        <v>#REF!</v>
      </c>
      <c r="T28" s="169">
        <f t="shared" si="23"/>
        <v>119480</v>
      </c>
      <c r="U28" s="169" t="e">
        <f t="shared" si="24"/>
        <v>#REF!</v>
      </c>
      <c r="V28" s="169">
        <f t="shared" si="25"/>
        <v>585659</v>
      </c>
      <c r="X28" s="493" t="s">
        <v>521</v>
      </c>
      <c r="Y28" s="503" t="e">
        <f t="shared" si="26"/>
        <v>#REF!</v>
      </c>
      <c r="Z28" s="503">
        <f t="shared" si="26"/>
        <v>1064951</v>
      </c>
      <c r="AA28" s="503" t="e">
        <f t="shared" si="27"/>
        <v>#REF!</v>
      </c>
      <c r="AB28" s="503">
        <f t="shared" si="28"/>
        <v>4880489</v>
      </c>
    </row>
    <row r="29" spans="1:28" x14ac:dyDescent="0.25">
      <c r="A29" s="493" t="s">
        <v>522</v>
      </c>
      <c r="B29" s="529">
        <f t="shared" si="12"/>
        <v>7.6400000000000001E-3</v>
      </c>
      <c r="C29" s="533" t="e">
        <f>#REF!</f>
        <v>#REF!</v>
      </c>
      <c r="D29" s="522"/>
      <c r="E29" s="530">
        <f>+'Forecasted TOD kWh by Period'!G40</f>
        <v>747192600</v>
      </c>
      <c r="F29" s="8"/>
      <c r="G29" s="8">
        <f t="shared" si="20"/>
        <v>657529488</v>
      </c>
      <c r="H29" s="8"/>
      <c r="I29" s="169" t="e">
        <f t="shared" si="21"/>
        <v>#REF!</v>
      </c>
      <c r="J29" s="169">
        <f t="shared" si="21"/>
        <v>0</v>
      </c>
      <c r="K29" s="169" t="e">
        <f>I29+J29</f>
        <v>#REF!</v>
      </c>
      <c r="L29" s="169">
        <f>ROUND(B29*G29,0)</f>
        <v>5023525</v>
      </c>
      <c r="M29" s="493"/>
      <c r="N29" s="501">
        <f t="shared" si="22"/>
        <v>7.6400000000000001E-3</v>
      </c>
      <c r="O29" s="504" t="e">
        <f>#REF!</f>
        <v>#REF!</v>
      </c>
      <c r="P29" s="493">
        <f>'May Price Out'!P29</f>
        <v>0</v>
      </c>
      <c r="Q29" s="502">
        <f>E29-G29</f>
        <v>89663112</v>
      </c>
      <c r="R29" s="502"/>
      <c r="S29" s="169" t="e">
        <f t="shared" si="23"/>
        <v>#REF!</v>
      </c>
      <c r="T29" s="169">
        <f t="shared" si="23"/>
        <v>0</v>
      </c>
      <c r="U29" s="169" t="e">
        <f t="shared" si="24"/>
        <v>#REF!</v>
      </c>
      <c r="V29" s="169">
        <f t="shared" si="25"/>
        <v>685026</v>
      </c>
      <c r="X29" s="493" t="s">
        <v>522</v>
      </c>
      <c r="Y29" s="503" t="e">
        <f t="shared" si="26"/>
        <v>#REF!</v>
      </c>
      <c r="Z29" s="503">
        <f t="shared" si="26"/>
        <v>0</v>
      </c>
      <c r="AA29" s="503" t="e">
        <f t="shared" si="27"/>
        <v>#REF!</v>
      </c>
      <c r="AB29" s="503">
        <f t="shared" si="28"/>
        <v>5708551</v>
      </c>
    </row>
    <row r="30" spans="1:28" x14ac:dyDescent="0.25">
      <c r="A30" s="493" t="s">
        <v>523</v>
      </c>
      <c r="B30" s="529">
        <f t="shared" si="12"/>
        <v>7.6400000000000001E-3</v>
      </c>
      <c r="C30" s="533" t="e">
        <f>#REF!</f>
        <v>#REF!</v>
      </c>
      <c r="D30" s="534">
        <f>+'May - Oct Capacity MSC by Class'!G47</f>
        <v>7.69</v>
      </c>
      <c r="E30" s="476">
        <f>+'Adj Sales Forecast'!G33</f>
        <v>0</v>
      </c>
      <c r="F30" s="8">
        <f>'[100]Adj Demand Forecast '!B21</f>
        <v>0</v>
      </c>
      <c r="G30" s="8">
        <f t="shared" si="20"/>
        <v>0</v>
      </c>
      <c r="H30" s="8">
        <f>ROUND(F30*0.88,0)</f>
        <v>0</v>
      </c>
      <c r="I30" s="169" t="e">
        <f t="shared" si="21"/>
        <v>#REF!</v>
      </c>
      <c r="J30" s="169">
        <f t="shared" si="21"/>
        <v>0</v>
      </c>
      <c r="K30" s="169" t="e">
        <f>I30+J30</f>
        <v>#REF!</v>
      </c>
      <c r="L30" s="169">
        <f>ROUND(B30*G30,0)</f>
        <v>0</v>
      </c>
      <c r="M30" s="493"/>
      <c r="N30" s="501">
        <f t="shared" si="22"/>
        <v>7.6400000000000001E-3</v>
      </c>
      <c r="O30" s="504" t="e">
        <f>#REF!</f>
        <v>#REF!</v>
      </c>
      <c r="P30" s="505">
        <f>'May Price Out'!P30</f>
        <v>7.12</v>
      </c>
      <c r="Q30" s="65">
        <f>E30-G30</f>
        <v>0</v>
      </c>
      <c r="R30" s="65">
        <f>F30-H30</f>
        <v>0</v>
      </c>
      <c r="S30" s="169" t="e">
        <f t="shared" si="23"/>
        <v>#REF!</v>
      </c>
      <c r="T30" s="169">
        <f t="shared" si="23"/>
        <v>0</v>
      </c>
      <c r="U30" s="169" t="e">
        <f t="shared" si="24"/>
        <v>#REF!</v>
      </c>
      <c r="V30" s="169">
        <f t="shared" si="25"/>
        <v>0</v>
      </c>
      <c r="X30" s="493" t="s">
        <v>523</v>
      </c>
      <c r="Y30" s="503" t="e">
        <f t="shared" si="26"/>
        <v>#REF!</v>
      </c>
      <c r="Z30" s="503">
        <f t="shared" si="26"/>
        <v>0</v>
      </c>
      <c r="AA30" s="503" t="e">
        <f t="shared" si="27"/>
        <v>#REF!</v>
      </c>
      <c r="AB30" s="503">
        <f t="shared" si="28"/>
        <v>0</v>
      </c>
    </row>
    <row r="31" spans="1:28" x14ac:dyDescent="0.25">
      <c r="A31" s="493" t="s">
        <v>524</v>
      </c>
      <c r="B31" s="529">
        <f t="shared" si="12"/>
        <v>7.6400000000000001E-3</v>
      </c>
      <c r="C31" s="533" t="e">
        <f>#REF!</f>
        <v>#REF!</v>
      </c>
      <c r="D31" s="522"/>
      <c r="E31" s="535">
        <v>0</v>
      </c>
      <c r="F31" s="8"/>
      <c r="G31" s="8">
        <f t="shared" si="20"/>
        <v>0</v>
      </c>
      <c r="H31" s="8"/>
      <c r="I31" s="169" t="e">
        <f t="shared" si="21"/>
        <v>#REF!</v>
      </c>
      <c r="J31" s="169">
        <f t="shared" si="21"/>
        <v>0</v>
      </c>
      <c r="K31" s="169" t="e">
        <f>ROUND(D31*I31,0)</f>
        <v>#REF!</v>
      </c>
      <c r="L31" s="169">
        <f>ROUND(E31*J31,0)</f>
        <v>0</v>
      </c>
      <c r="M31" s="493"/>
      <c r="N31" s="501">
        <f t="shared" si="22"/>
        <v>7.6400000000000001E-3</v>
      </c>
      <c r="O31" s="504" t="e">
        <f>#REF!</f>
        <v>#REF!</v>
      </c>
      <c r="P31" s="493">
        <f>'May Price Out'!P31</f>
        <v>0</v>
      </c>
      <c r="Q31" s="65">
        <v>0</v>
      </c>
      <c r="R31" s="65">
        <v>0</v>
      </c>
      <c r="S31" s="169" t="e">
        <f t="shared" si="23"/>
        <v>#REF!</v>
      </c>
      <c r="T31" s="169">
        <f t="shared" si="23"/>
        <v>0</v>
      </c>
      <c r="U31" s="169" t="e">
        <f t="shared" si="24"/>
        <v>#REF!</v>
      </c>
      <c r="V31" s="169">
        <f t="shared" si="25"/>
        <v>0</v>
      </c>
      <c r="X31" s="493" t="s">
        <v>524</v>
      </c>
      <c r="Y31" s="503" t="e">
        <f t="shared" si="26"/>
        <v>#REF!</v>
      </c>
      <c r="Z31" s="503">
        <f t="shared" si="26"/>
        <v>0</v>
      </c>
      <c r="AA31" s="503" t="e">
        <f t="shared" si="27"/>
        <v>#REF!</v>
      </c>
      <c r="AB31" s="503">
        <f t="shared" si="28"/>
        <v>0</v>
      </c>
    </row>
    <row r="32" spans="1:28" x14ac:dyDescent="0.25">
      <c r="A32" s="493"/>
      <c r="B32" s="533"/>
      <c r="C32" s="533"/>
      <c r="D32" s="522"/>
      <c r="E32" s="522"/>
      <c r="F32" s="8"/>
      <c r="G32" s="8"/>
      <c r="H32" s="8"/>
      <c r="I32" s="493"/>
      <c r="J32" s="493"/>
      <c r="K32" s="493"/>
      <c r="L32" s="493"/>
      <c r="M32" s="493"/>
      <c r="N32" s="493"/>
      <c r="O32" s="504"/>
      <c r="P32" s="493"/>
      <c r="Q32" s="493"/>
      <c r="R32" s="8"/>
      <c r="S32" s="493"/>
      <c r="T32" s="493"/>
      <c r="U32" s="493"/>
      <c r="V32" s="493"/>
      <c r="X32" s="493"/>
      <c r="Y32" s="503"/>
      <c r="Z32" s="503"/>
      <c r="AA32" s="503"/>
      <c r="AB32" s="503"/>
    </row>
    <row r="33" spans="1:28" x14ac:dyDescent="0.25">
      <c r="A33" s="493" t="s">
        <v>525</v>
      </c>
      <c r="B33" s="529">
        <f t="shared" si="12"/>
        <v>7.6400000000000001E-3</v>
      </c>
      <c r="C33" s="533" t="e">
        <f>#REF!</f>
        <v>#REF!</v>
      </c>
      <c r="D33" s="534">
        <f>+'May - Oct Capacity MSC by Class'!G24</f>
        <v>5.9</v>
      </c>
      <c r="E33" s="530">
        <f>+'Forecasted TOD kWh by Period'!G8</f>
        <v>3906000</v>
      </c>
      <c r="F33" s="8">
        <f>'[100]Forecasted TOD kW by Period'!L6</f>
        <v>16046</v>
      </c>
      <c r="G33" s="8">
        <f t="shared" ref="G33:G42" si="29">ROUND(E33*0.88,0)</f>
        <v>3437280</v>
      </c>
      <c r="H33" s="8">
        <f>ROUND(F33*0.88,0)</f>
        <v>14120</v>
      </c>
      <c r="I33" s="169" t="e">
        <f t="shared" ref="I33:J42" si="30">ROUND(C33*G33,0)</f>
        <v>#REF!</v>
      </c>
      <c r="J33" s="169">
        <f t="shared" si="30"/>
        <v>83308</v>
      </c>
      <c r="K33" s="169" t="e">
        <f t="shared" ref="K33:K42" si="31">I33+J33</f>
        <v>#REF!</v>
      </c>
      <c r="L33" s="169">
        <f t="shared" ref="L33:L42" si="32">ROUND(B33*G33,0)</f>
        <v>26261</v>
      </c>
      <c r="M33" s="493"/>
      <c r="N33" s="501">
        <f t="shared" ref="N33:N42" si="33">$B$8</f>
        <v>7.6400000000000001E-3</v>
      </c>
      <c r="O33" s="504" t="e">
        <f>#REF!</f>
        <v>#REF!</v>
      </c>
      <c r="P33" s="505">
        <f>'May Price Out'!P33</f>
        <v>5.46</v>
      </c>
      <c r="Q33" s="502">
        <f t="shared" ref="Q33:Q42" si="34">E33-G33</f>
        <v>468720</v>
      </c>
      <c r="R33" s="502">
        <f>F33-H33</f>
        <v>1926</v>
      </c>
      <c r="S33" s="169" t="e">
        <f t="shared" ref="S33:T42" si="35">ROUND(O33*Q33,0)</f>
        <v>#REF!</v>
      </c>
      <c r="T33" s="169">
        <f t="shared" si="35"/>
        <v>10516</v>
      </c>
      <c r="U33" s="169" t="e">
        <f t="shared" ref="U33:U42" si="36">S33+T33</f>
        <v>#REF!</v>
      </c>
      <c r="V33" s="169">
        <f t="shared" ref="V33:V42" si="37">ROUND(N33*Q33,0)</f>
        <v>3581</v>
      </c>
      <c r="X33" s="493" t="s">
        <v>525</v>
      </c>
      <c r="Y33" s="503" t="e">
        <f t="shared" ref="Y33:Z42" si="38">I33+S33</f>
        <v>#REF!</v>
      </c>
      <c r="Z33" s="503">
        <f t="shared" si="38"/>
        <v>93824</v>
      </c>
      <c r="AA33" s="503" t="e">
        <f t="shared" ref="AA33:AA42" si="39">Y33+Z33</f>
        <v>#REF!</v>
      </c>
      <c r="AB33" s="503">
        <f t="shared" ref="AB33:AB42" si="40">L33+V33</f>
        <v>29842</v>
      </c>
    </row>
    <row r="34" spans="1:28" x14ac:dyDescent="0.25">
      <c r="A34" s="493" t="s">
        <v>526</v>
      </c>
      <c r="B34" s="529">
        <f t="shared" si="12"/>
        <v>7.6400000000000001E-3</v>
      </c>
      <c r="C34" s="533" t="e">
        <f>#REF!</f>
        <v>#REF!</v>
      </c>
      <c r="D34" s="522"/>
      <c r="E34" s="530">
        <f>+'Forecasted TOD kWh by Period'!G9</f>
        <v>5094000</v>
      </c>
      <c r="F34" s="8"/>
      <c r="G34" s="8">
        <f t="shared" si="29"/>
        <v>4482720</v>
      </c>
      <c r="H34" s="8"/>
      <c r="I34" s="169" t="e">
        <f t="shared" si="30"/>
        <v>#REF!</v>
      </c>
      <c r="J34" s="169">
        <f t="shared" si="30"/>
        <v>0</v>
      </c>
      <c r="K34" s="169" t="e">
        <f t="shared" si="31"/>
        <v>#REF!</v>
      </c>
      <c r="L34" s="169">
        <f t="shared" si="32"/>
        <v>34248</v>
      </c>
      <c r="M34" s="493"/>
      <c r="N34" s="501">
        <f t="shared" si="33"/>
        <v>7.6400000000000001E-3</v>
      </c>
      <c r="O34" s="504" t="e">
        <f>#REF!</f>
        <v>#REF!</v>
      </c>
      <c r="P34" s="493">
        <f>'May Price Out'!P34</f>
        <v>0</v>
      </c>
      <c r="Q34" s="502">
        <f t="shared" si="34"/>
        <v>611280</v>
      </c>
      <c r="R34" s="502"/>
      <c r="S34" s="169" t="e">
        <f t="shared" si="35"/>
        <v>#REF!</v>
      </c>
      <c r="T34" s="169">
        <f t="shared" si="35"/>
        <v>0</v>
      </c>
      <c r="U34" s="169" t="e">
        <f t="shared" si="36"/>
        <v>#REF!</v>
      </c>
      <c r="V34" s="169">
        <f t="shared" si="37"/>
        <v>4670</v>
      </c>
      <c r="X34" s="493" t="s">
        <v>526</v>
      </c>
      <c r="Y34" s="503" t="e">
        <f t="shared" si="38"/>
        <v>#REF!</v>
      </c>
      <c r="Z34" s="503">
        <f t="shared" si="38"/>
        <v>0</v>
      </c>
      <c r="AA34" s="503" t="e">
        <f t="shared" si="39"/>
        <v>#REF!</v>
      </c>
      <c r="AB34" s="503">
        <f t="shared" si="40"/>
        <v>38918</v>
      </c>
    </row>
    <row r="35" spans="1:28" x14ac:dyDescent="0.25">
      <c r="A35" s="493" t="s">
        <v>527</v>
      </c>
      <c r="B35" s="529">
        <f t="shared" si="12"/>
        <v>7.6400000000000001E-3</v>
      </c>
      <c r="C35" s="533" t="e">
        <f>#REF!</f>
        <v>#REF!</v>
      </c>
      <c r="D35" s="534">
        <f>+'May - Oct Capacity MSC by Class'!G28</f>
        <v>5.0199999999999996</v>
      </c>
      <c r="E35" s="530">
        <f>+'Forecasted TOD kWh by Period'!G12</f>
        <v>8938000</v>
      </c>
      <c r="F35" s="8">
        <f>'[100]Forecasted TOD kW by Period'!L10</f>
        <v>24930</v>
      </c>
      <c r="G35" s="8">
        <f t="shared" si="29"/>
        <v>7865440</v>
      </c>
      <c r="H35" s="8">
        <f>ROUND(F35*0.88,0)</f>
        <v>21938</v>
      </c>
      <c r="I35" s="169" t="e">
        <f t="shared" si="30"/>
        <v>#REF!</v>
      </c>
      <c r="J35" s="169">
        <f t="shared" si="30"/>
        <v>110129</v>
      </c>
      <c r="K35" s="169" t="e">
        <f t="shared" si="31"/>
        <v>#REF!</v>
      </c>
      <c r="L35" s="169">
        <f t="shared" si="32"/>
        <v>60092</v>
      </c>
      <c r="M35" s="493"/>
      <c r="N35" s="501">
        <f t="shared" si="33"/>
        <v>7.6400000000000001E-3</v>
      </c>
      <c r="O35" s="504" t="e">
        <f>#REF!</f>
        <v>#REF!</v>
      </c>
      <c r="P35" s="505">
        <f>'May Price Out'!P35</f>
        <v>4.6500000000000004</v>
      </c>
      <c r="Q35" s="502">
        <f t="shared" si="34"/>
        <v>1072560</v>
      </c>
      <c r="R35" s="502">
        <f>F35-H35</f>
        <v>2992</v>
      </c>
      <c r="S35" s="169" t="e">
        <f t="shared" si="35"/>
        <v>#REF!</v>
      </c>
      <c r="T35" s="169">
        <f t="shared" si="35"/>
        <v>13913</v>
      </c>
      <c r="U35" s="169" t="e">
        <f t="shared" si="36"/>
        <v>#REF!</v>
      </c>
      <c r="V35" s="169">
        <f t="shared" si="37"/>
        <v>8194</v>
      </c>
      <c r="X35" s="493" t="s">
        <v>527</v>
      </c>
      <c r="Y35" s="503" t="e">
        <f t="shared" si="38"/>
        <v>#REF!</v>
      </c>
      <c r="Z35" s="503">
        <f t="shared" si="38"/>
        <v>124042</v>
      </c>
      <c r="AA35" s="503" t="e">
        <f t="shared" si="39"/>
        <v>#REF!</v>
      </c>
      <c r="AB35" s="503">
        <f t="shared" si="40"/>
        <v>68286</v>
      </c>
    </row>
    <row r="36" spans="1:28" x14ac:dyDescent="0.25">
      <c r="A36" s="493" t="s">
        <v>528</v>
      </c>
      <c r="B36" s="529">
        <f t="shared" si="12"/>
        <v>7.6400000000000001E-3</v>
      </c>
      <c r="C36" s="533" t="e">
        <f>#REF!</f>
        <v>#REF!</v>
      </c>
      <c r="D36" s="522"/>
      <c r="E36" s="530">
        <f>+'Forecasted TOD kWh by Period'!G13</f>
        <v>11062000</v>
      </c>
      <c r="F36" s="8"/>
      <c r="G36" s="8">
        <f t="shared" si="29"/>
        <v>9734560</v>
      </c>
      <c r="H36" s="8"/>
      <c r="I36" s="169" t="e">
        <f t="shared" si="30"/>
        <v>#REF!</v>
      </c>
      <c r="J36" s="169">
        <f t="shared" si="30"/>
        <v>0</v>
      </c>
      <c r="K36" s="169" t="e">
        <f t="shared" si="31"/>
        <v>#REF!</v>
      </c>
      <c r="L36" s="169">
        <f t="shared" si="32"/>
        <v>74372</v>
      </c>
      <c r="M36" s="493"/>
      <c r="N36" s="501">
        <f t="shared" si="33"/>
        <v>7.6400000000000001E-3</v>
      </c>
      <c r="O36" s="504" t="e">
        <f>#REF!</f>
        <v>#REF!</v>
      </c>
      <c r="P36" s="493">
        <f>'May Price Out'!P36</f>
        <v>0</v>
      </c>
      <c r="Q36" s="502">
        <f t="shared" si="34"/>
        <v>1327440</v>
      </c>
      <c r="R36" s="502"/>
      <c r="S36" s="169" t="e">
        <f t="shared" si="35"/>
        <v>#REF!</v>
      </c>
      <c r="T36" s="169">
        <f t="shared" si="35"/>
        <v>0</v>
      </c>
      <c r="U36" s="169" t="e">
        <f t="shared" si="36"/>
        <v>#REF!</v>
      </c>
      <c r="V36" s="169">
        <f t="shared" si="37"/>
        <v>10142</v>
      </c>
      <c r="X36" s="493" t="s">
        <v>528</v>
      </c>
      <c r="Y36" s="503" t="e">
        <f t="shared" si="38"/>
        <v>#REF!</v>
      </c>
      <c r="Z36" s="503">
        <f t="shared" si="38"/>
        <v>0</v>
      </c>
      <c r="AA36" s="503" t="e">
        <f t="shared" si="39"/>
        <v>#REF!</v>
      </c>
      <c r="AB36" s="503">
        <f t="shared" si="40"/>
        <v>84514</v>
      </c>
    </row>
    <row r="37" spans="1:28" x14ac:dyDescent="0.25">
      <c r="A37" s="493" t="s">
        <v>529</v>
      </c>
      <c r="B37" s="529">
        <f t="shared" si="12"/>
        <v>7.6400000000000001E-3</v>
      </c>
      <c r="C37" s="533" t="e">
        <f>#REF!</f>
        <v>#REF!</v>
      </c>
      <c r="D37" s="534">
        <f>+'May - Oct Capacity MSC by Class'!G31</f>
        <v>5.59</v>
      </c>
      <c r="E37" s="530">
        <f>+'Forecasted TOD kWh by Period'!G16</f>
        <v>276460800</v>
      </c>
      <c r="F37" s="8">
        <f>'[100]Forecasted TOD kW by Period'!L14</f>
        <v>1334085</v>
      </c>
      <c r="G37" s="8">
        <f t="shared" si="29"/>
        <v>243285504</v>
      </c>
      <c r="H37" s="8">
        <f>ROUND(F37*0.88,0)</f>
        <v>1173995</v>
      </c>
      <c r="I37" s="169" t="e">
        <f t="shared" si="30"/>
        <v>#REF!</v>
      </c>
      <c r="J37" s="169">
        <f t="shared" si="30"/>
        <v>6562632</v>
      </c>
      <c r="K37" s="169" t="e">
        <f t="shared" si="31"/>
        <v>#REF!</v>
      </c>
      <c r="L37" s="169">
        <f t="shared" si="32"/>
        <v>1858701</v>
      </c>
      <c r="M37" s="493"/>
      <c r="N37" s="501">
        <f t="shared" si="33"/>
        <v>7.6400000000000001E-3</v>
      </c>
      <c r="O37" s="504" t="e">
        <f>#REF!</f>
        <v>#REF!</v>
      </c>
      <c r="P37" s="505">
        <f>'May Price Out'!P37</f>
        <v>5.17</v>
      </c>
      <c r="Q37" s="502">
        <f t="shared" si="34"/>
        <v>33175296</v>
      </c>
      <c r="R37" s="502">
        <f>F37-H37</f>
        <v>160090</v>
      </c>
      <c r="S37" s="169" t="e">
        <f t="shared" si="35"/>
        <v>#REF!</v>
      </c>
      <c r="T37" s="169">
        <f t="shared" si="35"/>
        <v>827665</v>
      </c>
      <c r="U37" s="169" t="e">
        <f t="shared" si="36"/>
        <v>#REF!</v>
      </c>
      <c r="V37" s="169">
        <f t="shared" si="37"/>
        <v>253459</v>
      </c>
      <c r="X37" s="493" t="s">
        <v>529</v>
      </c>
      <c r="Y37" s="503" t="e">
        <f t="shared" si="38"/>
        <v>#REF!</v>
      </c>
      <c r="Z37" s="503">
        <f t="shared" si="38"/>
        <v>7390297</v>
      </c>
      <c r="AA37" s="503" t="e">
        <f t="shared" si="39"/>
        <v>#REF!</v>
      </c>
      <c r="AB37" s="503">
        <f t="shared" si="40"/>
        <v>2112160</v>
      </c>
    </row>
    <row r="38" spans="1:28" x14ac:dyDescent="0.25">
      <c r="A38" s="493" t="s">
        <v>530</v>
      </c>
      <c r="B38" s="529">
        <f t="shared" si="12"/>
        <v>7.6400000000000001E-3</v>
      </c>
      <c r="C38" s="533" t="e">
        <f>#REF!</f>
        <v>#REF!</v>
      </c>
      <c r="D38" s="522"/>
      <c r="E38" s="530">
        <f>+'Forecasted TOD kWh by Period'!G17</f>
        <v>284539200</v>
      </c>
      <c r="F38" s="8"/>
      <c r="G38" s="8">
        <f t="shared" si="29"/>
        <v>250394496</v>
      </c>
      <c r="H38" s="8"/>
      <c r="I38" s="169" t="e">
        <f t="shared" si="30"/>
        <v>#REF!</v>
      </c>
      <c r="J38" s="169">
        <f t="shared" si="30"/>
        <v>0</v>
      </c>
      <c r="K38" s="169" t="e">
        <f t="shared" si="31"/>
        <v>#REF!</v>
      </c>
      <c r="L38" s="169">
        <f t="shared" si="32"/>
        <v>1913014</v>
      </c>
      <c r="M38" s="493"/>
      <c r="N38" s="501">
        <f t="shared" si="33"/>
        <v>7.6400000000000001E-3</v>
      </c>
      <c r="O38" s="504" t="e">
        <f>#REF!</f>
        <v>#REF!</v>
      </c>
      <c r="P38" s="493">
        <f>'May Price Out'!P38</f>
        <v>0</v>
      </c>
      <c r="Q38" s="502">
        <f t="shared" si="34"/>
        <v>34144704</v>
      </c>
      <c r="R38" s="502"/>
      <c r="S38" s="169" t="e">
        <f t="shared" si="35"/>
        <v>#REF!</v>
      </c>
      <c r="T38" s="169">
        <f t="shared" si="35"/>
        <v>0</v>
      </c>
      <c r="U38" s="169" t="e">
        <f t="shared" si="36"/>
        <v>#REF!</v>
      </c>
      <c r="V38" s="169">
        <f t="shared" si="37"/>
        <v>260866</v>
      </c>
      <c r="X38" s="493" t="s">
        <v>530</v>
      </c>
      <c r="Y38" s="503" t="e">
        <f t="shared" si="38"/>
        <v>#REF!</v>
      </c>
      <c r="Z38" s="503">
        <f t="shared" si="38"/>
        <v>0</v>
      </c>
      <c r="AA38" s="503" t="e">
        <f t="shared" si="39"/>
        <v>#REF!</v>
      </c>
      <c r="AB38" s="503">
        <f t="shared" si="40"/>
        <v>2173880</v>
      </c>
    </row>
    <row r="39" spans="1:28" x14ac:dyDescent="0.25">
      <c r="A39" s="493" t="s">
        <v>531</v>
      </c>
      <c r="B39" s="529">
        <f t="shared" si="12"/>
        <v>7.6400000000000001E-3</v>
      </c>
      <c r="C39" s="533" t="e">
        <f>#REF!</f>
        <v>#REF!</v>
      </c>
      <c r="D39" s="534">
        <f>+'May - Oct Capacity MSC by Class'!G34</f>
        <v>9.07</v>
      </c>
      <c r="E39" s="530">
        <f>+'Forecasted TOD kWh by Period'!G20</f>
        <v>3346400</v>
      </c>
      <c r="F39" s="8">
        <f>'[100]Forecasted TOD kW by Period'!L18</f>
        <v>17921</v>
      </c>
      <c r="G39" s="8">
        <f t="shared" si="29"/>
        <v>2944832</v>
      </c>
      <c r="H39" s="8">
        <f>ROUND(F39*0.88,0)</f>
        <v>15770</v>
      </c>
      <c r="I39" s="169" t="e">
        <f t="shared" si="30"/>
        <v>#REF!</v>
      </c>
      <c r="J39" s="169">
        <f t="shared" si="30"/>
        <v>143034</v>
      </c>
      <c r="K39" s="169" t="e">
        <f t="shared" si="31"/>
        <v>#REF!</v>
      </c>
      <c r="L39" s="169">
        <f t="shared" si="32"/>
        <v>22499</v>
      </c>
      <c r="M39" s="493"/>
      <c r="N39" s="501">
        <f t="shared" si="33"/>
        <v>7.6400000000000001E-3</v>
      </c>
      <c r="O39" s="504" t="e">
        <f>#REF!</f>
        <v>#REF!</v>
      </c>
      <c r="P39" s="505">
        <f>'May Price Out'!P39</f>
        <v>8.4</v>
      </c>
      <c r="Q39" s="502">
        <f t="shared" si="34"/>
        <v>401568</v>
      </c>
      <c r="R39" s="502">
        <f>F39-H39</f>
        <v>2151</v>
      </c>
      <c r="S39" s="169" t="e">
        <f t="shared" si="35"/>
        <v>#REF!</v>
      </c>
      <c r="T39" s="169">
        <f t="shared" si="35"/>
        <v>18068</v>
      </c>
      <c r="U39" s="169" t="e">
        <f t="shared" si="36"/>
        <v>#REF!</v>
      </c>
      <c r="V39" s="169">
        <f t="shared" si="37"/>
        <v>3068</v>
      </c>
      <c r="X39" s="493" t="s">
        <v>531</v>
      </c>
      <c r="Y39" s="503" t="e">
        <f t="shared" si="38"/>
        <v>#REF!</v>
      </c>
      <c r="Z39" s="503">
        <f t="shared" si="38"/>
        <v>161102</v>
      </c>
      <c r="AA39" s="503" t="e">
        <f t="shared" si="39"/>
        <v>#REF!</v>
      </c>
      <c r="AB39" s="503">
        <f t="shared" si="40"/>
        <v>25567</v>
      </c>
    </row>
    <row r="40" spans="1:28" x14ac:dyDescent="0.25">
      <c r="A40" s="493" t="s">
        <v>532</v>
      </c>
      <c r="B40" s="529">
        <f t="shared" si="12"/>
        <v>7.6400000000000001E-3</v>
      </c>
      <c r="C40" s="533" t="e">
        <f>#REF!</f>
        <v>#REF!</v>
      </c>
      <c r="D40" s="522"/>
      <c r="E40" s="530">
        <f>+'Forecasted TOD kWh by Period'!G21</f>
        <v>4653600</v>
      </c>
      <c r="F40" s="8"/>
      <c r="G40" s="8">
        <f t="shared" si="29"/>
        <v>4095168</v>
      </c>
      <c r="H40" s="8"/>
      <c r="I40" s="169" t="e">
        <f t="shared" si="30"/>
        <v>#REF!</v>
      </c>
      <c r="J40" s="169">
        <f t="shared" si="30"/>
        <v>0</v>
      </c>
      <c r="K40" s="169" t="e">
        <f t="shared" si="31"/>
        <v>#REF!</v>
      </c>
      <c r="L40" s="169">
        <f t="shared" si="32"/>
        <v>31287</v>
      </c>
      <c r="M40" s="493"/>
      <c r="N40" s="501">
        <f t="shared" si="33"/>
        <v>7.6400000000000001E-3</v>
      </c>
      <c r="O40" s="504" t="e">
        <f>#REF!</f>
        <v>#REF!</v>
      </c>
      <c r="P40" s="493">
        <f>'May Price Out'!P40</f>
        <v>0</v>
      </c>
      <c r="Q40" s="502">
        <f t="shared" si="34"/>
        <v>558432</v>
      </c>
      <c r="R40" s="502"/>
      <c r="S40" s="169" t="e">
        <f t="shared" si="35"/>
        <v>#REF!</v>
      </c>
      <c r="T40" s="169">
        <f t="shared" si="35"/>
        <v>0</v>
      </c>
      <c r="U40" s="169" t="e">
        <f t="shared" si="36"/>
        <v>#REF!</v>
      </c>
      <c r="V40" s="169">
        <f t="shared" si="37"/>
        <v>4266</v>
      </c>
      <c r="X40" s="493" t="s">
        <v>532</v>
      </c>
      <c r="Y40" s="503" t="e">
        <f t="shared" si="38"/>
        <v>#REF!</v>
      </c>
      <c r="Z40" s="503">
        <f t="shared" si="38"/>
        <v>0</v>
      </c>
      <c r="AA40" s="503" t="e">
        <f t="shared" si="39"/>
        <v>#REF!</v>
      </c>
      <c r="AB40" s="503">
        <f t="shared" si="40"/>
        <v>35553</v>
      </c>
    </row>
    <row r="41" spans="1:28" x14ac:dyDescent="0.25">
      <c r="A41" s="493" t="s">
        <v>533</v>
      </c>
      <c r="B41" s="529">
        <f t="shared" si="12"/>
        <v>7.6400000000000001E-3</v>
      </c>
      <c r="C41" s="533" t="e">
        <f>#REF!</f>
        <v>#REF!</v>
      </c>
      <c r="D41" s="534">
        <f>+'May - Oct Capacity MSC by Class'!G35</f>
        <v>0.08</v>
      </c>
      <c r="E41" s="530">
        <f>+'Forecasted TOD kWh by Period'!G24</f>
        <v>506750</v>
      </c>
      <c r="F41" s="8">
        <f>'[100]Forecasted TOD kW by Period'!L22</f>
        <v>13155</v>
      </c>
      <c r="G41" s="8">
        <f t="shared" si="29"/>
        <v>445940</v>
      </c>
      <c r="H41" s="8">
        <f>ROUND(F41*0.88,0)</f>
        <v>11576</v>
      </c>
      <c r="I41" s="169" t="e">
        <f t="shared" si="30"/>
        <v>#REF!</v>
      </c>
      <c r="J41" s="169">
        <f t="shared" si="30"/>
        <v>926</v>
      </c>
      <c r="K41" s="169" t="e">
        <f t="shared" si="31"/>
        <v>#REF!</v>
      </c>
      <c r="L41" s="169">
        <f t="shared" si="32"/>
        <v>3407</v>
      </c>
      <c r="M41" s="493"/>
      <c r="N41" s="501">
        <f t="shared" si="33"/>
        <v>7.6400000000000001E-3</v>
      </c>
      <c r="O41" s="504" t="e">
        <f>#REF!</f>
        <v>#REF!</v>
      </c>
      <c r="P41" s="505">
        <f>'May Price Out'!P41</f>
        <v>0.08</v>
      </c>
      <c r="Q41" s="506">
        <f t="shared" si="34"/>
        <v>60810</v>
      </c>
      <c r="R41" s="502">
        <f>F41-H41</f>
        <v>1579</v>
      </c>
      <c r="S41" s="169" t="e">
        <f t="shared" si="35"/>
        <v>#REF!</v>
      </c>
      <c r="T41" s="169">
        <f t="shared" si="35"/>
        <v>126</v>
      </c>
      <c r="U41" s="169" t="e">
        <f t="shared" si="36"/>
        <v>#REF!</v>
      </c>
      <c r="V41" s="169">
        <f t="shared" si="37"/>
        <v>465</v>
      </c>
      <c r="X41" s="493" t="s">
        <v>533</v>
      </c>
      <c r="Y41" s="503" t="e">
        <f t="shared" si="38"/>
        <v>#REF!</v>
      </c>
      <c r="Z41" s="503">
        <f t="shared" si="38"/>
        <v>1052</v>
      </c>
      <c r="AA41" s="503" t="e">
        <f t="shared" si="39"/>
        <v>#REF!</v>
      </c>
      <c r="AB41" s="503">
        <f t="shared" si="40"/>
        <v>3872</v>
      </c>
    </row>
    <row r="42" spans="1:28" x14ac:dyDescent="0.25">
      <c r="A42" s="493" t="s">
        <v>534</v>
      </c>
      <c r="B42" s="529">
        <f t="shared" si="12"/>
        <v>7.6400000000000001E-3</v>
      </c>
      <c r="C42" s="533" t="e">
        <f>#REF!</f>
        <v>#REF!</v>
      </c>
      <c r="D42" s="522"/>
      <c r="E42" s="530">
        <f>+'Forecasted TOD kWh by Period'!G25</f>
        <v>575817</v>
      </c>
      <c r="F42" s="493"/>
      <c r="G42" s="8">
        <f t="shared" si="29"/>
        <v>506719</v>
      </c>
      <c r="H42" s="8"/>
      <c r="I42" s="169" t="e">
        <f t="shared" si="30"/>
        <v>#REF!</v>
      </c>
      <c r="J42" s="169">
        <f t="shared" si="30"/>
        <v>0</v>
      </c>
      <c r="K42" s="169" t="e">
        <f t="shared" si="31"/>
        <v>#REF!</v>
      </c>
      <c r="L42" s="169">
        <f t="shared" si="32"/>
        <v>3871</v>
      </c>
      <c r="M42" s="493"/>
      <c r="N42" s="501">
        <f t="shared" si="33"/>
        <v>7.6400000000000001E-3</v>
      </c>
      <c r="O42" s="504" t="e">
        <f>#REF!</f>
        <v>#REF!</v>
      </c>
      <c r="P42" s="492">
        <f>'May Price Out'!P42</f>
        <v>0</v>
      </c>
      <c r="Q42" s="506">
        <f t="shared" si="34"/>
        <v>69098</v>
      </c>
      <c r="R42" s="396"/>
      <c r="S42" s="169" t="e">
        <f t="shared" si="35"/>
        <v>#REF!</v>
      </c>
      <c r="T42" s="169">
        <f t="shared" si="35"/>
        <v>0</v>
      </c>
      <c r="U42" s="169" t="e">
        <f t="shared" si="36"/>
        <v>#REF!</v>
      </c>
      <c r="V42" s="169">
        <f t="shared" si="37"/>
        <v>528</v>
      </c>
      <c r="X42" s="493" t="s">
        <v>534</v>
      </c>
      <c r="Y42" s="503" t="e">
        <f t="shared" si="38"/>
        <v>#REF!</v>
      </c>
      <c r="Z42" s="503">
        <f t="shared" si="38"/>
        <v>0</v>
      </c>
      <c r="AA42" s="503" t="e">
        <f t="shared" si="39"/>
        <v>#REF!</v>
      </c>
      <c r="AB42" s="503">
        <f t="shared" si="40"/>
        <v>4399</v>
      </c>
    </row>
    <row r="43" spans="1:28" x14ac:dyDescent="0.25">
      <c r="A43" s="493"/>
      <c r="B43" s="493"/>
      <c r="C43" s="493"/>
      <c r="D43" s="493"/>
      <c r="E43" s="493"/>
      <c r="F43" s="493"/>
      <c r="G43" s="493"/>
      <c r="H43" s="493"/>
      <c r="I43" s="493"/>
      <c r="J43" s="493"/>
      <c r="K43" s="493"/>
      <c r="L43" s="493"/>
      <c r="M43" s="493"/>
      <c r="O43" s="493"/>
      <c r="S43" s="493"/>
      <c r="T43" s="493"/>
      <c r="U43" s="493"/>
      <c r="V43" s="493"/>
      <c r="X43" s="493"/>
      <c r="Y43" s="503"/>
      <c r="Z43" s="503"/>
      <c r="AA43" s="503"/>
      <c r="AB43" s="503"/>
    </row>
    <row r="44" spans="1:28" x14ac:dyDescent="0.25">
      <c r="A44" s="493" t="s">
        <v>162</v>
      </c>
      <c r="B44" s="493"/>
      <c r="C44" s="493"/>
      <c r="D44" s="493"/>
      <c r="E44" s="507">
        <f>SUM(E8:E19)+SUM(E21:E24)+SUM(E26:E31)+SUM(E33:E42)</f>
        <v>4769712253</v>
      </c>
      <c r="F44" s="493"/>
      <c r="G44" s="507">
        <f>SUM(G8:G19)+SUM(G21:G24)+SUM(G26:G31)+SUM(G33:G42)</f>
        <v>4197346782</v>
      </c>
      <c r="H44" s="493"/>
      <c r="I44" s="503" t="e">
        <f>SUM(I8:I43)</f>
        <v>#REF!</v>
      </c>
      <c r="J44" s="169">
        <f>SUM(J8:J19)+SUM(J21:J24)+SUM(J26:J31)+SUM(J33:J42)</f>
        <v>64690122</v>
      </c>
      <c r="K44" s="503" t="e">
        <f>SUM(K8:K43)</f>
        <v>#REF!</v>
      </c>
      <c r="L44" s="169">
        <f>SUM(L8:L19)+SUM(L21:L24)+SUM(L26:L31)+SUM(L33:L42)</f>
        <v>32067729</v>
      </c>
      <c r="M44" s="493"/>
      <c r="Q44" s="507">
        <f>SUM(Q8:Q19)+SUM(Q21:Q24)+SUM(Q26:Q31)+SUM(Q33:Q42)</f>
        <v>572365471</v>
      </c>
      <c r="S44" s="503" t="e">
        <f>SUM(S8:S43)</f>
        <v>#REF!</v>
      </c>
      <c r="T44" s="169">
        <f>SUM(T8:T19)+SUM(T21:T24)+SUM(T26:T31)+SUM(T33:T42)</f>
        <v>7189268</v>
      </c>
      <c r="U44" s="503" t="e">
        <f>SUM(U8:U43)</f>
        <v>#REF!</v>
      </c>
      <c r="V44" s="169">
        <f>SUM(V8:V19)+SUM(V21:V24)+SUM(V26:V31)+SUM(V33:V42)</f>
        <v>4372872</v>
      </c>
      <c r="X44" s="493" t="s">
        <v>162</v>
      </c>
      <c r="Y44" s="503" t="e">
        <f>I44+S44</f>
        <v>#REF!</v>
      </c>
      <c r="Z44" s="503">
        <f>J44+T44</f>
        <v>71879390</v>
      </c>
      <c r="AA44" s="503" t="e">
        <f>Y44+Z44</f>
        <v>#REF!</v>
      </c>
      <c r="AB44" s="503">
        <f>L44+V44</f>
        <v>36440601</v>
      </c>
    </row>
    <row r="45" spans="1:28" x14ac:dyDescent="0.25">
      <c r="A45" s="493"/>
      <c r="B45" s="493"/>
      <c r="C45" s="493"/>
      <c r="D45" s="493"/>
      <c r="E45" s="493"/>
      <c r="F45" s="493"/>
      <c r="G45" s="493"/>
      <c r="H45" s="493"/>
      <c r="I45" s="493"/>
      <c r="J45" s="493"/>
      <c r="K45" s="493"/>
      <c r="L45" s="493"/>
      <c r="M45" s="493"/>
      <c r="N45" s="493"/>
      <c r="O45" s="493"/>
    </row>
    <row r="46" spans="1:28" x14ac:dyDescent="0.25">
      <c r="A46" s="493"/>
      <c r="B46" s="493"/>
      <c r="C46" s="493"/>
      <c r="D46" s="493"/>
      <c r="E46" s="493"/>
      <c r="F46" s="493"/>
      <c r="G46" s="493"/>
      <c r="H46" s="493"/>
      <c r="I46" s="493"/>
      <c r="J46" s="493"/>
      <c r="K46" s="493"/>
      <c r="L46" s="493"/>
      <c r="M46" s="493"/>
      <c r="N46" s="493"/>
      <c r="O46" s="493"/>
    </row>
    <row r="47" spans="1:28" x14ac:dyDescent="0.25">
      <c r="A47" s="493"/>
      <c r="B47" s="493"/>
      <c r="C47" s="493"/>
      <c r="D47" s="493"/>
      <c r="E47" s="493"/>
      <c r="F47" s="493"/>
      <c r="G47" s="493"/>
      <c r="H47" s="493"/>
      <c r="I47" s="493"/>
      <c r="J47" s="493"/>
      <c r="K47" s="493"/>
      <c r="L47" s="493"/>
      <c r="M47" s="493"/>
      <c r="N47" s="493"/>
    </row>
    <row r="48" spans="1:28" x14ac:dyDescent="0.25">
      <c r="A48" s="493"/>
      <c r="B48" s="493"/>
      <c r="C48" s="493"/>
      <c r="D48" s="493"/>
      <c r="E48" s="493"/>
      <c r="F48" s="493"/>
      <c r="G48" s="493"/>
      <c r="H48" s="493"/>
      <c r="I48" s="493"/>
      <c r="J48" s="493"/>
      <c r="K48" s="493"/>
      <c r="L48" s="493"/>
      <c r="M48" s="493"/>
      <c r="N48" s="493"/>
    </row>
    <row r="49" spans="1:13" x14ac:dyDescent="0.25">
      <c r="A49" s="493"/>
      <c r="B49" s="493"/>
      <c r="C49" s="493"/>
      <c r="D49" s="493"/>
      <c r="E49" s="493"/>
      <c r="F49" s="493"/>
      <c r="G49" s="493"/>
      <c r="H49" s="493"/>
      <c r="I49" s="493"/>
      <c r="J49" s="493"/>
      <c r="K49" s="493"/>
      <c r="L49" s="493"/>
      <c r="M49" s="493"/>
    </row>
    <row r="50" spans="1:13" x14ac:dyDescent="0.25">
      <c r="A50" s="493"/>
      <c r="B50" s="493"/>
      <c r="C50" s="493"/>
      <c r="D50" s="493"/>
      <c r="E50" s="493"/>
      <c r="F50" s="493"/>
      <c r="G50" s="493"/>
      <c r="H50" s="493"/>
      <c r="I50" s="493"/>
      <c r="J50" s="493"/>
      <c r="K50" s="493"/>
      <c r="L50" s="493"/>
      <c r="M50" s="493"/>
    </row>
    <row r="51" spans="1:13" x14ac:dyDescent="0.25">
      <c r="A51" s="493"/>
      <c r="B51" s="493"/>
      <c r="C51" s="493"/>
      <c r="D51" s="493"/>
      <c r="E51" s="493"/>
      <c r="F51" s="493"/>
      <c r="G51" s="493"/>
      <c r="H51" s="493"/>
      <c r="I51" s="493"/>
      <c r="J51" s="493"/>
      <c r="K51" s="493"/>
      <c r="L51" s="493"/>
      <c r="M51" s="493"/>
    </row>
    <row r="52" spans="1:13" x14ac:dyDescent="0.25">
      <c r="A52" s="493"/>
      <c r="B52" s="493"/>
      <c r="C52" s="493"/>
      <c r="D52" s="493"/>
      <c r="E52" s="493"/>
      <c r="F52" s="493"/>
      <c r="G52" s="493"/>
      <c r="H52" s="493"/>
      <c r="I52" s="493"/>
      <c r="J52" s="493"/>
      <c r="K52" s="493"/>
      <c r="L52" s="493"/>
      <c r="M52" s="493"/>
    </row>
    <row r="53" spans="1:13" x14ac:dyDescent="0.25">
      <c r="A53" s="493"/>
      <c r="B53" s="493"/>
      <c r="C53" s="493"/>
      <c r="D53" s="493"/>
      <c r="E53" s="493"/>
      <c r="F53" s="493"/>
      <c r="G53" s="493"/>
      <c r="H53" s="493"/>
      <c r="I53" s="493"/>
      <c r="J53" s="493"/>
      <c r="K53" s="493"/>
      <c r="L53" s="493"/>
      <c r="M53" s="493"/>
    </row>
    <row r="54" spans="1:13" x14ac:dyDescent="0.25">
      <c r="A54" s="493"/>
      <c r="B54" s="493"/>
      <c r="C54" s="493"/>
      <c r="D54" s="493"/>
      <c r="E54" s="493"/>
      <c r="F54" s="493"/>
      <c r="G54" s="493"/>
      <c r="H54" s="493"/>
      <c r="I54" s="493"/>
      <c r="J54" s="493"/>
      <c r="K54" s="493"/>
      <c r="L54" s="493"/>
      <c r="M54" s="493"/>
    </row>
    <row r="55" spans="1:13" x14ac:dyDescent="0.25">
      <c r="A55" s="493"/>
      <c r="B55" s="493"/>
      <c r="C55" s="493"/>
      <c r="D55" s="493"/>
      <c r="E55" s="493"/>
      <c r="F55" s="493"/>
      <c r="G55" s="493"/>
      <c r="H55" s="493"/>
      <c r="I55" s="493"/>
      <c r="J55" s="493"/>
      <c r="K55" s="493"/>
      <c r="L55" s="493"/>
      <c r="M55" s="493"/>
    </row>
    <row r="56" spans="1:13" x14ac:dyDescent="0.25">
      <c r="A56" s="493"/>
      <c r="B56" s="493"/>
      <c r="C56" s="493"/>
      <c r="D56" s="493"/>
      <c r="E56" s="493"/>
      <c r="F56" s="493"/>
      <c r="G56" s="493"/>
      <c r="H56" s="493"/>
      <c r="I56" s="493"/>
      <c r="J56" s="493"/>
      <c r="K56" s="493"/>
      <c r="L56" s="493"/>
      <c r="M56" s="493"/>
    </row>
    <row r="57" spans="1:13" x14ac:dyDescent="0.25">
      <c r="A57" s="493"/>
      <c r="B57" s="493"/>
      <c r="C57" s="493"/>
      <c r="D57" s="493"/>
      <c r="E57" s="493"/>
      <c r="F57" s="493"/>
      <c r="G57" s="493"/>
      <c r="H57" s="493"/>
      <c r="I57" s="493"/>
      <c r="J57" s="493"/>
      <c r="K57" s="493"/>
      <c r="L57" s="493"/>
      <c r="M57" s="493"/>
    </row>
    <row r="58" spans="1:13" x14ac:dyDescent="0.25">
      <c r="A58" s="493"/>
      <c r="B58" s="493"/>
      <c r="C58" s="493"/>
      <c r="D58" s="493"/>
      <c r="E58" s="493"/>
      <c r="F58" s="493"/>
      <c r="G58" s="493"/>
      <c r="H58" s="493"/>
      <c r="I58" s="493"/>
      <c r="J58" s="493"/>
      <c r="K58" s="493"/>
      <c r="L58" s="493"/>
      <c r="M58" s="493"/>
    </row>
    <row r="59" spans="1:13" x14ac:dyDescent="0.25">
      <c r="A59" s="493"/>
      <c r="B59" s="493"/>
      <c r="C59" s="493"/>
      <c r="D59" s="493"/>
      <c r="E59" s="493"/>
      <c r="F59" s="493"/>
      <c r="G59" s="493"/>
      <c r="H59" s="493"/>
      <c r="I59" s="493"/>
      <c r="J59" s="493"/>
      <c r="K59" s="493"/>
      <c r="L59" s="493"/>
      <c r="M59" s="493"/>
    </row>
    <row r="60" spans="1:13" x14ac:dyDescent="0.25">
      <c r="A60" s="493"/>
      <c r="B60" s="493"/>
      <c r="C60" s="493"/>
      <c r="D60" s="493"/>
      <c r="E60" s="493"/>
      <c r="F60" s="493"/>
      <c r="G60" s="493"/>
      <c r="H60" s="493"/>
      <c r="I60" s="493"/>
      <c r="J60" s="493"/>
      <c r="K60" s="493"/>
      <c r="L60" s="493"/>
      <c r="M60" s="493"/>
    </row>
    <row r="61" spans="1:13" x14ac:dyDescent="0.25">
      <c r="A61" s="493"/>
      <c r="B61" s="493"/>
      <c r="C61" s="493"/>
      <c r="D61" s="493"/>
      <c r="E61" s="493"/>
      <c r="F61" s="493"/>
      <c r="G61" s="493"/>
      <c r="H61" s="493"/>
      <c r="I61" s="493"/>
      <c r="J61" s="493"/>
      <c r="K61" s="493"/>
      <c r="L61" s="493"/>
      <c r="M61" s="493"/>
    </row>
    <row r="62" spans="1:13" x14ac:dyDescent="0.25">
      <c r="A62" s="493"/>
      <c r="B62" s="493"/>
      <c r="C62" s="493"/>
      <c r="D62" s="493"/>
      <c r="E62" s="493"/>
      <c r="F62" s="493"/>
      <c r="G62" s="493"/>
      <c r="H62" s="493"/>
      <c r="I62" s="493"/>
      <c r="J62" s="493"/>
      <c r="K62" s="493"/>
      <c r="L62" s="493"/>
      <c r="M62" s="493"/>
    </row>
    <row r="63" spans="1:13" x14ac:dyDescent="0.25">
      <c r="A63" s="493"/>
      <c r="B63" s="493"/>
      <c r="C63" s="493"/>
      <c r="D63" s="493"/>
      <c r="E63" s="493"/>
      <c r="F63" s="493"/>
      <c r="G63" s="493"/>
      <c r="H63" s="493"/>
      <c r="I63" s="493"/>
      <c r="J63" s="493"/>
      <c r="K63" s="493"/>
      <c r="L63" s="493"/>
      <c r="M63" s="493"/>
    </row>
    <row r="64" spans="1:13" x14ac:dyDescent="0.25">
      <c r="A64" s="493"/>
      <c r="B64" s="493"/>
      <c r="C64" s="493"/>
      <c r="D64" s="493"/>
      <c r="E64" s="493"/>
      <c r="F64" s="493"/>
      <c r="G64" s="493"/>
      <c r="H64" s="493"/>
      <c r="I64" s="493"/>
      <c r="J64" s="493"/>
      <c r="K64" s="493"/>
      <c r="L64" s="493"/>
      <c r="M64" s="493"/>
    </row>
    <row r="65" spans="1:14" x14ac:dyDescent="0.25">
      <c r="A65" s="493"/>
      <c r="B65" s="493"/>
      <c r="C65" s="493"/>
      <c r="D65" s="493"/>
      <c r="E65" s="493"/>
      <c r="F65" s="493"/>
      <c r="G65" s="493"/>
      <c r="H65" s="493"/>
      <c r="I65" s="493"/>
      <c r="J65" s="493"/>
      <c r="K65" s="493"/>
      <c r="L65" s="493"/>
      <c r="M65" s="493"/>
    </row>
    <row r="66" spans="1:14" x14ac:dyDescent="0.25">
      <c r="A66" s="493"/>
      <c r="B66" s="493"/>
      <c r="C66" s="493"/>
      <c r="D66" s="493"/>
      <c r="E66" s="493"/>
      <c r="F66" s="493"/>
      <c r="G66" s="493"/>
      <c r="H66" s="493"/>
      <c r="I66" s="493"/>
      <c r="J66" s="493"/>
      <c r="K66" s="493"/>
      <c r="L66" s="493"/>
      <c r="M66" s="493"/>
    </row>
    <row r="67" spans="1:14" x14ac:dyDescent="0.25">
      <c r="A67" s="493"/>
      <c r="B67" s="493"/>
      <c r="C67" s="493"/>
      <c r="D67" s="493"/>
      <c r="E67" s="493"/>
      <c r="F67" s="493"/>
      <c r="G67" s="493"/>
      <c r="H67" s="493"/>
      <c r="I67" s="493"/>
      <c r="J67" s="493"/>
      <c r="K67" s="493"/>
      <c r="L67" s="493"/>
      <c r="M67" s="493"/>
    </row>
    <row r="68" spans="1:14" x14ac:dyDescent="0.25">
      <c r="A68" s="493"/>
      <c r="B68" s="493"/>
      <c r="C68" s="493"/>
      <c r="D68" s="493"/>
      <c r="E68" s="493"/>
      <c r="F68" s="493"/>
      <c r="G68" s="493"/>
      <c r="H68" s="493"/>
      <c r="I68" s="493"/>
      <c r="J68" s="493"/>
      <c r="K68" s="493"/>
      <c r="L68" s="493"/>
      <c r="M68" s="493"/>
    </row>
    <row r="69" spans="1:14" x14ac:dyDescent="0.25">
      <c r="A69" s="493"/>
      <c r="B69" s="493"/>
      <c r="C69" s="493"/>
      <c r="D69" s="493"/>
      <c r="E69" s="493"/>
      <c r="F69" s="493"/>
      <c r="G69" s="493"/>
      <c r="H69" s="493"/>
      <c r="I69" s="493"/>
      <c r="J69" s="493"/>
      <c r="K69" s="493"/>
      <c r="L69" s="493"/>
      <c r="M69" s="493"/>
      <c r="N69" s="493"/>
    </row>
    <row r="70" spans="1:14" x14ac:dyDescent="0.25">
      <c r="A70" s="493"/>
      <c r="B70" s="493"/>
      <c r="C70" s="493"/>
      <c r="D70" s="493"/>
      <c r="E70" s="493"/>
      <c r="F70" s="493"/>
      <c r="G70" s="493"/>
      <c r="H70" s="493"/>
      <c r="I70" s="493"/>
      <c r="J70" s="493"/>
      <c r="K70" s="493"/>
      <c r="L70" s="493"/>
      <c r="M70" s="493"/>
      <c r="N70" s="493"/>
    </row>
    <row r="71" spans="1:14" x14ac:dyDescent="0.25">
      <c r="A71" s="493"/>
      <c r="B71" s="493"/>
      <c r="C71" s="493"/>
      <c r="D71" s="493"/>
      <c r="E71" s="493"/>
      <c r="F71" s="493"/>
      <c r="G71" s="493"/>
      <c r="H71" s="493"/>
      <c r="I71" s="493"/>
      <c r="J71" s="493"/>
      <c r="K71" s="493"/>
      <c r="L71" s="493"/>
      <c r="M71" s="493"/>
      <c r="N71" s="493"/>
    </row>
    <row r="72" spans="1:14" x14ac:dyDescent="0.25">
      <c r="A72" s="493"/>
      <c r="B72" s="493"/>
      <c r="C72" s="493"/>
      <c r="D72" s="493"/>
      <c r="E72" s="493"/>
      <c r="F72" s="493"/>
      <c r="G72" s="493"/>
      <c r="H72" s="493"/>
      <c r="I72" s="493"/>
      <c r="J72" s="493"/>
      <c r="K72" s="493"/>
      <c r="L72" s="493"/>
      <c r="M72" s="493"/>
    </row>
    <row r="73" spans="1:14" x14ac:dyDescent="0.25">
      <c r="A73" s="493"/>
      <c r="B73" s="493"/>
      <c r="C73" s="493"/>
      <c r="D73" s="493"/>
      <c r="E73" s="493"/>
      <c r="F73" s="493"/>
      <c r="G73" s="493"/>
      <c r="H73" s="493"/>
      <c r="I73" s="493"/>
      <c r="J73" s="493"/>
      <c r="K73" s="493"/>
      <c r="L73" s="493"/>
      <c r="M73" s="493"/>
    </row>
    <row r="74" spans="1:14" x14ac:dyDescent="0.25">
      <c r="A74" s="493"/>
      <c r="B74" s="493"/>
      <c r="C74" s="493"/>
      <c r="D74" s="493"/>
      <c r="E74" s="493"/>
      <c r="F74" s="493"/>
      <c r="G74" s="493"/>
      <c r="H74" s="493"/>
      <c r="I74" s="493"/>
      <c r="J74" s="493"/>
      <c r="K74" s="493"/>
      <c r="L74" s="493"/>
      <c r="M74" s="493"/>
    </row>
    <row r="75" spans="1:14" x14ac:dyDescent="0.25">
      <c r="A75" s="493"/>
      <c r="B75" s="493"/>
      <c r="C75" s="493"/>
      <c r="D75" s="493"/>
      <c r="E75" s="493"/>
      <c r="F75" s="493"/>
      <c r="G75" s="493"/>
      <c r="H75" s="493"/>
      <c r="I75" s="493"/>
      <c r="J75" s="493"/>
      <c r="K75" s="493"/>
      <c r="L75" s="493"/>
      <c r="M75" s="493"/>
    </row>
    <row r="76" spans="1:14" x14ac:dyDescent="0.25">
      <c r="A76" s="493"/>
      <c r="B76" s="493"/>
      <c r="C76" s="493"/>
      <c r="D76" s="493"/>
      <c r="E76" s="493"/>
      <c r="F76" s="493"/>
      <c r="G76" s="493"/>
      <c r="H76" s="493"/>
      <c r="I76" s="493"/>
      <c r="J76" s="493"/>
      <c r="K76" s="493"/>
      <c r="L76" s="493"/>
      <c r="M76" s="493"/>
    </row>
    <row r="77" spans="1:14" x14ac:dyDescent="0.25">
      <c r="A77" s="493"/>
      <c r="B77" s="493"/>
      <c r="C77" s="493"/>
      <c r="D77" s="493"/>
      <c r="E77" s="493"/>
      <c r="F77" s="493"/>
      <c r="G77" s="493"/>
      <c r="H77" s="493"/>
      <c r="I77" s="493"/>
      <c r="J77" s="493"/>
      <c r="K77" s="493"/>
      <c r="L77" s="493"/>
      <c r="M77" s="493"/>
    </row>
    <row r="78" spans="1:14" x14ac:dyDescent="0.25">
      <c r="A78" s="493"/>
      <c r="B78" s="493"/>
      <c r="C78" s="493"/>
      <c r="D78" s="493"/>
      <c r="E78" s="493"/>
      <c r="F78" s="493"/>
      <c r="G78" s="493"/>
      <c r="H78" s="493"/>
      <c r="I78" s="493"/>
      <c r="J78" s="493"/>
      <c r="K78" s="493"/>
      <c r="L78" s="493"/>
      <c r="M78" s="493"/>
    </row>
    <row r="79" spans="1:14" x14ac:dyDescent="0.25">
      <c r="A79" s="493"/>
      <c r="B79" s="493"/>
      <c r="C79" s="493"/>
      <c r="D79" s="493"/>
      <c r="E79" s="493"/>
      <c r="F79" s="493"/>
      <c r="G79" s="493"/>
      <c r="H79" s="493"/>
      <c r="I79" s="493"/>
      <c r="J79" s="493"/>
      <c r="K79" s="493"/>
      <c r="L79" s="493"/>
      <c r="M79" s="493"/>
    </row>
    <row r="80" spans="1:14" x14ac:dyDescent="0.25">
      <c r="A80" s="493"/>
      <c r="B80" s="493"/>
      <c r="C80" s="493"/>
      <c r="D80" s="493"/>
      <c r="E80" s="493"/>
      <c r="F80" s="493"/>
      <c r="G80" s="493"/>
      <c r="H80" s="493"/>
      <c r="I80" s="493"/>
      <c r="J80" s="493"/>
      <c r="K80" s="493"/>
      <c r="L80" s="493"/>
      <c r="M80" s="493"/>
    </row>
    <row r="81" spans="1:14" x14ac:dyDescent="0.25">
      <c r="A81" s="493"/>
      <c r="B81" s="493"/>
      <c r="C81" s="493"/>
      <c r="D81" s="493"/>
      <c r="E81" s="493"/>
      <c r="F81" s="493"/>
      <c r="G81" s="493"/>
      <c r="H81" s="493"/>
      <c r="I81" s="493"/>
      <c r="J81" s="493"/>
      <c r="K81" s="493"/>
      <c r="L81" s="493"/>
      <c r="M81" s="493"/>
    </row>
    <row r="82" spans="1:14" x14ac:dyDescent="0.25">
      <c r="A82" s="493"/>
      <c r="B82" s="493"/>
      <c r="C82" s="493"/>
      <c r="D82" s="493"/>
      <c r="E82" s="493"/>
      <c r="F82" s="493"/>
      <c r="G82" s="493"/>
      <c r="H82" s="493"/>
      <c r="I82" s="493"/>
      <c r="J82" s="493"/>
      <c r="K82" s="493"/>
      <c r="L82" s="493"/>
      <c r="M82" s="493"/>
    </row>
    <row r="83" spans="1:14" x14ac:dyDescent="0.25">
      <c r="A83" s="493"/>
      <c r="B83" s="493"/>
      <c r="C83" s="493"/>
      <c r="D83" s="493"/>
      <c r="E83" s="493"/>
      <c r="F83" s="493"/>
      <c r="G83" s="493"/>
      <c r="H83" s="493"/>
      <c r="I83" s="493"/>
      <c r="J83" s="493"/>
      <c r="K83" s="493"/>
      <c r="L83" s="493"/>
      <c r="M83" s="493"/>
    </row>
    <row r="84" spans="1:14" x14ac:dyDescent="0.25">
      <c r="A84" s="493"/>
      <c r="B84" s="493"/>
      <c r="C84" s="493"/>
      <c r="D84" s="493"/>
      <c r="E84" s="493"/>
      <c r="F84" s="493"/>
      <c r="G84" s="493"/>
      <c r="H84" s="493"/>
      <c r="I84" s="493"/>
      <c r="J84" s="493"/>
      <c r="K84" s="493"/>
      <c r="L84" s="493"/>
      <c r="M84" s="493"/>
    </row>
    <row r="85" spans="1:14" x14ac:dyDescent="0.25">
      <c r="A85" s="493"/>
      <c r="B85" s="493"/>
      <c r="C85" s="493"/>
      <c r="D85" s="493"/>
      <c r="E85" s="493"/>
      <c r="F85" s="493"/>
      <c r="G85" s="493"/>
      <c r="H85" s="493"/>
      <c r="I85" s="493"/>
      <c r="J85" s="493"/>
      <c r="K85" s="493"/>
      <c r="L85" s="493"/>
      <c r="M85" s="493"/>
    </row>
    <row r="86" spans="1:14" x14ac:dyDescent="0.25">
      <c r="A86" s="493"/>
      <c r="B86" s="493"/>
      <c r="C86" s="493"/>
      <c r="D86" s="493"/>
      <c r="E86" s="493"/>
      <c r="F86" s="493"/>
      <c r="G86" s="493"/>
      <c r="H86" s="493"/>
      <c r="I86" s="493"/>
      <c r="J86" s="493"/>
      <c r="K86" s="493"/>
      <c r="L86" s="493"/>
      <c r="M86" s="493"/>
    </row>
    <row r="87" spans="1:14" x14ac:dyDescent="0.25">
      <c r="A87" s="493"/>
      <c r="B87" s="493"/>
      <c r="C87" s="493"/>
      <c r="D87" s="493"/>
      <c r="E87" s="493"/>
      <c r="F87" s="493"/>
      <c r="G87" s="493"/>
      <c r="H87" s="493"/>
      <c r="I87" s="493"/>
      <c r="J87" s="493"/>
      <c r="K87" s="493"/>
      <c r="L87" s="493"/>
      <c r="M87" s="493"/>
    </row>
    <row r="88" spans="1:14" x14ac:dyDescent="0.25">
      <c r="A88" s="493"/>
      <c r="B88" s="493"/>
      <c r="C88" s="493"/>
      <c r="D88" s="493"/>
      <c r="E88" s="493"/>
      <c r="F88" s="493"/>
      <c r="G88" s="493"/>
      <c r="H88" s="493"/>
      <c r="I88" s="493"/>
      <c r="J88" s="493"/>
      <c r="K88" s="493"/>
      <c r="L88" s="493"/>
      <c r="M88" s="493"/>
    </row>
    <row r="89" spans="1:14" x14ac:dyDescent="0.25">
      <c r="A89" s="493"/>
      <c r="B89" s="493"/>
      <c r="C89" s="493"/>
      <c r="D89" s="493"/>
      <c r="E89" s="493"/>
      <c r="F89" s="493"/>
      <c r="G89" s="493"/>
      <c r="H89" s="493"/>
      <c r="I89" s="493"/>
      <c r="J89" s="493"/>
      <c r="K89" s="493"/>
      <c r="L89" s="493"/>
      <c r="M89" s="493"/>
      <c r="N89" s="493"/>
    </row>
    <row r="90" spans="1:14" x14ac:dyDescent="0.25">
      <c r="A90" s="493"/>
      <c r="B90" s="493"/>
      <c r="C90" s="493"/>
      <c r="D90" s="493"/>
      <c r="E90" s="493"/>
      <c r="F90" s="493"/>
      <c r="G90" s="493"/>
      <c r="H90" s="493"/>
      <c r="I90" s="493"/>
      <c r="J90" s="493"/>
      <c r="K90" s="493"/>
      <c r="L90" s="493"/>
      <c r="M90" s="493"/>
      <c r="N90" s="493"/>
    </row>
    <row r="91" spans="1:14" x14ac:dyDescent="0.25">
      <c r="A91" s="493"/>
      <c r="B91" s="493"/>
      <c r="C91" s="493"/>
      <c r="D91" s="493"/>
      <c r="E91" s="493"/>
      <c r="F91" s="493"/>
      <c r="G91" s="493"/>
      <c r="H91" s="493"/>
      <c r="I91" s="493"/>
      <c r="J91" s="493"/>
      <c r="K91" s="493"/>
      <c r="L91" s="493"/>
      <c r="M91" s="493"/>
      <c r="N91" s="493"/>
    </row>
    <row r="92" spans="1:14" x14ac:dyDescent="0.25">
      <c r="A92" s="493"/>
      <c r="B92" s="493"/>
      <c r="C92" s="493"/>
      <c r="D92" s="493"/>
      <c r="E92" s="493"/>
      <c r="F92" s="493"/>
      <c r="G92" s="493"/>
      <c r="H92" s="493"/>
      <c r="I92" s="493"/>
      <c r="J92" s="493"/>
      <c r="K92" s="493"/>
      <c r="L92" s="493"/>
      <c r="M92" s="493"/>
      <c r="N92" s="493"/>
    </row>
    <row r="93" spans="1:14" x14ac:dyDescent="0.25">
      <c r="A93" s="493"/>
      <c r="B93" s="493"/>
      <c r="C93" s="493"/>
      <c r="D93" s="493"/>
      <c r="E93" s="493"/>
      <c r="F93" s="493"/>
      <c r="G93" s="493"/>
      <c r="H93" s="493"/>
      <c r="I93" s="493"/>
      <c r="J93" s="493"/>
      <c r="K93" s="493"/>
      <c r="L93" s="493"/>
      <c r="M93" s="493"/>
    </row>
    <row r="94" spans="1:14" x14ac:dyDescent="0.25">
      <c r="A94" s="493"/>
      <c r="B94" s="493"/>
      <c r="C94" s="493"/>
      <c r="D94" s="493"/>
      <c r="E94" s="493"/>
      <c r="F94" s="493"/>
      <c r="G94" s="493"/>
      <c r="H94" s="493"/>
      <c r="I94" s="493"/>
      <c r="J94" s="493"/>
      <c r="K94" s="493"/>
      <c r="L94" s="493"/>
      <c r="M94" s="493"/>
    </row>
    <row r="95" spans="1:14" x14ac:dyDescent="0.25">
      <c r="A95" s="493"/>
      <c r="B95" s="493"/>
      <c r="C95" s="493"/>
      <c r="D95" s="493"/>
      <c r="E95" s="493"/>
      <c r="F95" s="493"/>
      <c r="G95" s="493"/>
      <c r="H95" s="493"/>
      <c r="I95" s="493"/>
      <c r="J95" s="493"/>
      <c r="K95" s="493"/>
      <c r="L95" s="493"/>
      <c r="M95" s="493"/>
    </row>
    <row r="96" spans="1:14" x14ac:dyDescent="0.25">
      <c r="A96" s="493"/>
      <c r="B96" s="493"/>
      <c r="C96" s="493"/>
      <c r="D96" s="493"/>
      <c r="E96" s="493"/>
      <c r="F96" s="493"/>
      <c r="G96" s="493"/>
      <c r="H96" s="493"/>
      <c r="I96" s="493"/>
      <c r="J96" s="493"/>
      <c r="K96" s="493"/>
      <c r="L96" s="493"/>
      <c r="M96" s="493"/>
    </row>
    <row r="97" spans="1:13" x14ac:dyDescent="0.25">
      <c r="A97" s="493"/>
      <c r="B97" s="493"/>
      <c r="C97" s="493"/>
      <c r="D97" s="493"/>
      <c r="E97" s="493"/>
      <c r="F97" s="493"/>
      <c r="G97" s="493"/>
      <c r="H97" s="493"/>
      <c r="I97" s="493"/>
      <c r="J97" s="493"/>
      <c r="K97" s="493"/>
      <c r="L97" s="493"/>
      <c r="M97" s="493"/>
    </row>
    <row r="98" spans="1:13" x14ac:dyDescent="0.25">
      <c r="A98" s="493"/>
      <c r="B98" s="493"/>
      <c r="C98" s="493"/>
      <c r="D98" s="493"/>
      <c r="E98" s="493"/>
      <c r="F98" s="493"/>
      <c r="G98" s="493"/>
      <c r="H98" s="493"/>
      <c r="I98" s="493"/>
      <c r="J98" s="493"/>
      <c r="K98" s="493"/>
      <c r="L98" s="493"/>
      <c r="M98" s="493"/>
    </row>
    <row r="99" spans="1:13" x14ac:dyDescent="0.25">
      <c r="A99" s="493"/>
      <c r="B99" s="493"/>
      <c r="C99" s="493"/>
      <c r="D99" s="493"/>
      <c r="E99" s="493"/>
      <c r="F99" s="493"/>
      <c r="G99" s="493"/>
      <c r="H99" s="493"/>
      <c r="I99" s="493"/>
      <c r="J99" s="493"/>
      <c r="K99" s="493"/>
      <c r="L99" s="493"/>
      <c r="M99" s="493"/>
    </row>
    <row r="100" spans="1:13" x14ac:dyDescent="0.25">
      <c r="A100" s="493"/>
      <c r="B100" s="493"/>
      <c r="C100" s="493"/>
      <c r="D100" s="493"/>
      <c r="E100" s="493"/>
      <c r="F100" s="493"/>
      <c r="G100" s="493"/>
      <c r="H100" s="493"/>
      <c r="I100" s="493"/>
      <c r="J100" s="493"/>
      <c r="K100" s="493"/>
      <c r="L100" s="493"/>
      <c r="M100" s="493"/>
    </row>
    <row r="101" spans="1:13" x14ac:dyDescent="0.25">
      <c r="A101" s="493"/>
      <c r="B101" s="493"/>
      <c r="C101" s="493"/>
      <c r="D101" s="493"/>
      <c r="E101" s="493"/>
      <c r="F101" s="493"/>
      <c r="G101" s="493"/>
      <c r="H101" s="493"/>
      <c r="I101" s="493"/>
      <c r="J101" s="493"/>
      <c r="K101" s="493"/>
      <c r="L101" s="493"/>
      <c r="M101" s="493"/>
    </row>
    <row r="102" spans="1:13" x14ac:dyDescent="0.25">
      <c r="A102" s="493"/>
      <c r="B102" s="493"/>
      <c r="C102" s="493"/>
      <c r="D102" s="493"/>
      <c r="E102" s="493"/>
      <c r="F102" s="493"/>
      <c r="G102" s="493"/>
      <c r="H102" s="493"/>
      <c r="I102" s="493"/>
      <c r="J102" s="493"/>
      <c r="K102" s="493"/>
      <c r="L102" s="493"/>
      <c r="M102" s="493"/>
    </row>
    <row r="103" spans="1:13" x14ac:dyDescent="0.25">
      <c r="A103" s="493"/>
      <c r="B103" s="493"/>
      <c r="C103" s="493"/>
      <c r="D103" s="493"/>
      <c r="E103" s="493"/>
      <c r="F103" s="493"/>
      <c r="G103" s="493"/>
      <c r="H103" s="493"/>
      <c r="I103" s="493"/>
      <c r="J103" s="493"/>
      <c r="K103" s="493"/>
      <c r="L103" s="493"/>
      <c r="M103" s="493"/>
    </row>
    <row r="104" spans="1:13" x14ac:dyDescent="0.25">
      <c r="A104" s="493"/>
      <c r="B104" s="493"/>
      <c r="C104" s="493"/>
      <c r="D104" s="493"/>
      <c r="E104" s="493"/>
      <c r="F104" s="493"/>
      <c r="G104" s="493"/>
      <c r="H104" s="493"/>
      <c r="I104" s="493"/>
      <c r="J104" s="493"/>
      <c r="K104" s="493"/>
      <c r="L104" s="493"/>
      <c r="M104" s="493"/>
    </row>
    <row r="105" spans="1:13" x14ac:dyDescent="0.25">
      <c r="A105" s="493"/>
      <c r="B105" s="493"/>
      <c r="C105" s="493"/>
      <c r="D105" s="493"/>
      <c r="E105" s="493"/>
      <c r="F105" s="493"/>
      <c r="G105" s="493"/>
      <c r="H105" s="493"/>
      <c r="I105" s="493"/>
      <c r="J105" s="493"/>
      <c r="K105" s="493"/>
      <c r="L105" s="493"/>
      <c r="M105" s="493"/>
    </row>
    <row r="106" spans="1:13" x14ac:dyDescent="0.25">
      <c r="A106" s="493"/>
      <c r="B106" s="493"/>
      <c r="C106" s="493"/>
      <c r="D106" s="493"/>
      <c r="E106" s="493"/>
      <c r="F106" s="493"/>
      <c r="G106" s="493"/>
      <c r="H106" s="493"/>
      <c r="I106" s="493"/>
      <c r="J106" s="493"/>
      <c r="K106" s="493"/>
      <c r="L106" s="493"/>
      <c r="M106" s="493"/>
    </row>
    <row r="107" spans="1:13" x14ac:dyDescent="0.25">
      <c r="A107" s="493"/>
      <c r="B107" s="493"/>
      <c r="C107" s="493"/>
      <c r="D107" s="493"/>
      <c r="E107" s="493"/>
      <c r="F107" s="493"/>
      <c r="G107" s="493"/>
      <c r="H107" s="493"/>
      <c r="I107" s="493"/>
      <c r="J107" s="493"/>
      <c r="K107" s="493"/>
      <c r="L107" s="493"/>
      <c r="M107" s="493"/>
    </row>
    <row r="108" spans="1:13" x14ac:dyDescent="0.25">
      <c r="A108" s="493"/>
      <c r="B108" s="493"/>
      <c r="C108" s="493"/>
      <c r="D108" s="493"/>
      <c r="E108" s="493"/>
      <c r="F108" s="493"/>
      <c r="G108" s="493"/>
      <c r="H108" s="493"/>
      <c r="I108" s="493"/>
      <c r="J108" s="493"/>
      <c r="K108" s="493"/>
      <c r="L108" s="493"/>
      <c r="M108" s="493"/>
    </row>
    <row r="109" spans="1:13" x14ac:dyDescent="0.25">
      <c r="A109" s="493"/>
      <c r="B109" s="493"/>
      <c r="C109" s="493"/>
      <c r="D109" s="493"/>
      <c r="E109" s="493"/>
      <c r="F109" s="493"/>
      <c r="G109" s="493"/>
      <c r="H109" s="493"/>
      <c r="I109" s="493"/>
      <c r="J109" s="493"/>
      <c r="K109" s="493"/>
      <c r="L109" s="493"/>
      <c r="M109" s="493"/>
    </row>
    <row r="110" spans="1:13" x14ac:dyDescent="0.25">
      <c r="A110" s="493"/>
      <c r="B110" s="493"/>
      <c r="C110" s="493"/>
      <c r="D110" s="493"/>
      <c r="E110" s="493"/>
      <c r="F110" s="493"/>
      <c r="G110" s="493"/>
      <c r="H110" s="493"/>
      <c r="I110" s="493"/>
      <c r="J110" s="493"/>
      <c r="K110" s="493"/>
      <c r="L110" s="493"/>
      <c r="M110" s="493"/>
    </row>
    <row r="111" spans="1:13" x14ac:dyDescent="0.25">
      <c r="A111" s="493"/>
      <c r="B111" s="493"/>
      <c r="C111" s="493"/>
      <c r="D111" s="493"/>
      <c r="E111" s="493"/>
      <c r="F111" s="493"/>
      <c r="G111" s="493"/>
      <c r="H111" s="493"/>
      <c r="I111" s="493"/>
      <c r="J111" s="493"/>
      <c r="K111" s="493"/>
      <c r="L111" s="493"/>
      <c r="M111" s="493"/>
    </row>
    <row r="112" spans="1:13" x14ac:dyDescent="0.25">
      <c r="A112" s="493"/>
      <c r="B112" s="493"/>
      <c r="C112" s="493"/>
      <c r="D112" s="493"/>
      <c r="E112" s="493"/>
      <c r="F112" s="493"/>
      <c r="G112" s="493"/>
      <c r="H112" s="493"/>
      <c r="I112" s="493"/>
      <c r="J112" s="493"/>
      <c r="K112" s="493"/>
      <c r="L112" s="493"/>
      <c r="M112" s="493"/>
    </row>
    <row r="113" spans="1:13" x14ac:dyDescent="0.25">
      <c r="A113" s="493"/>
      <c r="B113" s="493"/>
      <c r="C113" s="493"/>
      <c r="D113" s="493"/>
      <c r="E113" s="493"/>
      <c r="F113" s="493"/>
      <c r="G113" s="493"/>
      <c r="H113" s="493"/>
      <c r="I113" s="493"/>
      <c r="J113" s="493"/>
      <c r="K113" s="493"/>
      <c r="L113" s="493"/>
      <c r="M113" s="493"/>
    </row>
    <row r="114" spans="1:13" x14ac:dyDescent="0.25">
      <c r="A114" s="493"/>
      <c r="B114" s="493"/>
      <c r="C114" s="493"/>
      <c r="D114" s="493"/>
      <c r="E114" s="493"/>
      <c r="F114" s="493"/>
      <c r="G114" s="493"/>
      <c r="H114" s="493"/>
      <c r="I114" s="493"/>
      <c r="J114" s="493"/>
      <c r="K114" s="493"/>
      <c r="L114" s="493"/>
      <c r="M114" s="493"/>
    </row>
    <row r="115" spans="1:13" x14ac:dyDescent="0.25">
      <c r="A115" s="493"/>
      <c r="B115" s="493"/>
      <c r="C115" s="493"/>
      <c r="D115" s="493"/>
      <c r="E115" s="493"/>
      <c r="F115" s="493"/>
      <c r="G115" s="493"/>
      <c r="H115" s="493"/>
      <c r="I115" s="493"/>
      <c r="J115" s="493"/>
      <c r="K115" s="493"/>
      <c r="L115" s="493"/>
      <c r="M115" s="493"/>
    </row>
    <row r="116" spans="1:13" x14ac:dyDescent="0.25">
      <c r="A116" s="493"/>
      <c r="B116" s="493"/>
      <c r="C116" s="493"/>
      <c r="D116" s="493"/>
      <c r="E116" s="493"/>
      <c r="F116" s="493"/>
      <c r="G116" s="493"/>
      <c r="H116" s="493"/>
      <c r="I116" s="493"/>
      <c r="J116" s="493"/>
      <c r="K116" s="493"/>
      <c r="L116" s="493"/>
      <c r="M116" s="493"/>
    </row>
    <row r="117" spans="1:13" x14ac:dyDescent="0.25">
      <c r="A117" s="493"/>
      <c r="B117" s="493"/>
      <c r="C117" s="493"/>
      <c r="D117" s="493"/>
      <c r="E117" s="493"/>
      <c r="F117" s="493"/>
      <c r="G117" s="493"/>
      <c r="H117" s="493"/>
      <c r="I117" s="493"/>
      <c r="J117" s="493"/>
      <c r="K117" s="493"/>
      <c r="L117" s="493"/>
      <c r="M117" s="493"/>
    </row>
    <row r="118" spans="1:13" x14ac:dyDescent="0.25">
      <c r="A118" s="493"/>
      <c r="B118" s="493"/>
      <c r="C118" s="493"/>
      <c r="D118" s="493"/>
      <c r="E118" s="493"/>
      <c r="F118" s="493"/>
      <c r="G118" s="493"/>
      <c r="H118" s="493"/>
      <c r="I118" s="493"/>
      <c r="J118" s="493"/>
      <c r="K118" s="493"/>
      <c r="L118" s="493"/>
      <c r="M118" s="493"/>
    </row>
    <row r="119" spans="1:13" x14ac:dyDescent="0.25">
      <c r="A119" s="493"/>
      <c r="B119" s="493"/>
      <c r="C119" s="493"/>
      <c r="D119" s="493"/>
      <c r="E119" s="493"/>
      <c r="F119" s="493"/>
      <c r="G119" s="493"/>
      <c r="H119" s="493"/>
      <c r="I119" s="493"/>
      <c r="J119" s="493"/>
      <c r="K119" s="493"/>
      <c r="L119" s="493"/>
      <c r="M119" s="493"/>
    </row>
    <row r="120" spans="1:13" x14ac:dyDescent="0.25">
      <c r="A120" s="493"/>
      <c r="B120" s="493"/>
      <c r="C120" s="493"/>
      <c r="D120" s="493"/>
      <c r="E120" s="493"/>
      <c r="F120" s="493"/>
      <c r="G120" s="493"/>
      <c r="H120" s="493"/>
      <c r="I120" s="493"/>
      <c r="J120" s="493"/>
      <c r="K120" s="493"/>
      <c r="L120" s="493"/>
      <c r="M120" s="493"/>
    </row>
    <row r="121" spans="1:13" x14ac:dyDescent="0.25">
      <c r="A121" s="493"/>
      <c r="B121" s="493"/>
      <c r="C121" s="493"/>
      <c r="D121" s="493"/>
      <c r="E121" s="493"/>
      <c r="F121" s="493"/>
      <c r="G121" s="493"/>
      <c r="H121" s="493"/>
      <c r="I121" s="493"/>
      <c r="J121" s="493"/>
      <c r="K121" s="493"/>
      <c r="L121" s="493"/>
      <c r="M121" s="493"/>
    </row>
    <row r="122" spans="1:13" x14ac:dyDescent="0.25">
      <c r="A122" s="493"/>
      <c r="B122" s="493"/>
      <c r="C122" s="493"/>
      <c r="D122" s="493"/>
      <c r="E122" s="493"/>
      <c r="F122" s="493"/>
      <c r="G122" s="493"/>
      <c r="H122" s="493"/>
      <c r="I122" s="493"/>
      <c r="J122" s="493"/>
      <c r="K122" s="493"/>
      <c r="L122" s="493"/>
      <c r="M122" s="493"/>
    </row>
    <row r="123" spans="1:13" x14ac:dyDescent="0.25">
      <c r="A123" s="493"/>
      <c r="B123" s="493"/>
      <c r="C123" s="493"/>
      <c r="D123" s="493"/>
      <c r="E123" s="493"/>
      <c r="F123" s="493"/>
      <c r="G123" s="493"/>
      <c r="H123" s="493"/>
      <c r="I123" s="493"/>
      <c r="J123" s="493"/>
      <c r="K123" s="493"/>
      <c r="L123" s="493"/>
      <c r="M123" s="493"/>
    </row>
    <row r="124" spans="1:13" x14ac:dyDescent="0.25">
      <c r="A124" s="493"/>
      <c r="B124" s="493"/>
      <c r="C124" s="493"/>
      <c r="D124" s="493"/>
      <c r="E124" s="493"/>
      <c r="F124" s="493"/>
      <c r="G124" s="493"/>
      <c r="H124" s="493"/>
      <c r="I124" s="493"/>
      <c r="J124" s="493"/>
      <c r="K124" s="493"/>
      <c r="L124" s="493"/>
      <c r="M124" s="493"/>
    </row>
    <row r="125" spans="1:13" x14ac:dyDescent="0.25">
      <c r="A125" s="493"/>
      <c r="B125" s="493"/>
      <c r="C125" s="493"/>
      <c r="D125" s="493"/>
      <c r="E125" s="493"/>
      <c r="F125" s="493"/>
      <c r="G125" s="493"/>
      <c r="H125" s="493"/>
      <c r="I125" s="493"/>
      <c r="J125" s="493"/>
      <c r="K125" s="493"/>
      <c r="L125" s="493"/>
      <c r="M125" s="493"/>
    </row>
    <row r="126" spans="1:13" x14ac:dyDescent="0.25">
      <c r="A126" s="493"/>
      <c r="B126" s="493"/>
      <c r="C126" s="493"/>
      <c r="D126" s="493"/>
      <c r="E126" s="493"/>
      <c r="F126" s="493"/>
      <c r="G126" s="493"/>
      <c r="H126" s="493"/>
      <c r="I126" s="493"/>
      <c r="J126" s="493"/>
      <c r="K126" s="493"/>
      <c r="L126" s="493"/>
      <c r="M126" s="493"/>
    </row>
    <row r="127" spans="1:13" x14ac:dyDescent="0.25">
      <c r="A127" s="493"/>
      <c r="B127" s="493"/>
      <c r="C127" s="493"/>
      <c r="D127" s="493"/>
      <c r="E127" s="493"/>
      <c r="F127" s="493"/>
      <c r="G127" s="493"/>
      <c r="H127" s="493"/>
      <c r="I127" s="493"/>
      <c r="J127" s="493"/>
      <c r="K127" s="493"/>
      <c r="L127" s="493"/>
      <c r="M127" s="493"/>
    </row>
    <row r="128" spans="1:13" x14ac:dyDescent="0.25">
      <c r="A128" s="493"/>
      <c r="B128" s="493"/>
      <c r="C128" s="493"/>
      <c r="D128" s="493"/>
      <c r="E128" s="493"/>
      <c r="F128" s="493"/>
      <c r="G128" s="493"/>
      <c r="H128" s="493"/>
      <c r="I128" s="493"/>
      <c r="J128" s="493"/>
      <c r="K128" s="493"/>
      <c r="L128" s="493"/>
      <c r="M128" s="493"/>
    </row>
    <row r="129" spans="1:13" x14ac:dyDescent="0.25">
      <c r="A129" s="493"/>
      <c r="B129" s="493"/>
      <c r="C129" s="493"/>
      <c r="D129" s="493"/>
      <c r="E129" s="493"/>
      <c r="F129" s="493"/>
      <c r="G129" s="493"/>
      <c r="H129" s="493"/>
      <c r="I129" s="493"/>
      <c r="J129" s="493"/>
      <c r="K129" s="493"/>
      <c r="L129" s="493"/>
      <c r="M129" s="493"/>
    </row>
    <row r="130" spans="1:13" x14ac:dyDescent="0.25">
      <c r="A130" s="493"/>
      <c r="B130" s="493"/>
      <c r="C130" s="493"/>
      <c r="D130" s="493"/>
      <c r="E130" s="493"/>
      <c r="F130" s="493"/>
      <c r="G130" s="493"/>
      <c r="H130" s="493"/>
      <c r="I130" s="493"/>
      <c r="J130" s="493"/>
      <c r="K130" s="493"/>
      <c r="L130" s="493"/>
      <c r="M130" s="493"/>
    </row>
    <row r="131" spans="1:13" x14ac:dyDescent="0.25">
      <c r="A131" s="493"/>
      <c r="B131" s="493"/>
      <c r="C131" s="493"/>
      <c r="D131" s="493"/>
      <c r="E131" s="493"/>
      <c r="F131" s="493"/>
      <c r="G131" s="493"/>
      <c r="H131" s="493"/>
      <c r="I131" s="493"/>
      <c r="J131" s="493"/>
      <c r="K131" s="493"/>
      <c r="L131" s="493"/>
      <c r="M131" s="493"/>
    </row>
    <row r="132" spans="1:13" x14ac:dyDescent="0.25">
      <c r="A132" s="493"/>
      <c r="B132" s="493"/>
      <c r="C132" s="493"/>
      <c r="D132" s="493"/>
      <c r="E132" s="493"/>
      <c r="F132" s="493"/>
      <c r="G132" s="493"/>
      <c r="H132" s="493"/>
      <c r="I132" s="493"/>
      <c r="J132" s="493"/>
      <c r="K132" s="493"/>
      <c r="L132" s="493"/>
      <c r="M132" s="493"/>
    </row>
    <row r="133" spans="1:13" x14ac:dyDescent="0.25">
      <c r="A133" s="493"/>
      <c r="B133" s="493"/>
      <c r="C133" s="493"/>
      <c r="D133" s="493"/>
      <c r="E133" s="493"/>
      <c r="F133" s="493"/>
      <c r="G133" s="493"/>
      <c r="H133" s="493"/>
      <c r="I133" s="493"/>
      <c r="J133" s="493"/>
      <c r="K133" s="493"/>
      <c r="L133" s="493"/>
      <c r="M133" s="493"/>
    </row>
    <row r="134" spans="1:13" x14ac:dyDescent="0.25">
      <c r="A134" s="493"/>
      <c r="B134" s="493"/>
      <c r="C134" s="493"/>
      <c r="D134" s="493"/>
      <c r="E134" s="493"/>
      <c r="F134" s="493"/>
      <c r="G134" s="493"/>
      <c r="H134" s="493"/>
      <c r="I134" s="493"/>
      <c r="J134" s="493"/>
      <c r="K134" s="493"/>
      <c r="L134" s="493"/>
      <c r="M134" s="493"/>
    </row>
    <row r="135" spans="1:13" x14ac:dyDescent="0.25">
      <c r="A135" s="493"/>
      <c r="B135" s="493"/>
      <c r="C135" s="493"/>
      <c r="D135" s="493"/>
      <c r="E135" s="493"/>
      <c r="F135" s="493"/>
      <c r="G135" s="493"/>
      <c r="H135" s="493"/>
      <c r="I135" s="493"/>
      <c r="J135" s="493"/>
      <c r="K135" s="493"/>
      <c r="L135" s="493"/>
      <c r="M135" s="493"/>
    </row>
    <row r="136" spans="1:13" x14ac:dyDescent="0.25">
      <c r="A136" s="493"/>
      <c r="B136" s="493"/>
      <c r="C136" s="493"/>
      <c r="D136" s="493"/>
      <c r="E136" s="493"/>
      <c r="F136" s="493"/>
      <c r="G136" s="493"/>
      <c r="H136" s="493"/>
      <c r="I136" s="493"/>
      <c r="J136" s="493"/>
      <c r="K136" s="493"/>
      <c r="L136" s="493"/>
      <c r="M136" s="493"/>
    </row>
    <row r="137" spans="1:13" x14ac:dyDescent="0.25">
      <c r="A137" s="493"/>
      <c r="B137" s="493"/>
      <c r="C137" s="493"/>
      <c r="D137" s="493"/>
      <c r="E137" s="493"/>
      <c r="F137" s="493"/>
      <c r="G137" s="493"/>
      <c r="H137" s="493"/>
      <c r="I137" s="493"/>
      <c r="J137" s="493"/>
      <c r="K137" s="493"/>
      <c r="L137" s="493"/>
      <c r="M137" s="493"/>
    </row>
    <row r="138" spans="1:13" x14ac:dyDescent="0.25">
      <c r="A138" s="493"/>
      <c r="B138" s="493"/>
      <c r="C138" s="493"/>
      <c r="D138" s="493"/>
      <c r="E138" s="493"/>
      <c r="F138" s="493"/>
      <c r="G138" s="493"/>
      <c r="H138" s="493"/>
      <c r="I138" s="493"/>
      <c r="J138" s="493"/>
      <c r="K138" s="493"/>
      <c r="L138" s="493"/>
      <c r="M138" s="493"/>
    </row>
    <row r="139" spans="1:13" x14ac:dyDescent="0.25">
      <c r="A139" s="493"/>
      <c r="B139" s="493"/>
      <c r="C139" s="493"/>
      <c r="D139" s="493"/>
      <c r="E139" s="493"/>
      <c r="F139" s="493"/>
      <c r="G139" s="493"/>
      <c r="H139" s="493"/>
      <c r="I139" s="493"/>
      <c r="J139" s="493"/>
      <c r="K139" s="493"/>
      <c r="L139" s="493"/>
      <c r="M139" s="493"/>
    </row>
    <row r="140" spans="1:13" x14ac:dyDescent="0.25">
      <c r="A140" s="493"/>
      <c r="B140" s="493"/>
      <c r="C140" s="493"/>
      <c r="D140" s="493"/>
      <c r="E140" s="493"/>
      <c r="F140" s="493"/>
      <c r="G140" s="493"/>
      <c r="H140" s="493"/>
      <c r="I140" s="493"/>
      <c r="J140" s="493"/>
      <c r="K140" s="493"/>
      <c r="L140" s="493"/>
      <c r="M140" s="493"/>
    </row>
    <row r="141" spans="1:13" x14ac:dyDescent="0.25">
      <c r="A141" s="493"/>
      <c r="B141" s="493"/>
      <c r="C141" s="493"/>
      <c r="D141" s="493"/>
      <c r="E141" s="493"/>
      <c r="F141" s="493"/>
      <c r="G141" s="493"/>
      <c r="H141" s="493"/>
      <c r="I141" s="493"/>
      <c r="J141" s="493"/>
      <c r="K141" s="493"/>
      <c r="L141" s="493"/>
      <c r="M141" s="493"/>
    </row>
    <row r="142" spans="1:13" x14ac:dyDescent="0.25">
      <c r="A142" s="493"/>
      <c r="B142" s="493"/>
      <c r="C142" s="493"/>
      <c r="D142" s="493"/>
      <c r="E142" s="493"/>
      <c r="F142" s="493"/>
      <c r="G142" s="493"/>
      <c r="H142" s="493"/>
      <c r="I142" s="493"/>
      <c r="J142" s="493"/>
      <c r="K142" s="493"/>
      <c r="L142" s="493"/>
      <c r="M142" s="493"/>
    </row>
    <row r="143" spans="1:13" x14ac:dyDescent="0.25">
      <c r="A143" s="493"/>
      <c r="B143" s="493"/>
      <c r="C143" s="493"/>
      <c r="D143" s="493"/>
      <c r="E143" s="493"/>
      <c r="F143" s="493"/>
      <c r="G143" s="493"/>
      <c r="H143" s="493"/>
      <c r="I143" s="493"/>
      <c r="J143" s="493"/>
      <c r="K143" s="493"/>
      <c r="L143" s="493"/>
      <c r="M143" s="493"/>
    </row>
    <row r="144" spans="1:13" x14ac:dyDescent="0.25">
      <c r="A144" s="493"/>
      <c r="B144" s="493"/>
      <c r="C144" s="493"/>
      <c r="D144" s="493"/>
      <c r="E144" s="493"/>
      <c r="F144" s="493"/>
      <c r="G144" s="493"/>
      <c r="H144" s="493"/>
      <c r="I144" s="493"/>
      <c r="J144" s="493"/>
      <c r="K144" s="493"/>
      <c r="L144" s="493"/>
      <c r="M144" s="493"/>
    </row>
    <row r="145" spans="1:13" x14ac:dyDescent="0.25">
      <c r="A145" s="493"/>
      <c r="B145" s="493"/>
      <c r="C145" s="493"/>
      <c r="D145" s="493"/>
      <c r="E145" s="493"/>
      <c r="F145" s="493"/>
      <c r="G145" s="493"/>
      <c r="H145" s="493"/>
      <c r="I145" s="493"/>
      <c r="J145" s="493"/>
      <c r="K145" s="493"/>
      <c r="L145" s="493"/>
      <c r="M145" s="493"/>
    </row>
    <row r="146" spans="1:13" x14ac:dyDescent="0.25">
      <c r="A146" s="493"/>
      <c r="B146" s="493"/>
      <c r="C146" s="493"/>
      <c r="D146" s="493"/>
      <c r="E146" s="493"/>
      <c r="F146" s="493"/>
      <c r="G146" s="493"/>
      <c r="H146" s="493"/>
      <c r="I146" s="493"/>
      <c r="J146" s="493"/>
      <c r="K146" s="493"/>
      <c r="L146" s="493"/>
      <c r="M146" s="493"/>
    </row>
    <row r="147" spans="1:13" x14ac:dyDescent="0.25">
      <c r="A147" s="493"/>
      <c r="B147" s="493"/>
      <c r="C147" s="493"/>
      <c r="D147" s="493"/>
      <c r="E147" s="493"/>
      <c r="F147" s="493"/>
      <c r="G147" s="493"/>
      <c r="H147" s="493"/>
      <c r="I147" s="493"/>
      <c r="J147" s="493"/>
      <c r="K147" s="493"/>
      <c r="L147" s="493"/>
      <c r="M147" s="493"/>
    </row>
    <row r="148" spans="1:13" x14ac:dyDescent="0.25">
      <c r="A148" s="493"/>
      <c r="B148" s="493"/>
      <c r="C148" s="493"/>
      <c r="D148" s="493"/>
      <c r="E148" s="493"/>
      <c r="F148" s="493"/>
      <c r="G148" s="493"/>
      <c r="H148" s="493"/>
      <c r="I148" s="493"/>
      <c r="J148" s="493"/>
      <c r="K148" s="493"/>
      <c r="L148" s="493"/>
      <c r="M148" s="493"/>
    </row>
    <row r="149" spans="1:13" x14ac:dyDescent="0.25">
      <c r="A149" s="493"/>
      <c r="B149" s="493"/>
      <c r="C149" s="493"/>
      <c r="D149" s="493"/>
      <c r="E149" s="493"/>
      <c r="F149" s="493"/>
      <c r="G149" s="493"/>
      <c r="H149" s="493"/>
      <c r="I149" s="493"/>
      <c r="J149" s="493"/>
      <c r="K149" s="493"/>
      <c r="L149" s="493"/>
      <c r="M149" s="493"/>
    </row>
    <row r="150" spans="1:13" x14ac:dyDescent="0.25">
      <c r="A150" s="493"/>
      <c r="B150" s="493"/>
      <c r="C150" s="493"/>
      <c r="D150" s="493"/>
      <c r="E150" s="493"/>
      <c r="F150" s="493"/>
      <c r="G150" s="493"/>
      <c r="H150" s="493"/>
      <c r="I150" s="493"/>
      <c r="J150" s="493"/>
      <c r="K150" s="493"/>
      <c r="L150" s="493"/>
      <c r="M150" s="493"/>
    </row>
    <row r="151" spans="1:13" x14ac:dyDescent="0.25">
      <c r="A151" s="493"/>
      <c r="B151" s="493"/>
      <c r="C151" s="493"/>
      <c r="D151" s="493"/>
      <c r="E151" s="493"/>
      <c r="F151" s="493"/>
      <c r="G151" s="493"/>
      <c r="H151" s="493"/>
      <c r="I151" s="493"/>
      <c r="J151" s="493"/>
      <c r="K151" s="493"/>
      <c r="L151" s="493"/>
      <c r="M151" s="493"/>
    </row>
    <row r="152" spans="1:13" x14ac:dyDescent="0.25">
      <c r="A152" s="493"/>
      <c r="B152" s="493"/>
      <c r="C152" s="493"/>
      <c r="D152" s="493"/>
      <c r="E152" s="493"/>
      <c r="F152" s="493"/>
      <c r="G152" s="493"/>
      <c r="H152" s="493"/>
      <c r="I152" s="493"/>
      <c r="J152" s="493"/>
      <c r="K152" s="493"/>
      <c r="L152" s="493"/>
      <c r="M152" s="493"/>
    </row>
    <row r="153" spans="1:13" x14ac:dyDescent="0.25">
      <c r="A153" s="493"/>
      <c r="B153" s="493"/>
      <c r="C153" s="493"/>
      <c r="D153" s="493"/>
      <c r="E153" s="493"/>
      <c r="F153" s="493"/>
      <c r="G153" s="493"/>
      <c r="H153" s="493"/>
      <c r="I153" s="493"/>
      <c r="J153" s="493"/>
      <c r="K153" s="493"/>
      <c r="L153" s="493"/>
      <c r="M153" s="493"/>
    </row>
    <row r="154" spans="1:13" x14ac:dyDescent="0.25">
      <c r="A154" s="493"/>
      <c r="B154" s="493"/>
      <c r="C154" s="493"/>
      <c r="D154" s="493"/>
      <c r="E154" s="493"/>
      <c r="F154" s="493"/>
      <c r="G154" s="493"/>
      <c r="H154" s="493"/>
      <c r="I154" s="493"/>
      <c r="J154" s="493"/>
      <c r="K154" s="493"/>
      <c r="L154" s="493"/>
      <c r="M154" s="493"/>
    </row>
    <row r="155" spans="1:13" x14ac:dyDescent="0.25">
      <c r="A155" s="493"/>
      <c r="B155" s="493"/>
      <c r="C155" s="493"/>
      <c r="D155" s="493"/>
      <c r="E155" s="493"/>
      <c r="F155" s="493"/>
      <c r="G155" s="493"/>
      <c r="H155" s="493"/>
      <c r="I155" s="493"/>
      <c r="J155" s="493"/>
      <c r="K155" s="493"/>
      <c r="L155" s="493"/>
      <c r="M155" s="493"/>
    </row>
    <row r="156" spans="1:13" x14ac:dyDescent="0.25">
      <c r="A156" s="493"/>
      <c r="B156" s="493"/>
      <c r="C156" s="493"/>
      <c r="D156" s="493"/>
      <c r="E156" s="493"/>
      <c r="F156" s="493"/>
      <c r="G156" s="493"/>
      <c r="H156" s="493"/>
      <c r="I156" s="493"/>
      <c r="J156" s="493"/>
      <c r="K156" s="493"/>
      <c r="L156" s="493"/>
      <c r="M156" s="493"/>
    </row>
    <row r="157" spans="1:13" x14ac:dyDescent="0.25">
      <c r="A157" s="493"/>
      <c r="B157" s="493"/>
      <c r="C157" s="493"/>
      <c r="D157" s="493"/>
      <c r="E157" s="493"/>
      <c r="F157" s="493"/>
      <c r="G157" s="493"/>
      <c r="H157" s="493"/>
      <c r="I157" s="493"/>
      <c r="J157" s="493"/>
      <c r="K157" s="493"/>
      <c r="L157" s="493"/>
      <c r="M157" s="493"/>
    </row>
    <row r="158" spans="1:13" x14ac:dyDescent="0.25">
      <c r="A158" s="493"/>
      <c r="B158" s="493"/>
      <c r="C158" s="493"/>
      <c r="D158" s="493"/>
      <c r="E158" s="493"/>
      <c r="F158" s="493"/>
      <c r="G158" s="493"/>
      <c r="H158" s="493"/>
      <c r="I158" s="493"/>
      <c r="J158" s="493"/>
      <c r="K158" s="493"/>
      <c r="L158" s="493"/>
      <c r="M158" s="493"/>
    </row>
    <row r="159" spans="1:13" x14ac:dyDescent="0.25">
      <c r="A159" s="493"/>
      <c r="B159" s="493"/>
      <c r="C159" s="493"/>
      <c r="D159" s="493"/>
      <c r="E159" s="493"/>
      <c r="F159" s="493"/>
      <c r="G159" s="493"/>
      <c r="H159" s="493"/>
      <c r="I159" s="493"/>
      <c r="J159" s="493"/>
      <c r="K159" s="493"/>
      <c r="L159" s="493"/>
      <c r="M159" s="493"/>
    </row>
    <row r="160" spans="1:13" x14ac:dyDescent="0.25">
      <c r="A160" s="493"/>
      <c r="B160" s="493"/>
      <c r="C160" s="493"/>
      <c r="D160" s="493"/>
      <c r="E160" s="493"/>
      <c r="F160" s="493"/>
      <c r="G160" s="493"/>
      <c r="H160" s="493"/>
      <c r="I160" s="493"/>
      <c r="J160" s="493"/>
      <c r="K160" s="493"/>
      <c r="L160" s="493"/>
      <c r="M160" s="493"/>
    </row>
    <row r="161" spans="1:13" x14ac:dyDescent="0.25">
      <c r="A161" s="493"/>
      <c r="B161" s="493"/>
      <c r="C161" s="493"/>
      <c r="D161" s="493"/>
      <c r="E161" s="493"/>
      <c r="F161" s="493"/>
      <c r="G161" s="493"/>
      <c r="H161" s="493"/>
      <c r="I161" s="493"/>
      <c r="J161" s="493"/>
      <c r="K161" s="493"/>
      <c r="L161" s="493"/>
      <c r="M161" s="493"/>
    </row>
    <row r="162" spans="1:13" x14ac:dyDescent="0.25">
      <c r="A162" s="493"/>
      <c r="B162" s="493"/>
      <c r="C162" s="493"/>
      <c r="D162" s="493"/>
      <c r="E162" s="493"/>
      <c r="F162" s="493"/>
      <c r="G162" s="493"/>
      <c r="H162" s="493"/>
      <c r="I162" s="493"/>
      <c r="J162" s="493"/>
      <c r="K162" s="493"/>
      <c r="L162" s="493"/>
      <c r="M162" s="493"/>
    </row>
    <row r="163" spans="1:13" x14ac:dyDescent="0.25">
      <c r="A163" s="493"/>
      <c r="B163" s="493"/>
      <c r="C163" s="493"/>
      <c r="D163" s="493"/>
      <c r="E163" s="493"/>
      <c r="F163" s="493"/>
      <c r="G163" s="493"/>
      <c r="H163" s="493"/>
      <c r="I163" s="493"/>
      <c r="J163" s="493"/>
      <c r="K163" s="493"/>
      <c r="L163" s="493"/>
      <c r="M163" s="493"/>
    </row>
    <row r="164" spans="1:13" x14ac:dyDescent="0.25">
      <c r="A164" s="493"/>
      <c r="B164" s="493"/>
      <c r="C164" s="493"/>
      <c r="D164" s="493"/>
      <c r="E164" s="493"/>
      <c r="F164" s="493"/>
      <c r="G164" s="493"/>
      <c r="H164" s="493"/>
      <c r="I164" s="493"/>
      <c r="J164" s="493"/>
      <c r="K164" s="493"/>
      <c r="L164" s="493"/>
      <c r="M164" s="493"/>
    </row>
    <row r="165" spans="1:13" x14ac:dyDescent="0.25">
      <c r="A165" s="493"/>
      <c r="B165" s="493"/>
      <c r="C165" s="493"/>
      <c r="D165" s="493"/>
      <c r="E165" s="493"/>
      <c r="F165" s="493"/>
      <c r="G165" s="493"/>
      <c r="H165" s="493"/>
      <c r="I165" s="493"/>
      <c r="J165" s="493"/>
      <c r="K165" s="493"/>
      <c r="L165" s="493"/>
      <c r="M165" s="493"/>
    </row>
    <row r="166" spans="1:13" x14ac:dyDescent="0.25">
      <c r="A166" s="493"/>
      <c r="B166" s="493"/>
      <c r="C166" s="493"/>
      <c r="D166" s="493"/>
      <c r="E166" s="493"/>
      <c r="F166" s="493"/>
      <c r="G166" s="493"/>
      <c r="H166" s="493"/>
      <c r="I166" s="493"/>
      <c r="J166" s="493"/>
      <c r="K166" s="493"/>
      <c r="L166" s="493"/>
      <c r="M166" s="493"/>
    </row>
    <row r="167" spans="1:13" x14ac:dyDescent="0.25">
      <c r="A167" s="493"/>
      <c r="B167" s="493"/>
      <c r="C167" s="493"/>
      <c r="D167" s="493"/>
      <c r="E167" s="493"/>
      <c r="F167" s="493"/>
      <c r="G167" s="493"/>
      <c r="H167" s="493"/>
      <c r="I167" s="493"/>
      <c r="J167" s="493"/>
      <c r="K167" s="493"/>
      <c r="L167" s="493"/>
      <c r="M167" s="493"/>
    </row>
    <row r="168" spans="1:13" x14ac:dyDescent="0.25">
      <c r="A168" s="493"/>
      <c r="B168" s="493"/>
      <c r="C168" s="493"/>
      <c r="D168" s="493"/>
      <c r="E168" s="493"/>
      <c r="F168" s="493"/>
      <c r="G168" s="493"/>
      <c r="H168" s="493"/>
      <c r="I168" s="493"/>
      <c r="J168" s="493"/>
      <c r="K168" s="493"/>
      <c r="L168" s="493"/>
      <c r="M168" s="493"/>
    </row>
    <row r="169" spans="1:13" x14ac:dyDescent="0.25">
      <c r="A169" s="493"/>
      <c r="B169" s="493"/>
      <c r="C169" s="493"/>
      <c r="D169" s="493"/>
      <c r="E169" s="493"/>
      <c r="F169" s="493"/>
      <c r="G169" s="493"/>
      <c r="H169" s="493"/>
      <c r="I169" s="493"/>
      <c r="J169" s="493"/>
      <c r="K169" s="493"/>
      <c r="L169" s="493"/>
      <c r="M169" s="493"/>
    </row>
    <row r="170" spans="1:13" x14ac:dyDescent="0.25">
      <c r="A170" s="493"/>
      <c r="B170" s="493"/>
      <c r="C170" s="493"/>
      <c r="D170" s="493"/>
      <c r="E170" s="493"/>
      <c r="F170" s="493"/>
      <c r="G170" s="493"/>
      <c r="H170" s="493"/>
      <c r="I170" s="493"/>
      <c r="J170" s="493"/>
      <c r="K170" s="493"/>
      <c r="L170" s="493"/>
      <c r="M170" s="493"/>
    </row>
    <row r="171" spans="1:13" x14ac:dyDescent="0.25">
      <c r="A171" s="493"/>
      <c r="B171" s="493"/>
      <c r="C171" s="493"/>
      <c r="D171" s="493"/>
      <c r="E171" s="493"/>
      <c r="F171" s="493"/>
      <c r="G171" s="493"/>
      <c r="H171" s="493"/>
      <c r="I171" s="493"/>
      <c r="J171" s="493"/>
      <c r="K171" s="493"/>
      <c r="L171" s="493"/>
      <c r="M171" s="493"/>
    </row>
    <row r="172" spans="1:13" x14ac:dyDescent="0.25">
      <c r="A172" s="493"/>
      <c r="B172" s="493"/>
      <c r="C172" s="493"/>
      <c r="D172" s="493"/>
      <c r="E172" s="493"/>
      <c r="F172" s="493"/>
      <c r="G172" s="493"/>
      <c r="H172" s="493"/>
      <c r="I172" s="493"/>
      <c r="J172" s="493"/>
      <c r="K172" s="493"/>
      <c r="L172" s="493"/>
      <c r="M172" s="493"/>
    </row>
    <row r="173" spans="1:13" x14ac:dyDescent="0.25">
      <c r="A173" s="493"/>
      <c r="B173" s="493"/>
      <c r="C173" s="493"/>
      <c r="D173" s="493"/>
      <c r="E173" s="493"/>
      <c r="F173" s="493"/>
      <c r="G173" s="493"/>
      <c r="H173" s="493"/>
      <c r="I173" s="493"/>
      <c r="J173" s="493"/>
      <c r="K173" s="493"/>
      <c r="L173" s="493"/>
      <c r="M173" s="493"/>
    </row>
    <row r="174" spans="1:13" x14ac:dyDescent="0.25">
      <c r="A174" s="493"/>
      <c r="B174" s="493"/>
      <c r="C174" s="493"/>
      <c r="D174" s="493"/>
      <c r="E174" s="493"/>
      <c r="F174" s="493"/>
      <c r="G174" s="493"/>
      <c r="H174" s="493"/>
      <c r="I174" s="493"/>
      <c r="J174" s="493"/>
      <c r="K174" s="493"/>
      <c r="L174" s="493"/>
      <c r="M174" s="493"/>
    </row>
    <row r="175" spans="1:13" x14ac:dyDescent="0.25">
      <c r="A175" s="493"/>
      <c r="B175" s="493"/>
      <c r="C175" s="493"/>
      <c r="D175" s="493"/>
      <c r="E175" s="493"/>
      <c r="F175" s="493"/>
      <c r="G175" s="493"/>
      <c r="H175" s="493"/>
      <c r="I175" s="493"/>
      <c r="J175" s="493"/>
      <c r="K175" s="493"/>
      <c r="L175" s="493"/>
      <c r="M175" s="493"/>
    </row>
    <row r="176" spans="1:13" x14ac:dyDescent="0.25">
      <c r="A176" s="493"/>
      <c r="B176" s="493"/>
      <c r="C176" s="493"/>
      <c r="D176" s="493"/>
      <c r="E176" s="493"/>
      <c r="F176" s="493"/>
      <c r="G176" s="493"/>
      <c r="H176" s="493"/>
      <c r="I176" s="493"/>
      <c r="J176" s="493"/>
      <c r="K176" s="493"/>
      <c r="L176" s="493"/>
      <c r="M176" s="493"/>
    </row>
    <row r="177" spans="1:13" x14ac:dyDescent="0.25">
      <c r="A177" s="493"/>
      <c r="B177" s="493"/>
      <c r="C177" s="493"/>
      <c r="D177" s="493"/>
      <c r="E177" s="493"/>
      <c r="F177" s="493"/>
      <c r="G177" s="493"/>
      <c r="H177" s="493"/>
      <c r="I177" s="493"/>
      <c r="J177" s="493"/>
      <c r="K177" s="493"/>
      <c r="L177" s="493"/>
      <c r="M177" s="493"/>
    </row>
    <row r="178" spans="1:13" x14ac:dyDescent="0.25">
      <c r="A178" s="493"/>
      <c r="B178" s="493"/>
      <c r="C178" s="493"/>
      <c r="D178" s="493"/>
      <c r="E178" s="493"/>
      <c r="F178" s="493"/>
      <c r="G178" s="493"/>
      <c r="H178" s="493"/>
      <c r="I178" s="493"/>
      <c r="J178" s="493"/>
      <c r="K178" s="493"/>
      <c r="L178" s="493"/>
      <c r="M178" s="493"/>
    </row>
    <row r="179" spans="1:13" x14ac:dyDescent="0.25">
      <c r="A179" s="493"/>
      <c r="B179" s="493"/>
      <c r="C179" s="493"/>
      <c r="D179" s="493"/>
      <c r="E179" s="493"/>
      <c r="F179" s="493"/>
      <c r="G179" s="493"/>
      <c r="H179" s="493"/>
      <c r="I179" s="493"/>
      <c r="J179" s="493"/>
      <c r="K179" s="493"/>
      <c r="L179" s="493"/>
      <c r="M179" s="493"/>
    </row>
    <row r="180" spans="1:13" x14ac:dyDescent="0.25">
      <c r="A180" s="493"/>
      <c r="B180" s="493"/>
      <c r="C180" s="493"/>
      <c r="D180" s="493"/>
      <c r="E180" s="493"/>
      <c r="F180" s="493"/>
      <c r="G180" s="493"/>
      <c r="H180" s="493"/>
      <c r="I180" s="493"/>
      <c r="J180" s="493"/>
      <c r="K180" s="493"/>
      <c r="L180" s="493"/>
      <c r="M180" s="493"/>
    </row>
    <row r="181" spans="1:13" x14ac:dyDescent="0.25">
      <c r="A181" s="493"/>
      <c r="B181" s="493"/>
      <c r="C181" s="493"/>
      <c r="D181" s="493"/>
      <c r="E181" s="493"/>
      <c r="F181" s="493"/>
      <c r="G181" s="493"/>
      <c r="H181" s="493"/>
      <c r="I181" s="493"/>
      <c r="J181" s="493"/>
      <c r="K181" s="493"/>
      <c r="L181" s="493"/>
      <c r="M181" s="493"/>
    </row>
    <row r="182" spans="1:13" x14ac:dyDescent="0.25">
      <c r="A182" s="493"/>
      <c r="B182" s="493"/>
      <c r="C182" s="493"/>
      <c r="D182" s="493"/>
      <c r="E182" s="493"/>
      <c r="F182" s="493"/>
      <c r="G182" s="493"/>
      <c r="H182" s="493"/>
      <c r="I182" s="493"/>
      <c r="J182" s="493"/>
      <c r="K182" s="493"/>
      <c r="L182" s="493"/>
      <c r="M182" s="493"/>
    </row>
    <row r="183" spans="1:13" x14ac:dyDescent="0.25">
      <c r="A183" s="493"/>
      <c r="B183" s="493"/>
      <c r="C183" s="493"/>
      <c r="D183" s="493"/>
      <c r="E183" s="493"/>
      <c r="F183" s="493"/>
      <c r="G183" s="493"/>
      <c r="H183" s="493"/>
      <c r="I183" s="493"/>
      <c r="J183" s="493"/>
      <c r="K183" s="493"/>
      <c r="L183" s="493"/>
      <c r="M183" s="493"/>
    </row>
    <row r="184" spans="1:13" x14ac:dyDescent="0.25">
      <c r="A184" s="493"/>
      <c r="B184" s="493"/>
      <c r="C184" s="493"/>
      <c r="D184" s="493"/>
      <c r="E184" s="493"/>
      <c r="F184" s="493"/>
      <c r="G184" s="493"/>
      <c r="H184" s="493"/>
      <c r="I184" s="493"/>
      <c r="J184" s="493"/>
      <c r="K184" s="493"/>
      <c r="L184" s="493"/>
      <c r="M184" s="493"/>
    </row>
    <row r="185" spans="1:13" x14ac:dyDescent="0.25">
      <c r="A185" s="493"/>
      <c r="B185" s="493"/>
      <c r="C185" s="493"/>
      <c r="D185" s="493"/>
      <c r="E185" s="493"/>
      <c r="F185" s="493"/>
      <c r="G185" s="493"/>
      <c r="H185" s="493"/>
      <c r="I185" s="493"/>
      <c r="J185" s="493"/>
      <c r="K185" s="493"/>
      <c r="L185" s="493"/>
      <c r="M185" s="493"/>
    </row>
    <row r="186" spans="1:13" x14ac:dyDescent="0.25">
      <c r="A186" s="493"/>
      <c r="B186" s="493"/>
      <c r="C186" s="493"/>
      <c r="D186" s="493"/>
      <c r="E186" s="493"/>
      <c r="F186" s="493"/>
      <c r="G186" s="493"/>
      <c r="H186" s="493"/>
      <c r="I186" s="493"/>
      <c r="J186" s="493"/>
      <c r="K186" s="493"/>
      <c r="L186" s="493"/>
      <c r="M186" s="493"/>
    </row>
    <row r="187" spans="1:13" x14ac:dyDescent="0.25">
      <c r="A187" s="493"/>
      <c r="B187" s="493"/>
      <c r="C187" s="493"/>
      <c r="D187" s="493"/>
      <c r="E187" s="493"/>
      <c r="F187" s="493"/>
      <c r="G187" s="493"/>
      <c r="H187" s="493"/>
      <c r="I187" s="493"/>
      <c r="J187" s="493"/>
      <c r="K187" s="493"/>
      <c r="L187" s="493"/>
      <c r="M187" s="493"/>
    </row>
    <row r="188" spans="1:13" x14ac:dyDescent="0.25">
      <c r="A188" s="493"/>
      <c r="B188" s="493"/>
      <c r="C188" s="493"/>
      <c r="D188" s="493"/>
      <c r="E188" s="493"/>
      <c r="F188" s="493"/>
      <c r="G188" s="493"/>
      <c r="H188" s="493"/>
      <c r="I188" s="493"/>
      <c r="J188" s="493"/>
      <c r="K188" s="493"/>
      <c r="L188" s="493"/>
      <c r="M188" s="493"/>
    </row>
    <row r="189" spans="1:13" x14ac:dyDescent="0.25">
      <c r="A189" s="493"/>
      <c r="B189" s="493"/>
      <c r="C189" s="493"/>
      <c r="D189" s="493"/>
      <c r="E189" s="493"/>
      <c r="F189" s="493"/>
      <c r="G189" s="493"/>
      <c r="H189" s="493"/>
      <c r="I189" s="493"/>
      <c r="J189" s="493"/>
      <c r="K189" s="493"/>
      <c r="L189" s="493"/>
      <c r="M189" s="493"/>
    </row>
    <row r="190" spans="1:13" x14ac:dyDescent="0.25">
      <c r="A190" s="493"/>
      <c r="B190" s="493"/>
      <c r="C190" s="493"/>
      <c r="D190" s="493"/>
      <c r="E190" s="493"/>
      <c r="F190" s="493"/>
      <c r="G190" s="493"/>
      <c r="H190" s="493"/>
      <c r="I190" s="493"/>
      <c r="J190" s="493"/>
      <c r="K190" s="493"/>
      <c r="L190" s="493"/>
      <c r="M190" s="493"/>
    </row>
  </sheetData>
  <mergeCells count="12">
    <mergeCell ref="B5:C5"/>
    <mergeCell ref="I5:K5"/>
    <mergeCell ref="N5:O5"/>
    <mergeCell ref="S5:U5"/>
    <mergeCell ref="Y5:AA5"/>
    <mergeCell ref="A1:W1"/>
    <mergeCell ref="Y1:AB1"/>
    <mergeCell ref="A2:V2"/>
    <mergeCell ref="Y2:AB2"/>
    <mergeCell ref="B4:L4"/>
    <mergeCell ref="N4:V4"/>
    <mergeCell ref="Y4:AB4"/>
  </mergeCells>
  <pageMargins left="0.75" right="0.75" top="1" bottom="1" header="0.5" footer="0.5"/>
  <pageSetup paperSize="5" scale="76" orientation="landscape" r:id="rId1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44">
    <pageSetUpPr fitToPage="1"/>
  </sheetPr>
  <dimension ref="A1:AG186"/>
  <sheetViews>
    <sheetView zoomScaleNormal="100" workbookViewId="0">
      <selection activeCell="B8" sqref="B8"/>
    </sheetView>
  </sheetViews>
  <sheetFormatPr defaultColWidth="9.1796875" defaultRowHeight="12.5" x14ac:dyDescent="0.25"/>
  <cols>
    <col min="1" max="1" width="13" style="492" customWidth="1"/>
    <col min="2" max="2" width="7.54296875" style="492" customWidth="1"/>
    <col min="3" max="3" width="4.81640625" style="492" hidden="1" customWidth="1"/>
    <col min="4" max="4" width="8.54296875" style="492" bestFit="1" customWidth="1"/>
    <col min="5" max="5" width="12" style="492" bestFit="1" customWidth="1"/>
    <col min="6" max="6" width="11.1796875" style="492" customWidth="1"/>
    <col min="7" max="7" width="12" style="492" bestFit="1" customWidth="1"/>
    <col min="8" max="8" width="11.1796875" style="492" customWidth="1"/>
    <col min="9" max="9" width="11.54296875" style="492" hidden="1" customWidth="1"/>
    <col min="10" max="10" width="10.7265625" style="492" bestFit="1" customWidth="1"/>
    <col min="11" max="11" width="4.81640625" style="492" hidden="1" customWidth="1"/>
    <col min="12" max="12" width="12.54296875" style="492" customWidth="1"/>
    <col min="13" max="13" width="2.54296875" style="492" customWidth="1"/>
    <col min="14" max="14" width="7" style="492" customWidth="1"/>
    <col min="15" max="15" width="4.81640625" style="492" hidden="1" customWidth="1"/>
    <col min="16" max="16" width="6.54296875" style="492" bestFit="1" customWidth="1"/>
    <col min="17" max="17" width="11.7265625" style="492" bestFit="1" customWidth="1"/>
    <col min="18" max="18" width="9.81640625" style="492" bestFit="1" customWidth="1"/>
    <col min="19" max="19" width="10.7265625" style="492" hidden="1" customWidth="1"/>
    <col min="20" max="20" width="9.81640625" style="492" bestFit="1" customWidth="1"/>
    <col min="21" max="21" width="4.81640625" style="492" hidden="1" customWidth="1"/>
    <col min="22" max="22" width="10.7265625" style="492" bestFit="1" customWidth="1"/>
    <col min="23" max="23" width="2.7265625" style="492" customWidth="1"/>
    <col min="24" max="24" width="13.81640625" style="492" bestFit="1" customWidth="1"/>
    <col min="25" max="25" width="12.81640625" style="492" hidden="1" customWidth="1"/>
    <col min="26" max="26" width="10.7265625" style="492" bestFit="1" customWidth="1"/>
    <col min="27" max="27" width="4.81640625" style="492" hidden="1" customWidth="1"/>
    <col min="28" max="28" width="11.26953125" style="492" bestFit="1" customWidth="1"/>
    <col min="29" max="29" width="11.81640625" style="492" customWidth="1"/>
    <col min="30" max="30" width="9.7265625" style="492" bestFit="1" customWidth="1"/>
    <col min="31" max="16384" width="9.1796875" style="492"/>
  </cols>
  <sheetData>
    <row r="1" spans="1:33" ht="13" x14ac:dyDescent="0.3">
      <c r="A1" s="813" t="s">
        <v>497</v>
      </c>
      <c r="B1" s="813"/>
      <c r="C1" s="813"/>
      <c r="D1" s="813"/>
      <c r="E1" s="813"/>
      <c r="F1" s="813"/>
      <c r="G1" s="813"/>
      <c r="H1" s="813"/>
      <c r="I1" s="813"/>
      <c r="J1" s="813"/>
      <c r="K1" s="813"/>
      <c r="L1" s="813"/>
      <c r="M1" s="813"/>
      <c r="N1" s="813"/>
      <c r="O1" s="813"/>
      <c r="P1" s="813"/>
      <c r="Q1" s="813"/>
      <c r="R1" s="813"/>
      <c r="S1" s="813"/>
      <c r="T1" s="813"/>
      <c r="U1" s="813"/>
      <c r="V1" s="813"/>
      <c r="W1" s="813"/>
      <c r="X1" s="491"/>
      <c r="Y1" s="823"/>
      <c r="Z1" s="823"/>
      <c r="AA1" s="823"/>
      <c r="AB1" s="823"/>
    </row>
    <row r="2" spans="1:33" ht="13" x14ac:dyDescent="0.3">
      <c r="A2" s="815">
        <f>'[100]Sales Forecast'!H6</f>
        <v>43770</v>
      </c>
      <c r="B2" s="815"/>
      <c r="C2" s="815"/>
      <c r="D2" s="815"/>
      <c r="E2" s="815"/>
      <c r="F2" s="815"/>
      <c r="G2" s="815"/>
      <c r="H2" s="815"/>
      <c r="I2" s="815"/>
      <c r="J2" s="815"/>
      <c r="K2" s="815"/>
      <c r="L2" s="815"/>
      <c r="M2" s="815"/>
      <c r="N2" s="815"/>
      <c r="O2" s="815"/>
      <c r="P2" s="815"/>
      <c r="Q2" s="815"/>
      <c r="R2" s="815"/>
      <c r="S2" s="815"/>
      <c r="T2" s="815"/>
      <c r="U2" s="815"/>
      <c r="V2" s="815"/>
      <c r="Y2" s="824"/>
      <c r="Z2" s="824"/>
      <c r="AA2" s="824"/>
      <c r="AB2" s="824"/>
    </row>
    <row r="3" spans="1:33" ht="13" thickBot="1" x14ac:dyDescent="0.3">
      <c r="A3" s="493"/>
      <c r="B3" s="493"/>
      <c r="C3" s="493"/>
      <c r="D3" s="493"/>
      <c r="E3" s="493"/>
      <c r="F3" s="493"/>
      <c r="G3" s="493"/>
      <c r="H3" s="493"/>
      <c r="I3" s="493"/>
      <c r="J3" s="493"/>
      <c r="K3" s="493"/>
      <c r="L3" s="493"/>
      <c r="M3" s="493"/>
      <c r="AD3" s="518" t="s">
        <v>535</v>
      </c>
      <c r="AE3" s="518"/>
      <c r="AF3" s="518"/>
      <c r="AG3" s="518"/>
    </row>
    <row r="4" spans="1:33" ht="13.5" thickBot="1" x14ac:dyDescent="0.35">
      <c r="A4" s="493"/>
      <c r="B4" s="825" t="s">
        <v>498</v>
      </c>
      <c r="C4" s="826"/>
      <c r="D4" s="826"/>
      <c r="E4" s="826"/>
      <c r="F4" s="826"/>
      <c r="G4" s="826"/>
      <c r="H4" s="826"/>
      <c r="I4" s="826"/>
      <c r="J4" s="826"/>
      <c r="K4" s="826"/>
      <c r="L4" s="826"/>
      <c r="M4" s="493"/>
      <c r="N4" s="825" t="s">
        <v>499</v>
      </c>
      <c r="O4" s="826"/>
      <c r="P4" s="826"/>
      <c r="Q4" s="826"/>
      <c r="R4" s="826"/>
      <c r="S4" s="826"/>
      <c r="T4" s="826"/>
      <c r="U4" s="826"/>
      <c r="V4" s="826"/>
      <c r="Y4" s="827" t="s">
        <v>500</v>
      </c>
      <c r="Z4" s="828"/>
      <c r="AA4" s="828"/>
      <c r="AB4" s="828"/>
      <c r="AC4" s="494"/>
    </row>
    <row r="5" spans="1:33" x14ac:dyDescent="0.25">
      <c r="A5" s="493"/>
      <c r="B5" s="829" t="s">
        <v>501</v>
      </c>
      <c r="C5" s="829"/>
      <c r="D5" s="495" t="s">
        <v>284</v>
      </c>
      <c r="E5" s="495" t="s">
        <v>162</v>
      </c>
      <c r="F5" s="495" t="s">
        <v>162</v>
      </c>
      <c r="G5" s="495" t="s">
        <v>283</v>
      </c>
      <c r="H5" s="495" t="s">
        <v>283</v>
      </c>
      <c r="I5" s="829" t="s">
        <v>502</v>
      </c>
      <c r="J5" s="829"/>
      <c r="K5" s="829"/>
      <c r="L5" s="496" t="s">
        <v>503</v>
      </c>
      <c r="M5" s="493"/>
      <c r="N5" s="829" t="s">
        <v>501</v>
      </c>
      <c r="O5" s="829"/>
      <c r="P5" s="495" t="str">
        <f>D5</f>
        <v>Capacity</v>
      </c>
      <c r="Q5" s="495" t="s">
        <v>260</v>
      </c>
      <c r="R5" s="495" t="s">
        <v>260</v>
      </c>
      <c r="S5" s="829" t="s">
        <v>504</v>
      </c>
      <c r="T5" s="829"/>
      <c r="U5" s="829"/>
      <c r="V5" s="496" t="s">
        <v>505</v>
      </c>
      <c r="Y5" s="830" t="s">
        <v>506</v>
      </c>
      <c r="Z5" s="830"/>
      <c r="AA5" s="830"/>
      <c r="AB5" s="496" t="s">
        <v>507</v>
      </c>
      <c r="AC5" s="497"/>
    </row>
    <row r="6" spans="1:33" x14ac:dyDescent="0.25">
      <c r="A6" s="493" t="s">
        <v>508</v>
      </c>
      <c r="B6" s="498" t="s">
        <v>368</v>
      </c>
      <c r="C6" s="498" t="s">
        <v>366</v>
      </c>
      <c r="D6" s="498" t="s">
        <v>366</v>
      </c>
      <c r="E6" s="498" t="s">
        <v>509</v>
      </c>
      <c r="F6" s="498" t="s">
        <v>135</v>
      </c>
      <c r="G6" s="498" t="s">
        <v>509</v>
      </c>
      <c r="H6" s="498" t="s">
        <v>135</v>
      </c>
      <c r="I6" s="498" t="s">
        <v>510</v>
      </c>
      <c r="J6" s="498" t="str">
        <f>D5</f>
        <v>Capacity</v>
      </c>
      <c r="K6" s="498" t="s">
        <v>162</v>
      </c>
      <c r="L6" s="498" t="s">
        <v>162</v>
      </c>
      <c r="M6" s="499"/>
      <c r="N6" s="498" t="s">
        <v>368</v>
      </c>
      <c r="O6" s="498" t="s">
        <v>366</v>
      </c>
      <c r="P6" s="498" t="s">
        <v>366</v>
      </c>
      <c r="Q6" s="498" t="s">
        <v>509</v>
      </c>
      <c r="R6" s="498" t="s">
        <v>135</v>
      </c>
      <c r="S6" s="498" t="s">
        <v>510</v>
      </c>
      <c r="T6" s="498" t="str">
        <f>J6</f>
        <v>Capacity</v>
      </c>
      <c r="U6" s="498" t="s">
        <v>162</v>
      </c>
      <c r="V6" s="498" t="s">
        <v>162</v>
      </c>
      <c r="X6" s="498" t="s">
        <v>508</v>
      </c>
      <c r="Y6" s="498" t="s">
        <v>510</v>
      </c>
      <c r="Z6" s="498" t="str">
        <f>T6</f>
        <v>Capacity</v>
      </c>
      <c r="AA6" s="498" t="s">
        <v>162</v>
      </c>
      <c r="AB6" s="498" t="s">
        <v>162</v>
      </c>
      <c r="AC6" s="498"/>
    </row>
    <row r="7" spans="1:33" x14ac:dyDescent="0.25">
      <c r="A7" s="493"/>
      <c r="B7" s="493"/>
      <c r="C7" s="493"/>
      <c r="D7" s="493"/>
      <c r="E7" s="493"/>
      <c r="F7" s="493"/>
      <c r="G7" s="493"/>
      <c r="H7" s="493"/>
      <c r="I7" s="493"/>
      <c r="J7" s="493"/>
      <c r="K7" s="493"/>
      <c r="L7" s="493"/>
      <c r="M7" s="493"/>
      <c r="N7" s="493"/>
      <c r="O7" s="493"/>
      <c r="P7" s="493"/>
      <c r="Q7" s="493"/>
      <c r="R7" s="493"/>
      <c r="S7" s="493"/>
      <c r="T7" s="493"/>
      <c r="U7" s="493"/>
      <c r="V7" s="493"/>
    </row>
    <row r="8" spans="1:33" x14ac:dyDescent="0.25">
      <c r="A8" s="500">
        <v>1</v>
      </c>
      <c r="B8" s="493">
        <f>'Forecast MAC Total'!R24</f>
        <v>9.6200000000000001E-3</v>
      </c>
      <c r="C8" s="493" t="e">
        <f>#REF!</f>
        <v>#REF!</v>
      </c>
      <c r="D8" s="508">
        <f>'Nov - Apr Capacity MSC by Class'!G20</f>
        <v>8.5000000000000006E-3</v>
      </c>
      <c r="E8" s="502">
        <f>'[100]Adj Sales Forecast'!H8</f>
        <v>894025833</v>
      </c>
      <c r="F8" s="493">
        <v>0</v>
      </c>
      <c r="G8" s="8">
        <f>ROUND(E8*0.88,0)</f>
        <v>786742733</v>
      </c>
      <c r="H8" s="8">
        <f>ROUND(F8*0.88,0)</f>
        <v>0</v>
      </c>
      <c r="I8" s="169" t="e">
        <f>ROUND(C8*G8,0)</f>
        <v>#REF!</v>
      </c>
      <c r="J8" s="169">
        <f>ROUND(D8*G8,0)</f>
        <v>6687313</v>
      </c>
      <c r="K8" s="169" t="e">
        <f t="shared" ref="K8:K19" si="0">I8+J8</f>
        <v>#REF!</v>
      </c>
      <c r="L8" s="169">
        <f t="shared" ref="L8:L19" si="1">ROUND(B8*G8,0)</f>
        <v>7568465</v>
      </c>
      <c r="M8" s="493"/>
      <c r="N8" s="501">
        <f>B8</f>
        <v>9.6200000000000001E-3</v>
      </c>
      <c r="O8" s="493" t="e">
        <f>#REF!</f>
        <v>#REF!</v>
      </c>
      <c r="P8" s="501">
        <f>'[100]Nov - Apr Capacity MSC by Class'!H20</f>
        <v>3.0100000000000001E-3</v>
      </c>
      <c r="Q8" s="502">
        <f>E8-G8</f>
        <v>107283100</v>
      </c>
      <c r="R8" s="502">
        <f>F8-H8</f>
        <v>0</v>
      </c>
      <c r="S8" s="169" t="e">
        <f t="shared" ref="S8:S19" si="2">ROUND(O8*Q8,0)</f>
        <v>#REF!</v>
      </c>
      <c r="T8" s="169">
        <f>ROUND(P8*Q8,0)</f>
        <v>322922</v>
      </c>
      <c r="U8" s="169" t="e">
        <f t="shared" ref="U8:U19" si="3">S8+T8</f>
        <v>#REF!</v>
      </c>
      <c r="V8" s="169">
        <f t="shared" ref="V8:V19" si="4">ROUND(N8*Q8,0)</f>
        <v>1032063</v>
      </c>
      <c r="X8" s="500">
        <v>1</v>
      </c>
      <c r="Y8" s="503" t="e">
        <f t="shared" ref="Y8:Z19" si="5">I8+S8</f>
        <v>#REF!</v>
      </c>
      <c r="Z8" s="503">
        <f t="shared" si="5"/>
        <v>7010235</v>
      </c>
      <c r="AA8" s="503" t="e">
        <f t="shared" ref="AA8:AA19" si="6">Y8+Z8</f>
        <v>#REF!</v>
      </c>
      <c r="AB8" s="503">
        <f t="shared" ref="AB8:AB19" si="7">L8+V8</f>
        <v>8600528</v>
      </c>
    </row>
    <row r="9" spans="1:33" x14ac:dyDescent="0.25">
      <c r="A9" s="500" t="s">
        <v>511</v>
      </c>
      <c r="B9" s="493">
        <f>$B$8</f>
        <v>9.6200000000000001E-3</v>
      </c>
      <c r="C9" s="493" t="e">
        <f>#REF!</f>
        <v>#REF!</v>
      </c>
      <c r="D9" s="493">
        <f>'[100]Nov - Apr Capacity MSC by Class'!G40</f>
        <v>3.2199999999999999E-2</v>
      </c>
      <c r="E9" s="502">
        <f>'[100]Adj Sales Forecast'!H37</f>
        <v>1937169</v>
      </c>
      <c r="F9" s="493">
        <v>0</v>
      </c>
      <c r="G9" s="8">
        <f>ROUND(E9*0.88,0)</f>
        <v>1704709</v>
      </c>
      <c r="H9" s="8">
        <f>ROUND(F9*0.88,0)</f>
        <v>0</v>
      </c>
      <c r="I9" s="169" t="e">
        <f t="shared" ref="I9:I19" si="8">ROUND(C9*G9,0)</f>
        <v>#REF!</v>
      </c>
      <c r="J9" s="169">
        <f t="shared" ref="J9:J19" si="9">ROUND(D9*G9,0)</f>
        <v>54892</v>
      </c>
      <c r="K9" s="169" t="e">
        <f t="shared" si="0"/>
        <v>#REF!</v>
      </c>
      <c r="L9" s="169">
        <f t="shared" si="1"/>
        <v>16399</v>
      </c>
      <c r="M9" s="493"/>
      <c r="N9" s="493">
        <f>B9</f>
        <v>9.6200000000000001E-3</v>
      </c>
      <c r="O9" s="493" t="e">
        <f>#REF!</f>
        <v>#REF!</v>
      </c>
      <c r="P9" s="493">
        <f>'[100]Nov - Apr Capacity MSC by Class'!H40</f>
        <v>6.6E-3</v>
      </c>
      <c r="Q9" s="502">
        <f>E9-G9</f>
        <v>232460</v>
      </c>
      <c r="R9" s="502">
        <f>F9-H9</f>
        <v>0</v>
      </c>
      <c r="S9" s="169" t="e">
        <f t="shared" si="2"/>
        <v>#REF!</v>
      </c>
      <c r="T9" s="169">
        <f t="shared" ref="T9:T19" si="10">ROUND(P9*Q9,0)</f>
        <v>1534</v>
      </c>
      <c r="U9" s="169" t="e">
        <f t="shared" si="3"/>
        <v>#REF!</v>
      </c>
      <c r="V9" s="169">
        <f t="shared" si="4"/>
        <v>2236</v>
      </c>
      <c r="X9" s="500" t="s">
        <v>511</v>
      </c>
      <c r="Y9" s="503" t="e">
        <f t="shared" si="5"/>
        <v>#REF!</v>
      </c>
      <c r="Z9" s="503">
        <f t="shared" si="5"/>
        <v>56426</v>
      </c>
      <c r="AA9" s="503" t="e">
        <f t="shared" si="6"/>
        <v>#REF!</v>
      </c>
      <c r="AB9" s="503">
        <f t="shared" si="7"/>
        <v>18635</v>
      </c>
      <c r="AD9" s="503"/>
    </row>
    <row r="10" spans="1:33" x14ac:dyDescent="0.25">
      <c r="A10" s="500" t="s">
        <v>512</v>
      </c>
      <c r="B10" s="493">
        <f t="shared" ref="B10:B19" si="11">$B$8</f>
        <v>9.6200000000000001E-3</v>
      </c>
      <c r="C10" s="504" t="e">
        <f>#REF!</f>
        <v>#REF!</v>
      </c>
      <c r="D10" s="493">
        <v>0</v>
      </c>
      <c r="E10" s="502">
        <f>'[100]Adj Sales Forecast'!H38</f>
        <v>3036998</v>
      </c>
      <c r="F10" s="493">
        <v>0</v>
      </c>
      <c r="G10" s="8">
        <f t="shared" ref="G10:H19" si="12">ROUND(E10*0.88,0)</f>
        <v>2672558</v>
      </c>
      <c r="H10" s="8">
        <f>ROUND(F10*0.88,0)</f>
        <v>0</v>
      </c>
      <c r="I10" s="169" t="e">
        <f t="shared" si="8"/>
        <v>#REF!</v>
      </c>
      <c r="J10" s="169">
        <f t="shared" si="9"/>
        <v>0</v>
      </c>
      <c r="K10" s="169" t="e">
        <f t="shared" si="0"/>
        <v>#REF!</v>
      </c>
      <c r="L10" s="169">
        <f t="shared" si="1"/>
        <v>25710</v>
      </c>
      <c r="M10" s="493"/>
      <c r="N10" s="493">
        <f t="shared" ref="N10:N19" si="13">B10</f>
        <v>9.6200000000000001E-3</v>
      </c>
      <c r="O10" s="504" t="e">
        <f>#REF!</f>
        <v>#REF!</v>
      </c>
      <c r="P10" s="493">
        <v>0</v>
      </c>
      <c r="Q10" s="502">
        <f t="shared" ref="Q10:R19" si="14">E10-G10</f>
        <v>364440</v>
      </c>
      <c r="R10" s="502">
        <f>F10-H10</f>
        <v>0</v>
      </c>
      <c r="S10" s="169" t="e">
        <f t="shared" si="2"/>
        <v>#REF!</v>
      </c>
      <c r="T10" s="169">
        <f t="shared" si="10"/>
        <v>0</v>
      </c>
      <c r="U10" s="169" t="e">
        <f t="shared" si="3"/>
        <v>#REF!</v>
      </c>
      <c r="V10" s="169">
        <f t="shared" si="4"/>
        <v>3506</v>
      </c>
      <c r="X10" s="500" t="s">
        <v>512</v>
      </c>
      <c r="Y10" s="503" t="e">
        <f t="shared" si="5"/>
        <v>#REF!</v>
      </c>
      <c r="Z10" s="503">
        <f t="shared" si="5"/>
        <v>0</v>
      </c>
      <c r="AA10" s="503" t="e">
        <f t="shared" si="6"/>
        <v>#REF!</v>
      </c>
      <c r="AB10" s="503">
        <f t="shared" si="7"/>
        <v>29216</v>
      </c>
    </row>
    <row r="11" spans="1:33" x14ac:dyDescent="0.25">
      <c r="A11" s="500">
        <v>2</v>
      </c>
      <c r="B11" s="493">
        <f t="shared" si="11"/>
        <v>9.6200000000000001E-3</v>
      </c>
      <c r="C11" s="504" t="e">
        <f>#REF!</f>
        <v>#REF!</v>
      </c>
      <c r="D11" s="493">
        <f>'[100]Nov - Apr Capacity MSC by Class'!G21</f>
        <v>1.29E-2</v>
      </c>
      <c r="E11" s="502">
        <f>'[100]Adj Sales Forecast'!H15</f>
        <v>172370280</v>
      </c>
      <c r="F11" s="493">
        <v>0</v>
      </c>
      <c r="G11" s="8">
        <f t="shared" si="12"/>
        <v>151685846</v>
      </c>
      <c r="H11" s="8">
        <f t="shared" si="12"/>
        <v>0</v>
      </c>
      <c r="I11" s="169" t="e">
        <f t="shared" si="8"/>
        <v>#REF!</v>
      </c>
      <c r="J11" s="169">
        <f t="shared" si="9"/>
        <v>1956747</v>
      </c>
      <c r="K11" s="169" t="e">
        <f t="shared" si="0"/>
        <v>#REF!</v>
      </c>
      <c r="L11" s="169">
        <f t="shared" si="1"/>
        <v>1459218</v>
      </c>
      <c r="M11" s="493"/>
      <c r="N11" s="493">
        <f t="shared" si="13"/>
        <v>9.6200000000000001E-3</v>
      </c>
      <c r="O11" s="504" t="e">
        <f>#REF!</f>
        <v>#REF!</v>
      </c>
      <c r="P11" s="493">
        <f>'[100]Nov - Apr Capacity MSC by Class'!H21</f>
        <v>2.5999999999999999E-3</v>
      </c>
      <c r="Q11" s="502">
        <f t="shared" si="14"/>
        <v>20684434</v>
      </c>
      <c r="R11" s="502">
        <f t="shared" si="14"/>
        <v>0</v>
      </c>
      <c r="S11" s="169" t="e">
        <f t="shared" si="2"/>
        <v>#REF!</v>
      </c>
      <c r="T11" s="169">
        <f t="shared" si="10"/>
        <v>53780</v>
      </c>
      <c r="U11" s="169" t="e">
        <f t="shared" si="3"/>
        <v>#REF!</v>
      </c>
      <c r="V11" s="169">
        <f t="shared" si="4"/>
        <v>198984</v>
      </c>
      <c r="X11" s="500">
        <v>2</v>
      </c>
      <c r="Y11" s="503" t="e">
        <f t="shared" si="5"/>
        <v>#REF!</v>
      </c>
      <c r="Z11" s="503">
        <f t="shared" si="5"/>
        <v>2010527</v>
      </c>
      <c r="AA11" s="503" t="e">
        <f t="shared" si="6"/>
        <v>#REF!</v>
      </c>
      <c r="AB11" s="503">
        <f t="shared" si="7"/>
        <v>1658202</v>
      </c>
    </row>
    <row r="12" spans="1:33" x14ac:dyDescent="0.25">
      <c r="A12" s="500" t="s">
        <v>513</v>
      </c>
      <c r="B12" s="493">
        <f t="shared" si="11"/>
        <v>9.6200000000000001E-3</v>
      </c>
      <c r="C12" s="493" t="e">
        <f>#REF!</f>
        <v>#REF!</v>
      </c>
      <c r="D12" s="493">
        <f>'[100]Nov - Apr Capacity MSC by Class'!G43</f>
        <v>2.4E-2</v>
      </c>
      <c r="E12" s="502">
        <f>'[100]Adj Sales Forecast'!H40</f>
        <v>251605</v>
      </c>
      <c r="F12" s="493">
        <v>0</v>
      </c>
      <c r="G12" s="8">
        <f t="shared" si="12"/>
        <v>221412</v>
      </c>
      <c r="H12" s="8">
        <f t="shared" si="12"/>
        <v>0</v>
      </c>
      <c r="I12" s="169" t="e">
        <f t="shared" si="8"/>
        <v>#REF!</v>
      </c>
      <c r="J12" s="169">
        <f t="shared" si="9"/>
        <v>5314</v>
      </c>
      <c r="K12" s="169" t="e">
        <f t="shared" si="0"/>
        <v>#REF!</v>
      </c>
      <c r="L12" s="169">
        <f t="shared" si="1"/>
        <v>2130</v>
      </c>
      <c r="M12" s="493"/>
      <c r="N12" s="493">
        <f t="shared" si="13"/>
        <v>9.6200000000000001E-3</v>
      </c>
      <c r="O12" s="493" t="e">
        <f>#REF!</f>
        <v>#REF!</v>
      </c>
      <c r="P12" s="493">
        <f>'[100]Nov - Apr Capacity MSC by Class'!H43</f>
        <v>4.8999999999999998E-3</v>
      </c>
      <c r="Q12" s="502">
        <f t="shared" si="14"/>
        <v>30193</v>
      </c>
      <c r="R12" s="502">
        <f t="shared" si="14"/>
        <v>0</v>
      </c>
      <c r="S12" s="169" t="e">
        <f t="shared" si="2"/>
        <v>#REF!</v>
      </c>
      <c r="T12" s="169">
        <f t="shared" si="10"/>
        <v>148</v>
      </c>
      <c r="U12" s="169" t="e">
        <f t="shared" si="3"/>
        <v>#REF!</v>
      </c>
      <c r="V12" s="169">
        <f t="shared" si="4"/>
        <v>290</v>
      </c>
      <c r="X12" s="500" t="s">
        <v>513</v>
      </c>
      <c r="Y12" s="503" t="e">
        <f t="shared" si="5"/>
        <v>#REF!</v>
      </c>
      <c r="Z12" s="503">
        <f t="shared" si="5"/>
        <v>5462</v>
      </c>
      <c r="AA12" s="503" t="e">
        <f t="shared" si="6"/>
        <v>#REF!</v>
      </c>
      <c r="AB12" s="503">
        <f t="shared" si="7"/>
        <v>2420</v>
      </c>
    </row>
    <row r="13" spans="1:33" x14ac:dyDescent="0.25">
      <c r="A13" s="500" t="s">
        <v>514</v>
      </c>
      <c r="B13" s="493">
        <f t="shared" si="11"/>
        <v>9.6200000000000001E-3</v>
      </c>
      <c r="C13" s="504" t="e">
        <f>#REF!</f>
        <v>#REF!</v>
      </c>
      <c r="D13" s="493">
        <v>0</v>
      </c>
      <c r="E13" s="502">
        <f>'[100]Adj Sales Forecast'!H41</f>
        <v>378115</v>
      </c>
      <c r="F13" s="493">
        <v>0</v>
      </c>
      <c r="G13" s="8">
        <f t="shared" si="12"/>
        <v>332741</v>
      </c>
      <c r="H13" s="8">
        <f t="shared" si="12"/>
        <v>0</v>
      </c>
      <c r="I13" s="169" t="e">
        <f t="shared" si="8"/>
        <v>#REF!</v>
      </c>
      <c r="J13" s="169">
        <f t="shared" si="9"/>
        <v>0</v>
      </c>
      <c r="K13" s="169" t="e">
        <f t="shared" si="0"/>
        <v>#REF!</v>
      </c>
      <c r="L13" s="169">
        <f t="shared" si="1"/>
        <v>3201</v>
      </c>
      <c r="M13" s="493"/>
      <c r="N13" s="493">
        <f t="shared" si="13"/>
        <v>9.6200000000000001E-3</v>
      </c>
      <c r="O13" s="504" t="e">
        <f>#REF!</f>
        <v>#REF!</v>
      </c>
      <c r="P13" s="493">
        <v>0</v>
      </c>
      <c r="Q13" s="502">
        <f t="shared" si="14"/>
        <v>45374</v>
      </c>
      <c r="R13" s="502">
        <f t="shared" si="14"/>
        <v>0</v>
      </c>
      <c r="S13" s="169" t="e">
        <f t="shared" si="2"/>
        <v>#REF!</v>
      </c>
      <c r="T13" s="169">
        <f t="shared" si="10"/>
        <v>0</v>
      </c>
      <c r="U13" s="169" t="e">
        <f t="shared" si="3"/>
        <v>#REF!</v>
      </c>
      <c r="V13" s="169">
        <f t="shared" si="4"/>
        <v>436</v>
      </c>
      <c r="X13" s="500" t="s">
        <v>514</v>
      </c>
      <c r="Y13" s="503" t="e">
        <f t="shared" si="5"/>
        <v>#REF!</v>
      </c>
      <c r="Z13" s="503">
        <f t="shared" si="5"/>
        <v>0</v>
      </c>
      <c r="AA13" s="503" t="e">
        <f t="shared" si="6"/>
        <v>#REF!</v>
      </c>
      <c r="AB13" s="503">
        <f t="shared" si="7"/>
        <v>3637</v>
      </c>
    </row>
    <row r="14" spans="1:33" x14ac:dyDescent="0.25">
      <c r="A14" s="500">
        <v>6</v>
      </c>
      <c r="B14" s="493">
        <f t="shared" si="11"/>
        <v>9.6200000000000001E-3</v>
      </c>
      <c r="C14" s="493" t="e">
        <f>#REF!</f>
        <v>#REF!</v>
      </c>
      <c r="D14" s="493">
        <f>'[100]Nov - Apr Capacity MSC by Class'!G25</f>
        <v>1E-4</v>
      </c>
      <c r="E14" s="502">
        <f>'[100]Adj Sales Forecast'!H18</f>
        <v>678899</v>
      </c>
      <c r="F14" s="493">
        <v>0</v>
      </c>
      <c r="G14" s="8">
        <f t="shared" si="12"/>
        <v>597431</v>
      </c>
      <c r="H14" s="8">
        <f t="shared" si="12"/>
        <v>0</v>
      </c>
      <c r="I14" s="169" t="e">
        <f t="shared" si="8"/>
        <v>#REF!</v>
      </c>
      <c r="J14" s="169">
        <f t="shared" si="9"/>
        <v>60</v>
      </c>
      <c r="K14" s="169" t="e">
        <f t="shared" si="0"/>
        <v>#REF!</v>
      </c>
      <c r="L14" s="169">
        <f t="shared" si="1"/>
        <v>5747</v>
      </c>
      <c r="M14" s="493"/>
      <c r="N14" s="493">
        <f t="shared" si="13"/>
        <v>9.6200000000000001E-3</v>
      </c>
      <c r="O14" s="493" t="e">
        <f>#REF!</f>
        <v>#REF!</v>
      </c>
      <c r="P14" s="493">
        <f>'[100]Nov - Apr Capacity MSC by Class'!H25</f>
        <v>0</v>
      </c>
      <c r="Q14" s="502">
        <f t="shared" si="14"/>
        <v>81468</v>
      </c>
      <c r="R14" s="502">
        <f t="shared" si="14"/>
        <v>0</v>
      </c>
      <c r="S14" s="169" t="e">
        <f t="shared" si="2"/>
        <v>#REF!</v>
      </c>
      <c r="T14" s="169">
        <f t="shared" si="10"/>
        <v>0</v>
      </c>
      <c r="U14" s="169" t="e">
        <f t="shared" si="3"/>
        <v>#REF!</v>
      </c>
      <c r="V14" s="169">
        <f t="shared" si="4"/>
        <v>784</v>
      </c>
      <c r="X14" s="500">
        <v>6</v>
      </c>
      <c r="Y14" s="503" t="e">
        <f t="shared" si="5"/>
        <v>#REF!</v>
      </c>
      <c r="Z14" s="503">
        <f t="shared" si="5"/>
        <v>60</v>
      </c>
      <c r="AA14" s="503" t="e">
        <f t="shared" si="6"/>
        <v>#REF!</v>
      </c>
      <c r="AB14" s="503">
        <f t="shared" si="7"/>
        <v>6531</v>
      </c>
    </row>
    <row r="15" spans="1:33" hidden="1" x14ac:dyDescent="0.25">
      <c r="A15" s="500">
        <v>7</v>
      </c>
      <c r="B15" s="493">
        <f t="shared" si="11"/>
        <v>9.6200000000000001E-3</v>
      </c>
      <c r="C15" s="493" t="e">
        <f>#REF!</f>
        <v>#REF!</v>
      </c>
      <c r="D15" s="501"/>
      <c r="E15" s="502"/>
      <c r="F15" s="493"/>
      <c r="G15" s="8"/>
      <c r="H15" s="8"/>
      <c r="I15" s="169"/>
      <c r="J15" s="169"/>
      <c r="K15" s="169"/>
      <c r="L15" s="169"/>
      <c r="M15" s="493"/>
      <c r="N15" s="501">
        <f t="shared" si="13"/>
        <v>9.6200000000000001E-3</v>
      </c>
      <c r="O15" s="493" t="e">
        <f>#REF!</f>
        <v>#REF!</v>
      </c>
      <c r="P15" s="501" t="e">
        <f>'[100]Nov - Apr Capacity MSC by Class'!H26</f>
        <v>#DIV/0!</v>
      </c>
      <c r="Q15" s="502">
        <f t="shared" si="14"/>
        <v>0</v>
      </c>
      <c r="R15" s="502">
        <f t="shared" si="14"/>
        <v>0</v>
      </c>
      <c r="S15" s="169" t="e">
        <f t="shared" si="2"/>
        <v>#REF!</v>
      </c>
      <c r="T15" s="169" t="e">
        <f t="shared" si="10"/>
        <v>#DIV/0!</v>
      </c>
      <c r="U15" s="169" t="e">
        <f t="shared" si="3"/>
        <v>#REF!</v>
      </c>
      <c r="V15" s="169">
        <f t="shared" si="4"/>
        <v>0</v>
      </c>
      <c r="X15" s="500">
        <v>7</v>
      </c>
      <c r="Y15" s="503" t="e">
        <f t="shared" si="5"/>
        <v>#REF!</v>
      </c>
      <c r="Z15" s="503" t="e">
        <f t="shared" si="5"/>
        <v>#DIV/0!</v>
      </c>
      <c r="AA15" s="503" t="e">
        <f t="shared" si="6"/>
        <v>#REF!</v>
      </c>
      <c r="AB15" s="503">
        <f t="shared" si="7"/>
        <v>0</v>
      </c>
    </row>
    <row r="16" spans="1:33" hidden="1" x14ac:dyDescent="0.25">
      <c r="A16" s="500" t="s">
        <v>515</v>
      </c>
      <c r="B16" s="493">
        <f t="shared" si="11"/>
        <v>9.6200000000000001E-3</v>
      </c>
      <c r="C16" s="493" t="e">
        <f>#REF!</f>
        <v>#REF!</v>
      </c>
      <c r="D16" s="493"/>
      <c r="E16" s="502"/>
      <c r="F16" s="493"/>
      <c r="G16" s="8"/>
      <c r="H16" s="8"/>
      <c r="I16" s="169"/>
      <c r="J16" s="169"/>
      <c r="K16" s="169"/>
      <c r="L16" s="169"/>
      <c r="M16" s="493"/>
      <c r="N16" s="493">
        <f t="shared" si="13"/>
        <v>9.6200000000000001E-3</v>
      </c>
      <c r="O16" s="493" t="e">
        <f>#REF!</f>
        <v>#REF!</v>
      </c>
      <c r="P16" s="493" t="e">
        <f>'[100]Nov - Apr Capacity MSC by Class'!H44</f>
        <v>#DIV/0!</v>
      </c>
      <c r="Q16" s="502">
        <f t="shared" si="14"/>
        <v>0</v>
      </c>
      <c r="R16" s="502">
        <f t="shared" si="14"/>
        <v>0</v>
      </c>
      <c r="S16" s="169" t="e">
        <f t="shared" si="2"/>
        <v>#REF!</v>
      </c>
      <c r="T16" s="169" t="e">
        <f t="shared" si="10"/>
        <v>#DIV/0!</v>
      </c>
      <c r="U16" s="169" t="e">
        <f t="shared" si="3"/>
        <v>#REF!</v>
      </c>
      <c r="V16" s="169">
        <f t="shared" si="4"/>
        <v>0</v>
      </c>
      <c r="X16" s="500" t="s">
        <v>515</v>
      </c>
      <c r="Y16" s="503" t="e">
        <f t="shared" si="5"/>
        <v>#REF!</v>
      </c>
      <c r="Z16" s="503" t="e">
        <f t="shared" si="5"/>
        <v>#DIV/0!</v>
      </c>
      <c r="AA16" s="503" t="e">
        <f t="shared" si="6"/>
        <v>#REF!</v>
      </c>
      <c r="AB16" s="503">
        <f t="shared" si="7"/>
        <v>0</v>
      </c>
    </row>
    <row r="17" spans="1:28" hidden="1" x14ac:dyDescent="0.25">
      <c r="A17" s="500" t="s">
        <v>516</v>
      </c>
      <c r="B17" s="493">
        <f t="shared" si="11"/>
        <v>9.6200000000000001E-3</v>
      </c>
      <c r="C17" s="504" t="e">
        <f>#REF!</f>
        <v>#REF!</v>
      </c>
      <c r="D17" s="493"/>
      <c r="E17" s="502"/>
      <c r="F17" s="493"/>
      <c r="G17" s="8"/>
      <c r="H17" s="8"/>
      <c r="I17" s="169"/>
      <c r="J17" s="169"/>
      <c r="K17" s="169"/>
      <c r="L17" s="169"/>
      <c r="M17" s="493"/>
      <c r="N17" s="493">
        <f t="shared" si="13"/>
        <v>9.6200000000000001E-3</v>
      </c>
      <c r="O17" s="504" t="e">
        <f>#REF!</f>
        <v>#REF!</v>
      </c>
      <c r="P17" s="493">
        <v>0</v>
      </c>
      <c r="Q17" s="502">
        <f t="shared" si="14"/>
        <v>0</v>
      </c>
      <c r="R17" s="502">
        <f t="shared" si="14"/>
        <v>0</v>
      </c>
      <c r="S17" s="169" t="e">
        <f t="shared" si="2"/>
        <v>#REF!</v>
      </c>
      <c r="T17" s="169">
        <f t="shared" si="10"/>
        <v>0</v>
      </c>
      <c r="U17" s="169" t="e">
        <f t="shared" si="3"/>
        <v>#REF!</v>
      </c>
      <c r="V17" s="169">
        <f t="shared" si="4"/>
        <v>0</v>
      </c>
      <c r="X17" s="500" t="s">
        <v>516</v>
      </c>
      <c r="Y17" s="503" t="e">
        <f t="shared" si="5"/>
        <v>#REF!</v>
      </c>
      <c r="Z17" s="503">
        <f t="shared" si="5"/>
        <v>0</v>
      </c>
      <c r="AA17" s="503" t="e">
        <f t="shared" si="6"/>
        <v>#REF!</v>
      </c>
      <c r="AB17" s="503">
        <f t="shared" si="7"/>
        <v>0</v>
      </c>
    </row>
    <row r="18" spans="1:28" x14ac:dyDescent="0.25">
      <c r="A18" s="500" t="s">
        <v>56</v>
      </c>
      <c r="B18" s="493">
        <f t="shared" si="11"/>
        <v>9.6200000000000001E-3</v>
      </c>
      <c r="C18" s="493" t="e">
        <f>#REF!</f>
        <v>#REF!</v>
      </c>
      <c r="D18" s="493">
        <f>'[100]Nov - Apr Capacity MSC by Class'!G30</f>
        <v>0</v>
      </c>
      <c r="E18" s="502">
        <f>'[100]Adj Sales Forecast'!H26</f>
        <v>602923</v>
      </c>
      <c r="F18" s="493">
        <v>0</v>
      </c>
      <c r="G18" s="8">
        <f t="shared" si="12"/>
        <v>530572</v>
      </c>
      <c r="H18" s="8">
        <f t="shared" si="12"/>
        <v>0</v>
      </c>
      <c r="I18" s="169" t="e">
        <f t="shared" si="8"/>
        <v>#REF!</v>
      </c>
      <c r="J18" s="169">
        <f t="shared" si="9"/>
        <v>0</v>
      </c>
      <c r="K18" s="169" t="e">
        <f t="shared" si="0"/>
        <v>#REF!</v>
      </c>
      <c r="L18" s="169">
        <f t="shared" si="1"/>
        <v>5104</v>
      </c>
      <c r="M18" s="493"/>
      <c r="N18" s="493">
        <f t="shared" si="13"/>
        <v>9.6200000000000001E-3</v>
      </c>
      <c r="O18" s="493" t="e">
        <f>#REF!</f>
        <v>#REF!</v>
      </c>
      <c r="P18" s="493">
        <f>'[100]Nov - Apr Capacity MSC by Class'!H30</f>
        <v>0</v>
      </c>
      <c r="Q18" s="502">
        <f t="shared" si="14"/>
        <v>72351</v>
      </c>
      <c r="R18" s="502">
        <f t="shared" si="14"/>
        <v>0</v>
      </c>
      <c r="S18" s="169" t="e">
        <f t="shared" si="2"/>
        <v>#REF!</v>
      </c>
      <c r="T18" s="169">
        <f t="shared" si="10"/>
        <v>0</v>
      </c>
      <c r="U18" s="169" t="e">
        <f t="shared" si="3"/>
        <v>#REF!</v>
      </c>
      <c r="V18" s="169">
        <f t="shared" si="4"/>
        <v>696</v>
      </c>
      <c r="X18" s="500" t="s">
        <v>56</v>
      </c>
      <c r="Y18" s="503" t="e">
        <f t="shared" si="5"/>
        <v>#REF!</v>
      </c>
      <c r="Z18" s="503">
        <f t="shared" si="5"/>
        <v>0</v>
      </c>
      <c r="AA18" s="503" t="e">
        <f t="shared" si="6"/>
        <v>#REF!</v>
      </c>
      <c r="AB18" s="503">
        <f t="shared" si="7"/>
        <v>5800</v>
      </c>
    </row>
    <row r="19" spans="1:28" x14ac:dyDescent="0.25">
      <c r="A19" s="500" t="s">
        <v>517</v>
      </c>
      <c r="B19" s="493">
        <f t="shared" si="11"/>
        <v>9.6200000000000001E-3</v>
      </c>
      <c r="C19" s="493" t="e">
        <f>#REF!</f>
        <v>#REF!</v>
      </c>
      <c r="D19" s="493">
        <f>'[100]Nov - Apr Capacity MSC by Class'!G32</f>
        <v>3.8999999999999998E-3</v>
      </c>
      <c r="E19" s="502">
        <f>'[100]Adj Sales Forecast'!H31</f>
        <v>62199</v>
      </c>
      <c r="F19" s="493">
        <v>0</v>
      </c>
      <c r="G19" s="8">
        <f t="shared" si="12"/>
        <v>54735</v>
      </c>
      <c r="H19" s="8">
        <f t="shared" si="12"/>
        <v>0</v>
      </c>
      <c r="I19" s="169" t="e">
        <f t="shared" si="8"/>
        <v>#REF!</v>
      </c>
      <c r="J19" s="169">
        <f t="shared" si="9"/>
        <v>213</v>
      </c>
      <c r="K19" s="169" t="e">
        <f t="shared" si="0"/>
        <v>#REF!</v>
      </c>
      <c r="L19" s="169">
        <f t="shared" si="1"/>
        <v>527</v>
      </c>
      <c r="M19" s="493"/>
      <c r="N19" s="493">
        <f t="shared" si="13"/>
        <v>9.6200000000000001E-3</v>
      </c>
      <c r="O19" s="493" t="e">
        <f>#REF!</f>
        <v>#REF!</v>
      </c>
      <c r="P19" s="493">
        <f>'[100]Nov - Apr Capacity MSC by Class'!H32</f>
        <v>8.0000000000000004E-4</v>
      </c>
      <c r="Q19" s="502">
        <f t="shared" si="14"/>
        <v>7464</v>
      </c>
      <c r="R19" s="502">
        <f t="shared" si="14"/>
        <v>0</v>
      </c>
      <c r="S19" s="169" t="e">
        <f t="shared" si="2"/>
        <v>#REF!</v>
      </c>
      <c r="T19" s="169">
        <f t="shared" si="10"/>
        <v>6</v>
      </c>
      <c r="U19" s="169" t="e">
        <f t="shared" si="3"/>
        <v>#REF!</v>
      </c>
      <c r="V19" s="169">
        <f t="shared" si="4"/>
        <v>72</v>
      </c>
      <c r="X19" s="500" t="s">
        <v>517</v>
      </c>
      <c r="Y19" s="503" t="e">
        <f t="shared" si="5"/>
        <v>#REF!</v>
      </c>
      <c r="Z19" s="503">
        <f t="shared" si="5"/>
        <v>219</v>
      </c>
      <c r="AA19" s="503" t="e">
        <f t="shared" si="6"/>
        <v>#REF!</v>
      </c>
      <c r="AB19" s="503">
        <f t="shared" si="7"/>
        <v>599</v>
      </c>
    </row>
    <row r="20" spans="1:28" x14ac:dyDescent="0.25">
      <c r="A20" s="493"/>
      <c r="B20" s="493"/>
      <c r="C20" s="493"/>
      <c r="D20" s="493"/>
      <c r="E20" s="493"/>
      <c r="F20" s="493"/>
      <c r="G20" s="493"/>
      <c r="H20" s="493"/>
      <c r="I20" s="493"/>
      <c r="J20" s="493"/>
      <c r="K20" s="493"/>
      <c r="L20" s="493"/>
      <c r="M20" s="493"/>
      <c r="N20" s="493"/>
      <c r="O20" s="493"/>
      <c r="P20" s="493"/>
      <c r="Q20" s="493"/>
      <c r="R20" s="493"/>
      <c r="S20" s="493"/>
      <c r="T20" s="493"/>
      <c r="U20" s="493"/>
      <c r="V20" s="493"/>
      <c r="X20" s="493"/>
      <c r="Y20" s="503"/>
      <c r="Z20" s="503"/>
      <c r="AA20" s="503"/>
      <c r="AB20" s="503"/>
    </row>
    <row r="21" spans="1:28" x14ac:dyDescent="0.25">
      <c r="A21" s="493" t="s">
        <v>518</v>
      </c>
      <c r="B21" s="493">
        <f>$B$8</f>
        <v>9.6200000000000001E-3</v>
      </c>
      <c r="C21" s="493" t="e">
        <f>#REF!</f>
        <v>#REF!</v>
      </c>
      <c r="D21" s="505">
        <f>'[100]Nov - Apr Capacity MSC by Class'!$G24</f>
        <v>2.93</v>
      </c>
      <c r="E21" s="502">
        <f>'[100]Adj Sales Forecast'!H16</f>
        <v>48760</v>
      </c>
      <c r="F21" s="8">
        <f>'[100]Adj Demand Forecast '!H6</f>
        <v>131</v>
      </c>
      <c r="G21" s="8">
        <f t="shared" ref="G21:H24" si="15">ROUND(E21*0.88,0)</f>
        <v>42909</v>
      </c>
      <c r="H21" s="8">
        <f t="shared" si="15"/>
        <v>115</v>
      </c>
      <c r="I21" s="169" t="e">
        <f t="shared" ref="I21:J24" si="16">ROUND(C21*G21,0)</f>
        <v>#REF!</v>
      </c>
      <c r="J21" s="169">
        <f t="shared" si="16"/>
        <v>337</v>
      </c>
      <c r="K21" s="169" t="e">
        <f>I21+J21</f>
        <v>#REF!</v>
      </c>
      <c r="L21" s="169">
        <f>ROUND(B21*G21,0)</f>
        <v>413</v>
      </c>
      <c r="M21" s="493"/>
      <c r="N21" s="493">
        <f>B21</f>
        <v>9.6200000000000001E-3</v>
      </c>
      <c r="O21" s="493" t="e">
        <f>#REF!</f>
        <v>#REF!</v>
      </c>
      <c r="P21" s="505">
        <f>'[100]Nov - Apr Capacity MSC by Class'!$H24</f>
        <v>0.6</v>
      </c>
      <c r="Q21" s="502">
        <f t="shared" ref="Q21:R24" si="17">E21-G21</f>
        <v>5851</v>
      </c>
      <c r="R21" s="502">
        <f t="shared" si="17"/>
        <v>16</v>
      </c>
      <c r="S21" s="169" t="e">
        <f t="shared" ref="S21:T24" si="18">ROUND(O21*Q21,0)</f>
        <v>#REF!</v>
      </c>
      <c r="T21" s="169">
        <f t="shared" si="18"/>
        <v>10</v>
      </c>
      <c r="U21" s="169" t="e">
        <f>S21+T21</f>
        <v>#REF!</v>
      </c>
      <c r="V21" s="169">
        <f>ROUND(N21*Q21,0)</f>
        <v>56</v>
      </c>
      <c r="X21" s="493" t="s">
        <v>518</v>
      </c>
      <c r="Y21" s="503" t="e">
        <f t="shared" ref="Y21:Z24" si="19">I21+S21</f>
        <v>#REF!</v>
      </c>
      <c r="Z21" s="503">
        <f t="shared" si="19"/>
        <v>347</v>
      </c>
      <c r="AA21" s="503" t="e">
        <f>Y21+Z21</f>
        <v>#REF!</v>
      </c>
      <c r="AB21" s="503">
        <f>L21+V21</f>
        <v>469</v>
      </c>
    </row>
    <row r="22" spans="1:28" x14ac:dyDescent="0.25">
      <c r="A22" s="493" t="s">
        <v>303</v>
      </c>
      <c r="B22" s="493">
        <f>$B$8</f>
        <v>9.6200000000000001E-3</v>
      </c>
      <c r="C22" s="493" t="e">
        <f>#REF!</f>
        <v>#REF!</v>
      </c>
      <c r="D22" s="505">
        <f>'[100]Nov - Apr Capacity MSC by Class'!$G27</f>
        <v>5.14</v>
      </c>
      <c r="E22" s="502">
        <f>'[100]Adj Sales Forecast'!H22</f>
        <v>103000000</v>
      </c>
      <c r="F22" s="8">
        <f>'[100]Adj Demand Forecast '!H8</f>
        <v>241040</v>
      </c>
      <c r="G22" s="8">
        <f t="shared" si="15"/>
        <v>90640000</v>
      </c>
      <c r="H22" s="8">
        <f t="shared" si="15"/>
        <v>212115</v>
      </c>
      <c r="I22" s="169" t="e">
        <f t="shared" si="16"/>
        <v>#REF!</v>
      </c>
      <c r="J22" s="169">
        <f t="shared" si="16"/>
        <v>1090271</v>
      </c>
      <c r="K22" s="169" t="e">
        <f>I22+J22</f>
        <v>#REF!</v>
      </c>
      <c r="L22" s="169">
        <f>ROUND(B22*G22,0)</f>
        <v>871957</v>
      </c>
      <c r="M22" s="493"/>
      <c r="N22" s="493">
        <f>B22</f>
        <v>9.6200000000000001E-3</v>
      </c>
      <c r="O22" s="493" t="e">
        <f>#REF!</f>
        <v>#REF!</v>
      </c>
      <c r="P22" s="505">
        <f>'[100]Nov - Apr Capacity MSC by Class'!$H27</f>
        <v>1.05</v>
      </c>
      <c r="Q22" s="502">
        <f t="shared" si="17"/>
        <v>12360000</v>
      </c>
      <c r="R22" s="502">
        <f t="shared" si="17"/>
        <v>28925</v>
      </c>
      <c r="S22" s="169" t="e">
        <f t="shared" si="18"/>
        <v>#REF!</v>
      </c>
      <c r="T22" s="169">
        <f t="shared" si="18"/>
        <v>30371</v>
      </c>
      <c r="U22" s="169" t="e">
        <f>S22+T22</f>
        <v>#REF!</v>
      </c>
      <c r="V22" s="169">
        <f>ROUND(N22*Q22,0)</f>
        <v>118903</v>
      </c>
      <c r="X22" s="493" t="s">
        <v>303</v>
      </c>
      <c r="Y22" s="503" t="e">
        <f t="shared" si="19"/>
        <v>#REF!</v>
      </c>
      <c r="Z22" s="503">
        <f t="shared" si="19"/>
        <v>1120642</v>
      </c>
      <c r="AA22" s="503" t="e">
        <f>Y22+Z22</f>
        <v>#REF!</v>
      </c>
      <c r="AB22" s="503">
        <f>L22+V22</f>
        <v>990860</v>
      </c>
    </row>
    <row r="23" spans="1:28" x14ac:dyDescent="0.25">
      <c r="A23" s="493" t="s">
        <v>305</v>
      </c>
      <c r="B23" s="493">
        <f>$B$8</f>
        <v>9.6200000000000001E-3</v>
      </c>
      <c r="C23" s="493" t="e">
        <f>#REF!</f>
        <v>#REF!</v>
      </c>
      <c r="D23" s="505">
        <f>'[100]Nov - Apr Capacity MSC by Class'!$G29</f>
        <v>3.45</v>
      </c>
      <c r="E23" s="502">
        <f>'[100]Adj Sales Forecast'!H27</f>
        <v>1360397077</v>
      </c>
      <c r="F23" s="8">
        <f>'[100]Adj Demand Forecast '!H14</f>
        <v>4154416.2</v>
      </c>
      <c r="G23" s="8">
        <f t="shared" si="15"/>
        <v>1197149428</v>
      </c>
      <c r="H23" s="8">
        <f t="shared" si="15"/>
        <v>3655886</v>
      </c>
      <c r="I23" s="169" t="e">
        <f t="shared" si="16"/>
        <v>#REF!</v>
      </c>
      <c r="J23" s="169">
        <f t="shared" si="16"/>
        <v>12612807</v>
      </c>
      <c r="K23" s="169" t="e">
        <f>I23+J23</f>
        <v>#REF!</v>
      </c>
      <c r="L23" s="169">
        <f>ROUND(B23*G23,0)</f>
        <v>11516577</v>
      </c>
      <c r="M23" s="493"/>
      <c r="N23" s="493">
        <f>B23</f>
        <v>9.6200000000000001E-3</v>
      </c>
      <c r="O23" s="493" t="e">
        <f>#REF!</f>
        <v>#REF!</v>
      </c>
      <c r="P23" s="505">
        <f>'[100]Nov - Apr Capacity MSC by Class'!$H29</f>
        <v>0.7</v>
      </c>
      <c r="Q23" s="502">
        <f t="shared" si="17"/>
        <v>163247649</v>
      </c>
      <c r="R23" s="502">
        <f t="shared" si="17"/>
        <v>498530.20000000019</v>
      </c>
      <c r="S23" s="169" t="e">
        <f t="shared" si="18"/>
        <v>#REF!</v>
      </c>
      <c r="T23" s="169">
        <f t="shared" si="18"/>
        <v>348971</v>
      </c>
      <c r="U23" s="169" t="e">
        <f>S23+T23</f>
        <v>#REF!</v>
      </c>
      <c r="V23" s="169">
        <f>ROUND(N23*Q23,0)</f>
        <v>1570442</v>
      </c>
      <c r="X23" s="493" t="s">
        <v>305</v>
      </c>
      <c r="Y23" s="503" t="e">
        <f t="shared" si="19"/>
        <v>#REF!</v>
      </c>
      <c r="Z23" s="503">
        <f t="shared" si="19"/>
        <v>12961778</v>
      </c>
      <c r="AA23" s="503" t="e">
        <f>Y23+Z23</f>
        <v>#REF!</v>
      </c>
      <c r="AB23" s="503">
        <f>L23+V23</f>
        <v>13087019</v>
      </c>
    </row>
    <row r="24" spans="1:28" x14ac:dyDescent="0.25">
      <c r="A24" s="493" t="s">
        <v>310</v>
      </c>
      <c r="B24" s="493">
        <f>$B$8</f>
        <v>9.6200000000000001E-3</v>
      </c>
      <c r="C24" s="493" t="e">
        <f>#REF!</f>
        <v>#REF!</v>
      </c>
      <c r="D24" s="505">
        <f>'[100]Nov - Apr Capacity MSC by Class'!$G33</f>
        <v>1.75</v>
      </c>
      <c r="E24" s="502">
        <f>'[100]Adj Sales Forecast'!H32</f>
        <v>8937801</v>
      </c>
      <c r="F24" s="8">
        <f>'[100]Adj Demand Forecast '!H20</f>
        <v>22000</v>
      </c>
      <c r="G24" s="8">
        <f t="shared" si="15"/>
        <v>7865265</v>
      </c>
      <c r="H24" s="8">
        <f t="shared" si="15"/>
        <v>19360</v>
      </c>
      <c r="I24" s="169" t="e">
        <f t="shared" si="16"/>
        <v>#REF!</v>
      </c>
      <c r="J24" s="169">
        <f t="shared" si="16"/>
        <v>33880</v>
      </c>
      <c r="K24" s="169" t="e">
        <f>I24+J24</f>
        <v>#REF!</v>
      </c>
      <c r="L24" s="169">
        <f>ROUND(B24*G24,0)</f>
        <v>75664</v>
      </c>
      <c r="M24" s="493"/>
      <c r="N24" s="493">
        <f>B24</f>
        <v>9.6200000000000001E-3</v>
      </c>
      <c r="O24" s="493" t="e">
        <f>#REF!</f>
        <v>#REF!</v>
      </c>
      <c r="P24" s="505">
        <f>'[100]Nov - Apr Capacity MSC by Class'!$H33</f>
        <v>0.36</v>
      </c>
      <c r="Q24" s="502">
        <f t="shared" si="17"/>
        <v>1072536</v>
      </c>
      <c r="R24" s="502">
        <f t="shared" si="17"/>
        <v>2640</v>
      </c>
      <c r="S24" s="169" t="e">
        <f t="shared" si="18"/>
        <v>#REF!</v>
      </c>
      <c r="T24" s="169">
        <f t="shared" si="18"/>
        <v>950</v>
      </c>
      <c r="U24" s="169" t="e">
        <f>S24+T24</f>
        <v>#REF!</v>
      </c>
      <c r="V24" s="169">
        <f>ROUND(N24*Q24,0)</f>
        <v>10318</v>
      </c>
      <c r="X24" s="493" t="s">
        <v>310</v>
      </c>
      <c r="Y24" s="503" t="e">
        <f t="shared" si="19"/>
        <v>#REF!</v>
      </c>
      <c r="Z24" s="503">
        <f t="shared" si="19"/>
        <v>34830</v>
      </c>
      <c r="AA24" s="503" t="e">
        <f>Y24+Z24</f>
        <v>#REF!</v>
      </c>
      <c r="AB24" s="503">
        <f>L24+V24</f>
        <v>85982</v>
      </c>
    </row>
    <row r="25" spans="1:28" x14ac:dyDescent="0.25">
      <c r="A25" s="493"/>
      <c r="B25" s="493"/>
      <c r="C25" s="493"/>
      <c r="D25" s="493"/>
      <c r="E25" s="493"/>
      <c r="F25" s="8"/>
      <c r="G25" s="8"/>
      <c r="H25" s="8"/>
      <c r="I25" s="493"/>
      <c r="J25" s="493"/>
      <c r="K25" s="493"/>
      <c r="L25" s="493"/>
      <c r="M25" s="493"/>
      <c r="N25" s="493"/>
      <c r="O25" s="493"/>
      <c r="P25" s="493"/>
      <c r="Q25" s="493"/>
      <c r="R25" s="8"/>
      <c r="S25" s="169"/>
      <c r="T25" s="169"/>
      <c r="U25" s="169"/>
      <c r="V25" s="169"/>
      <c r="X25" s="493"/>
      <c r="Y25" s="503"/>
      <c r="Z25" s="503"/>
      <c r="AA25" s="503"/>
      <c r="AB25" s="503"/>
    </row>
    <row r="26" spans="1:28" x14ac:dyDescent="0.25">
      <c r="A26" s="493" t="s">
        <v>519</v>
      </c>
      <c r="B26" s="493">
        <f t="shared" ref="B26:B31" si="20">$B$8</f>
        <v>9.6200000000000001E-3</v>
      </c>
      <c r="C26" s="504" t="e">
        <f>#REF!</f>
        <v>#REF!</v>
      </c>
      <c r="D26" s="505">
        <f>'[100]Nov - Apr Capacity MSC by Class'!$G45</f>
        <v>5.22</v>
      </c>
      <c r="E26" s="8">
        <f>'[100]Forecasted TOD kWh by Period'!H54</f>
        <v>4862000</v>
      </c>
      <c r="F26" s="8">
        <f>'[100]Forecasted TOD kW by Period'!M26</f>
        <v>21675</v>
      </c>
      <c r="G26" s="8">
        <f t="shared" ref="G26:G31" si="21">ROUND(E26*0.88,0)</f>
        <v>4278560</v>
      </c>
      <c r="H26" s="8">
        <f>ROUND(F26*0.88,0)</f>
        <v>19074</v>
      </c>
      <c r="I26" s="169" t="e">
        <f t="shared" ref="I26:J31" si="22">ROUND(C26*G26,0)</f>
        <v>#REF!</v>
      </c>
      <c r="J26" s="169">
        <f t="shared" si="22"/>
        <v>99566</v>
      </c>
      <c r="K26" s="169" t="e">
        <f>I26+J26</f>
        <v>#REF!</v>
      </c>
      <c r="L26" s="169">
        <f>ROUND(B26*G26,0)</f>
        <v>41160</v>
      </c>
      <c r="M26" s="493"/>
      <c r="N26" s="493">
        <f t="shared" ref="N26:N31" si="23">B26</f>
        <v>9.6200000000000001E-3</v>
      </c>
      <c r="O26" s="504" t="e">
        <f>#REF!</f>
        <v>#REF!</v>
      </c>
      <c r="P26" s="505">
        <f>'[100]Nov - Apr Capacity MSC by Class'!$H45</f>
        <v>1.07</v>
      </c>
      <c r="Q26" s="502">
        <f>E26-G26</f>
        <v>583440</v>
      </c>
      <c r="R26" s="502">
        <f>F26-H26</f>
        <v>2601</v>
      </c>
      <c r="S26" s="169" t="e">
        <f t="shared" ref="S26:T31" si="24">ROUND(O26*Q26,0)</f>
        <v>#REF!</v>
      </c>
      <c r="T26" s="169">
        <f t="shared" si="24"/>
        <v>2783</v>
      </c>
      <c r="U26" s="169" t="e">
        <f t="shared" ref="U26:U31" si="25">S26+T26</f>
        <v>#REF!</v>
      </c>
      <c r="V26" s="169">
        <f t="shared" ref="V26:V31" si="26">ROUND(N26*Q26,0)</f>
        <v>5613</v>
      </c>
      <c r="X26" s="493" t="s">
        <v>519</v>
      </c>
      <c r="Y26" s="503" t="e">
        <f t="shared" ref="Y26:Z31" si="27">I26+S26</f>
        <v>#REF!</v>
      </c>
      <c r="Z26" s="503">
        <f t="shared" si="27"/>
        <v>102349</v>
      </c>
      <c r="AA26" s="503" t="e">
        <f t="shared" ref="AA26:AA31" si="28">Y26+Z26</f>
        <v>#REF!</v>
      </c>
      <c r="AB26" s="503">
        <f t="shared" ref="AB26:AB31" si="29">L26+V26</f>
        <v>46773</v>
      </c>
    </row>
    <row r="27" spans="1:28" x14ac:dyDescent="0.25">
      <c r="A27" s="493" t="s">
        <v>520</v>
      </c>
      <c r="B27" s="493">
        <f t="shared" si="20"/>
        <v>9.6200000000000001E-3</v>
      </c>
      <c r="C27" s="504" t="e">
        <f>#REF!</f>
        <v>#REF!</v>
      </c>
      <c r="D27" s="493"/>
      <c r="E27" s="8">
        <f>'[100]Forecasted TOD kWh by Period'!H55</f>
        <v>6138000</v>
      </c>
      <c r="F27" s="8"/>
      <c r="G27" s="8">
        <f t="shared" si="21"/>
        <v>5401440</v>
      </c>
      <c r="H27" s="8"/>
      <c r="I27" s="169" t="e">
        <f t="shared" si="22"/>
        <v>#REF!</v>
      </c>
      <c r="J27" s="169">
        <f t="shared" si="22"/>
        <v>0</v>
      </c>
      <c r="K27" s="169" t="e">
        <f>I27+J27</f>
        <v>#REF!</v>
      </c>
      <c r="L27" s="169">
        <f>ROUND(B27*G27,0)</f>
        <v>51962</v>
      </c>
      <c r="M27" s="493"/>
      <c r="N27" s="493">
        <f t="shared" si="23"/>
        <v>9.6200000000000001E-3</v>
      </c>
      <c r="O27" s="504" t="e">
        <f>#REF!</f>
        <v>#REF!</v>
      </c>
      <c r="P27" s="493"/>
      <c r="Q27" s="502">
        <f>E27-G27</f>
        <v>736560</v>
      </c>
      <c r="R27" s="502"/>
      <c r="S27" s="169" t="e">
        <f t="shared" si="24"/>
        <v>#REF!</v>
      </c>
      <c r="T27" s="169">
        <f t="shared" si="24"/>
        <v>0</v>
      </c>
      <c r="U27" s="169" t="e">
        <f t="shared" si="25"/>
        <v>#REF!</v>
      </c>
      <c r="V27" s="169">
        <f t="shared" si="26"/>
        <v>7086</v>
      </c>
      <c r="X27" s="493" t="s">
        <v>520</v>
      </c>
      <c r="Y27" s="503" t="e">
        <f t="shared" si="27"/>
        <v>#REF!</v>
      </c>
      <c r="Z27" s="503">
        <f t="shared" si="27"/>
        <v>0</v>
      </c>
      <c r="AA27" s="503" t="e">
        <f t="shared" si="28"/>
        <v>#REF!</v>
      </c>
      <c r="AB27" s="503">
        <f t="shared" si="29"/>
        <v>59048</v>
      </c>
    </row>
    <row r="28" spans="1:28" x14ac:dyDescent="0.25">
      <c r="A28" s="493" t="s">
        <v>521</v>
      </c>
      <c r="B28" s="493">
        <f t="shared" si="20"/>
        <v>9.6200000000000001E-3</v>
      </c>
      <c r="C28" s="504" t="e">
        <f>#REF!</f>
        <v>#REF!</v>
      </c>
      <c r="D28" s="505">
        <f>'[100]Nov - Apr Capacity MSC by Class'!$G46</f>
        <v>3.49</v>
      </c>
      <c r="E28" s="502">
        <f>'[100]Forecasted TOD kWh by Period'!H58</f>
        <v>52734200</v>
      </c>
      <c r="F28" s="8">
        <f>'[100]Forecasted TOD kW by Period'!M30</f>
        <v>210926</v>
      </c>
      <c r="G28" s="8">
        <f t="shared" si="21"/>
        <v>46406096</v>
      </c>
      <c r="H28" s="8">
        <f>ROUND(F28*0.88,0)</f>
        <v>185615</v>
      </c>
      <c r="I28" s="169" t="e">
        <f t="shared" si="22"/>
        <v>#REF!</v>
      </c>
      <c r="J28" s="169">
        <f t="shared" si="22"/>
        <v>647796</v>
      </c>
      <c r="K28" s="169" t="e">
        <f>I28+J28</f>
        <v>#REF!</v>
      </c>
      <c r="L28" s="169">
        <f>ROUND(B28*G28,0)</f>
        <v>446427</v>
      </c>
      <c r="M28" s="493"/>
      <c r="N28" s="493">
        <f t="shared" si="23"/>
        <v>9.6200000000000001E-3</v>
      </c>
      <c r="O28" s="504" t="e">
        <f>#REF!</f>
        <v>#REF!</v>
      </c>
      <c r="P28" s="505">
        <f>'[100]Nov - Apr Capacity MSC by Class'!$H46</f>
        <v>0.71</v>
      </c>
      <c r="Q28" s="502">
        <f>E28-G28</f>
        <v>6328104</v>
      </c>
      <c r="R28" s="502">
        <f>F28-H28</f>
        <v>25311</v>
      </c>
      <c r="S28" s="169" t="e">
        <f t="shared" si="24"/>
        <v>#REF!</v>
      </c>
      <c r="T28" s="169">
        <f t="shared" si="24"/>
        <v>17971</v>
      </c>
      <c r="U28" s="169" t="e">
        <f t="shared" si="25"/>
        <v>#REF!</v>
      </c>
      <c r="V28" s="169">
        <f t="shared" si="26"/>
        <v>60876</v>
      </c>
      <c r="X28" s="493" t="s">
        <v>521</v>
      </c>
      <c r="Y28" s="503" t="e">
        <f t="shared" si="27"/>
        <v>#REF!</v>
      </c>
      <c r="Z28" s="503">
        <f t="shared" si="27"/>
        <v>665767</v>
      </c>
      <c r="AA28" s="503" t="e">
        <f t="shared" si="28"/>
        <v>#REF!</v>
      </c>
      <c r="AB28" s="503">
        <f t="shared" si="29"/>
        <v>507303</v>
      </c>
    </row>
    <row r="29" spans="1:28" x14ac:dyDescent="0.25">
      <c r="A29" s="493" t="s">
        <v>522</v>
      </c>
      <c r="B29" s="493">
        <f t="shared" si="20"/>
        <v>9.6200000000000001E-3</v>
      </c>
      <c r="C29" s="504" t="e">
        <f>#REF!</f>
        <v>#REF!</v>
      </c>
      <c r="D29" s="493"/>
      <c r="E29" s="502">
        <f>'[100]Forecasted TOD kWh by Period'!H59</f>
        <v>65265800</v>
      </c>
      <c r="F29" s="8"/>
      <c r="G29" s="8">
        <f t="shared" si="21"/>
        <v>57433904</v>
      </c>
      <c r="H29" s="8"/>
      <c r="I29" s="169" t="e">
        <f t="shared" si="22"/>
        <v>#REF!</v>
      </c>
      <c r="J29" s="169">
        <f t="shared" si="22"/>
        <v>0</v>
      </c>
      <c r="K29" s="169" t="e">
        <f>I29+J29</f>
        <v>#REF!</v>
      </c>
      <c r="L29" s="169">
        <f>ROUND(B29*G29,0)</f>
        <v>552514</v>
      </c>
      <c r="M29" s="493"/>
      <c r="N29" s="493">
        <f t="shared" si="23"/>
        <v>9.6200000000000001E-3</v>
      </c>
      <c r="O29" s="504" t="e">
        <f>#REF!</f>
        <v>#REF!</v>
      </c>
      <c r="P29" s="493"/>
      <c r="Q29" s="502">
        <f>E29-G29</f>
        <v>7831896</v>
      </c>
      <c r="R29" s="502"/>
      <c r="S29" s="169" t="e">
        <f t="shared" si="24"/>
        <v>#REF!</v>
      </c>
      <c r="T29" s="169">
        <f t="shared" si="24"/>
        <v>0</v>
      </c>
      <c r="U29" s="169" t="e">
        <f t="shared" si="25"/>
        <v>#REF!</v>
      </c>
      <c r="V29" s="169">
        <f t="shared" si="26"/>
        <v>75343</v>
      </c>
      <c r="X29" s="493" t="s">
        <v>522</v>
      </c>
      <c r="Y29" s="503" t="e">
        <f t="shared" si="27"/>
        <v>#REF!</v>
      </c>
      <c r="Z29" s="503">
        <f t="shared" si="27"/>
        <v>0</v>
      </c>
      <c r="AA29" s="503" t="e">
        <f t="shared" si="28"/>
        <v>#REF!</v>
      </c>
      <c r="AB29" s="503">
        <f t="shared" si="29"/>
        <v>627857</v>
      </c>
    </row>
    <row r="30" spans="1:28" x14ac:dyDescent="0.25">
      <c r="A30" s="493" t="s">
        <v>523</v>
      </c>
      <c r="B30" s="493">
        <f t="shared" si="20"/>
        <v>9.6200000000000001E-3</v>
      </c>
      <c r="C30" s="504" t="e">
        <f>#REF!</f>
        <v>#REF!</v>
      </c>
      <c r="D30" s="505">
        <f>'[100]Nov - Apr Capacity MSC by Class'!$G47</f>
        <v>1.77</v>
      </c>
      <c r="E30" s="8">
        <f>'[100]Adj Sales Forecast'!H33</f>
        <v>0</v>
      </c>
      <c r="F30" s="8">
        <f>'[100]Adj Demand Forecast '!B21</f>
        <v>0</v>
      </c>
      <c r="G30" s="8">
        <f t="shared" si="21"/>
        <v>0</v>
      </c>
      <c r="H30" s="8">
        <f>ROUND(F30*0.88,0)</f>
        <v>0</v>
      </c>
      <c r="I30" s="169" t="e">
        <f t="shared" si="22"/>
        <v>#REF!</v>
      </c>
      <c r="J30" s="169">
        <f t="shared" si="22"/>
        <v>0</v>
      </c>
      <c r="K30" s="169" t="e">
        <f>I30+J30</f>
        <v>#REF!</v>
      </c>
      <c r="L30" s="169">
        <f>ROUND(B30*G30,0)</f>
        <v>0</v>
      </c>
      <c r="M30" s="493"/>
      <c r="N30" s="493">
        <f t="shared" si="23"/>
        <v>9.6200000000000001E-3</v>
      </c>
      <c r="O30" s="504" t="e">
        <f>#REF!</f>
        <v>#REF!</v>
      </c>
      <c r="P30" s="505">
        <f>'[100]Nov - Apr Capacity MSC by Class'!$H47</f>
        <v>0.36</v>
      </c>
      <c r="Q30" s="65">
        <f>E30-G30</f>
        <v>0</v>
      </c>
      <c r="R30" s="65">
        <f>F30-H30</f>
        <v>0</v>
      </c>
      <c r="S30" s="169" t="e">
        <f t="shared" si="24"/>
        <v>#REF!</v>
      </c>
      <c r="T30" s="169">
        <f t="shared" si="24"/>
        <v>0</v>
      </c>
      <c r="U30" s="169" t="e">
        <f t="shared" si="25"/>
        <v>#REF!</v>
      </c>
      <c r="V30" s="169">
        <f t="shared" si="26"/>
        <v>0</v>
      </c>
      <c r="X30" s="493" t="s">
        <v>523</v>
      </c>
      <c r="Y30" s="503" t="e">
        <f t="shared" si="27"/>
        <v>#REF!</v>
      </c>
      <c r="Z30" s="503">
        <f t="shared" si="27"/>
        <v>0</v>
      </c>
      <c r="AA30" s="503" t="e">
        <f t="shared" si="28"/>
        <v>#REF!</v>
      </c>
      <c r="AB30" s="503">
        <f t="shared" si="29"/>
        <v>0</v>
      </c>
    </row>
    <row r="31" spans="1:28" x14ac:dyDescent="0.25">
      <c r="A31" s="493" t="s">
        <v>524</v>
      </c>
      <c r="B31" s="493">
        <f t="shared" si="20"/>
        <v>9.6200000000000001E-3</v>
      </c>
      <c r="C31" s="504" t="e">
        <f>#REF!</f>
        <v>#REF!</v>
      </c>
      <c r="D31" s="493"/>
      <c r="E31" s="65">
        <v>0</v>
      </c>
      <c r="F31" s="8"/>
      <c r="G31" s="8">
        <f t="shared" si="21"/>
        <v>0</v>
      </c>
      <c r="H31" s="8"/>
      <c r="I31" s="169" t="e">
        <f t="shared" si="22"/>
        <v>#REF!</v>
      </c>
      <c r="J31" s="169">
        <f t="shared" si="22"/>
        <v>0</v>
      </c>
      <c r="K31" s="169" t="e">
        <f>ROUND(D31*I31,0)</f>
        <v>#REF!</v>
      </c>
      <c r="L31" s="169">
        <f>ROUND(E31*J31,0)</f>
        <v>0</v>
      </c>
      <c r="M31" s="493"/>
      <c r="N31" s="493">
        <f t="shared" si="23"/>
        <v>9.6200000000000001E-3</v>
      </c>
      <c r="O31" s="504" t="e">
        <f>#REF!</f>
        <v>#REF!</v>
      </c>
      <c r="P31" s="493"/>
      <c r="Q31" s="65">
        <v>0</v>
      </c>
      <c r="R31" s="65">
        <v>0</v>
      </c>
      <c r="S31" s="169" t="e">
        <f t="shared" si="24"/>
        <v>#REF!</v>
      </c>
      <c r="T31" s="169">
        <f t="shared" si="24"/>
        <v>0</v>
      </c>
      <c r="U31" s="169" t="e">
        <f t="shared" si="25"/>
        <v>#REF!</v>
      </c>
      <c r="V31" s="169">
        <f t="shared" si="26"/>
        <v>0</v>
      </c>
      <c r="X31" s="493" t="s">
        <v>524</v>
      </c>
      <c r="Y31" s="503" t="e">
        <f t="shared" si="27"/>
        <v>#REF!</v>
      </c>
      <c r="Z31" s="503">
        <f t="shared" si="27"/>
        <v>0</v>
      </c>
      <c r="AA31" s="503" t="e">
        <f t="shared" si="28"/>
        <v>#REF!</v>
      </c>
      <c r="AB31" s="503">
        <f t="shared" si="29"/>
        <v>0</v>
      </c>
    </row>
    <row r="32" spans="1:28" x14ac:dyDescent="0.25">
      <c r="A32" s="493"/>
      <c r="B32" s="504"/>
      <c r="C32" s="504"/>
      <c r="D32" s="493"/>
      <c r="E32" s="493"/>
      <c r="F32" s="8"/>
      <c r="G32" s="8"/>
      <c r="H32" s="8"/>
      <c r="I32" s="493"/>
      <c r="J32" s="493"/>
      <c r="K32" s="493"/>
      <c r="L32" s="493"/>
      <c r="M32" s="493"/>
      <c r="N32" s="493"/>
      <c r="O32" s="504"/>
      <c r="P32" s="493"/>
      <c r="Q32" s="493"/>
      <c r="R32" s="8"/>
      <c r="S32" s="493"/>
      <c r="T32" s="493"/>
      <c r="U32" s="493"/>
      <c r="V32" s="493"/>
      <c r="X32" s="493"/>
      <c r="Y32" s="503"/>
      <c r="Z32" s="503"/>
      <c r="AA32" s="503"/>
      <c r="AB32" s="503"/>
    </row>
    <row r="33" spans="1:28" x14ac:dyDescent="0.25">
      <c r="A33" s="493" t="s">
        <v>525</v>
      </c>
      <c r="B33" s="493">
        <f t="shared" ref="B33:B42" si="30">$B$8</f>
        <v>9.6200000000000001E-3</v>
      </c>
      <c r="C33" s="504" t="e">
        <f>#REF!</f>
        <v>#REF!</v>
      </c>
      <c r="D33" s="505">
        <f>'[100]Nov - Apr Capacity MSC by Class'!$G24</f>
        <v>2.93</v>
      </c>
      <c r="E33" s="502">
        <f>'[100]Forecasted TOD kWh by Period'!H8</f>
        <v>3939300</v>
      </c>
      <c r="F33" s="8">
        <f>'[100]Forecasted TOD kW by Period'!M6</f>
        <v>16990</v>
      </c>
      <c r="G33" s="8">
        <f t="shared" ref="G33:G42" si="31">ROUND(E33*0.88,0)</f>
        <v>3466584</v>
      </c>
      <c r="H33" s="8">
        <f>ROUND(F33*0.88,0)</f>
        <v>14951</v>
      </c>
      <c r="I33" s="169" t="e">
        <f t="shared" ref="I33:J42" si="32">ROUND(C33*G33,0)</f>
        <v>#REF!</v>
      </c>
      <c r="J33" s="169">
        <f t="shared" si="32"/>
        <v>43806</v>
      </c>
      <c r="K33" s="169" t="e">
        <f t="shared" ref="K33:K42" si="33">I33+J33</f>
        <v>#REF!</v>
      </c>
      <c r="L33" s="169">
        <f t="shared" ref="L33:L42" si="34">ROUND(B33*G33,0)</f>
        <v>33349</v>
      </c>
      <c r="M33" s="493"/>
      <c r="N33" s="493">
        <f t="shared" ref="N33:N42" si="35">B33</f>
        <v>9.6200000000000001E-3</v>
      </c>
      <c r="O33" s="504" t="e">
        <f>#REF!</f>
        <v>#REF!</v>
      </c>
      <c r="P33" s="505">
        <f>'[100]Nov - Apr Capacity MSC by Class'!$H24</f>
        <v>0.6</v>
      </c>
      <c r="Q33" s="502">
        <f t="shared" ref="Q33:Q42" si="36">E33-G33</f>
        <v>472716</v>
      </c>
      <c r="R33" s="502">
        <f>F33-H33</f>
        <v>2039</v>
      </c>
      <c r="S33" s="169" t="e">
        <f t="shared" ref="S33:T42" si="37">ROUND(O33*Q33,0)</f>
        <v>#REF!</v>
      </c>
      <c r="T33" s="169">
        <f t="shared" si="37"/>
        <v>1223</v>
      </c>
      <c r="U33" s="169" t="e">
        <f t="shared" ref="U33:U42" si="38">S33+T33</f>
        <v>#REF!</v>
      </c>
      <c r="V33" s="169">
        <f t="shared" ref="V33:V42" si="39">ROUND(N33*Q33,0)</f>
        <v>4548</v>
      </c>
      <c r="X33" s="493" t="s">
        <v>525</v>
      </c>
      <c r="Y33" s="503" t="e">
        <f t="shared" ref="Y33:Z42" si="40">I33+S33</f>
        <v>#REF!</v>
      </c>
      <c r="Z33" s="503">
        <f t="shared" si="40"/>
        <v>45029</v>
      </c>
      <c r="AA33" s="503" t="e">
        <f t="shared" ref="AA33:AA42" si="41">Y33+Z33</f>
        <v>#REF!</v>
      </c>
      <c r="AB33" s="503">
        <f t="shared" ref="AB33:AB42" si="42">L33+V33</f>
        <v>37897</v>
      </c>
    </row>
    <row r="34" spans="1:28" x14ac:dyDescent="0.25">
      <c r="A34" s="493" t="s">
        <v>526</v>
      </c>
      <c r="B34" s="493">
        <f t="shared" si="30"/>
        <v>9.6200000000000001E-3</v>
      </c>
      <c r="C34" s="504" t="e">
        <f>#REF!</f>
        <v>#REF!</v>
      </c>
      <c r="D34" s="493"/>
      <c r="E34" s="502">
        <f>'[100]Forecasted TOD kWh by Period'!H9</f>
        <v>5060700</v>
      </c>
      <c r="F34" s="8"/>
      <c r="G34" s="8">
        <f t="shared" si="31"/>
        <v>4453416</v>
      </c>
      <c r="H34" s="8"/>
      <c r="I34" s="169" t="e">
        <f t="shared" si="32"/>
        <v>#REF!</v>
      </c>
      <c r="J34" s="169">
        <f t="shared" si="32"/>
        <v>0</v>
      </c>
      <c r="K34" s="169" t="e">
        <f t="shared" si="33"/>
        <v>#REF!</v>
      </c>
      <c r="L34" s="169">
        <f t="shared" si="34"/>
        <v>42842</v>
      </c>
      <c r="M34" s="493"/>
      <c r="N34" s="493">
        <f t="shared" si="35"/>
        <v>9.6200000000000001E-3</v>
      </c>
      <c r="O34" s="504" t="e">
        <f>#REF!</f>
        <v>#REF!</v>
      </c>
      <c r="P34" s="493"/>
      <c r="Q34" s="502">
        <f t="shared" si="36"/>
        <v>607284</v>
      </c>
      <c r="R34" s="502"/>
      <c r="S34" s="169" t="e">
        <f t="shared" si="37"/>
        <v>#REF!</v>
      </c>
      <c r="T34" s="169">
        <f t="shared" si="37"/>
        <v>0</v>
      </c>
      <c r="U34" s="169" t="e">
        <f t="shared" si="38"/>
        <v>#REF!</v>
      </c>
      <c r="V34" s="169">
        <f t="shared" si="39"/>
        <v>5842</v>
      </c>
      <c r="X34" s="493" t="s">
        <v>526</v>
      </c>
      <c r="Y34" s="503" t="e">
        <f t="shared" si="40"/>
        <v>#REF!</v>
      </c>
      <c r="Z34" s="503">
        <f t="shared" si="40"/>
        <v>0</v>
      </c>
      <c r="AA34" s="503" t="e">
        <f t="shared" si="41"/>
        <v>#REF!</v>
      </c>
      <c r="AB34" s="503">
        <f t="shared" si="42"/>
        <v>48684</v>
      </c>
    </row>
    <row r="35" spans="1:28" x14ac:dyDescent="0.25">
      <c r="A35" s="493" t="s">
        <v>527</v>
      </c>
      <c r="B35" s="493">
        <f t="shared" si="30"/>
        <v>9.6200000000000001E-3</v>
      </c>
      <c r="C35" s="504" t="e">
        <f>#REF!</f>
        <v>#REF!</v>
      </c>
      <c r="D35" s="505">
        <f>'[100]Nov - Apr Capacity MSC by Class'!$G28</f>
        <v>5.99</v>
      </c>
      <c r="E35" s="502">
        <f>'[100]Forecasted TOD kWh by Period'!H12</f>
        <v>4084200</v>
      </c>
      <c r="F35" s="8">
        <f>'[100]Forecasted TOD kW by Period'!M10</f>
        <v>19944</v>
      </c>
      <c r="G35" s="8">
        <f t="shared" si="31"/>
        <v>3594096</v>
      </c>
      <c r="H35" s="8">
        <f>ROUND(F35*0.88,0)</f>
        <v>17551</v>
      </c>
      <c r="I35" s="169" t="e">
        <f t="shared" si="32"/>
        <v>#REF!</v>
      </c>
      <c r="J35" s="169">
        <f t="shared" si="32"/>
        <v>105130</v>
      </c>
      <c r="K35" s="169" t="e">
        <f t="shared" si="33"/>
        <v>#REF!</v>
      </c>
      <c r="L35" s="169">
        <f t="shared" si="34"/>
        <v>34575</v>
      </c>
      <c r="M35" s="493"/>
      <c r="N35" s="493">
        <f t="shared" si="35"/>
        <v>9.6200000000000001E-3</v>
      </c>
      <c r="O35" s="504" t="e">
        <f>#REF!</f>
        <v>#REF!</v>
      </c>
      <c r="P35" s="505">
        <f>'[100]Nov - Apr Capacity MSC by Class'!$H28</f>
        <v>1.22</v>
      </c>
      <c r="Q35" s="502">
        <f t="shared" si="36"/>
        <v>490104</v>
      </c>
      <c r="R35" s="502">
        <f>F35-H35</f>
        <v>2393</v>
      </c>
      <c r="S35" s="169" t="e">
        <f t="shared" si="37"/>
        <v>#REF!</v>
      </c>
      <c r="T35" s="169">
        <f t="shared" si="37"/>
        <v>2919</v>
      </c>
      <c r="U35" s="169" t="e">
        <f t="shared" si="38"/>
        <v>#REF!</v>
      </c>
      <c r="V35" s="169">
        <f t="shared" si="39"/>
        <v>4715</v>
      </c>
      <c r="X35" s="493" t="s">
        <v>527</v>
      </c>
      <c r="Y35" s="503" t="e">
        <f t="shared" si="40"/>
        <v>#REF!</v>
      </c>
      <c r="Z35" s="503">
        <f t="shared" si="40"/>
        <v>108049</v>
      </c>
      <c r="AA35" s="503" t="e">
        <f t="shared" si="41"/>
        <v>#REF!</v>
      </c>
      <c r="AB35" s="503">
        <f t="shared" si="42"/>
        <v>39290</v>
      </c>
    </row>
    <row r="36" spans="1:28" x14ac:dyDescent="0.25">
      <c r="A36" s="493" t="s">
        <v>528</v>
      </c>
      <c r="B36" s="493">
        <f t="shared" si="30"/>
        <v>9.6200000000000001E-3</v>
      </c>
      <c r="C36" s="504" t="e">
        <f>#REF!</f>
        <v>#REF!</v>
      </c>
      <c r="D36" s="493"/>
      <c r="E36" s="502">
        <f>'[100]Forecasted TOD kWh by Period'!H13</f>
        <v>4915800</v>
      </c>
      <c r="F36" s="8"/>
      <c r="G36" s="8">
        <f t="shared" si="31"/>
        <v>4325904</v>
      </c>
      <c r="H36" s="8"/>
      <c r="I36" s="169" t="e">
        <f t="shared" si="32"/>
        <v>#REF!</v>
      </c>
      <c r="J36" s="169">
        <f t="shared" si="32"/>
        <v>0</v>
      </c>
      <c r="K36" s="169" t="e">
        <f t="shared" si="33"/>
        <v>#REF!</v>
      </c>
      <c r="L36" s="169">
        <f t="shared" si="34"/>
        <v>41615</v>
      </c>
      <c r="M36" s="493"/>
      <c r="N36" s="493">
        <f t="shared" si="35"/>
        <v>9.6200000000000001E-3</v>
      </c>
      <c r="O36" s="504" t="e">
        <f>#REF!</f>
        <v>#REF!</v>
      </c>
      <c r="P36" s="493"/>
      <c r="Q36" s="502">
        <f t="shared" si="36"/>
        <v>589896</v>
      </c>
      <c r="R36" s="502"/>
      <c r="S36" s="169" t="e">
        <f t="shared" si="37"/>
        <v>#REF!</v>
      </c>
      <c r="T36" s="169">
        <f t="shared" si="37"/>
        <v>0</v>
      </c>
      <c r="U36" s="169" t="e">
        <f t="shared" si="38"/>
        <v>#REF!</v>
      </c>
      <c r="V36" s="169">
        <f t="shared" si="39"/>
        <v>5675</v>
      </c>
      <c r="X36" s="493" t="s">
        <v>528</v>
      </c>
      <c r="Y36" s="503" t="e">
        <f t="shared" si="40"/>
        <v>#REF!</v>
      </c>
      <c r="Z36" s="503">
        <f t="shared" si="40"/>
        <v>0</v>
      </c>
      <c r="AA36" s="503" t="e">
        <f t="shared" si="41"/>
        <v>#REF!</v>
      </c>
      <c r="AB36" s="503">
        <f t="shared" si="42"/>
        <v>47290</v>
      </c>
    </row>
    <row r="37" spans="1:28" x14ac:dyDescent="0.25">
      <c r="A37" s="493" t="s">
        <v>529</v>
      </c>
      <c r="B37" s="493">
        <f t="shared" si="30"/>
        <v>9.6200000000000001E-3</v>
      </c>
      <c r="C37" s="504" t="e">
        <f>#REF!</f>
        <v>#REF!</v>
      </c>
      <c r="D37" s="505">
        <f>'[100]Nov - Apr Capacity MSC by Class'!$G31</f>
        <v>5.05</v>
      </c>
      <c r="E37" s="502">
        <f>'[100]Forecasted TOD kWh by Period'!H16</f>
        <v>245666200</v>
      </c>
      <c r="F37" s="8">
        <f>'[100]Forecasted TOD kW by Period'!M14</f>
        <v>1193296</v>
      </c>
      <c r="G37" s="8">
        <f t="shared" si="31"/>
        <v>216186256</v>
      </c>
      <c r="H37" s="8">
        <f>ROUND(F37*0.88,0)</f>
        <v>1050100</v>
      </c>
      <c r="I37" s="169" t="e">
        <f t="shared" si="32"/>
        <v>#REF!</v>
      </c>
      <c r="J37" s="169">
        <f t="shared" si="32"/>
        <v>5303005</v>
      </c>
      <c r="K37" s="169" t="e">
        <f t="shared" si="33"/>
        <v>#REF!</v>
      </c>
      <c r="L37" s="169">
        <f t="shared" si="34"/>
        <v>2079712</v>
      </c>
      <c r="M37" s="493"/>
      <c r="N37" s="493">
        <f t="shared" si="35"/>
        <v>9.6200000000000001E-3</v>
      </c>
      <c r="O37" s="504" t="e">
        <f>#REF!</f>
        <v>#REF!</v>
      </c>
      <c r="P37" s="505">
        <f>'[100]Nov - Apr Capacity MSC by Class'!$H31</f>
        <v>1.03</v>
      </c>
      <c r="Q37" s="502">
        <f t="shared" si="36"/>
        <v>29479944</v>
      </c>
      <c r="R37" s="502">
        <f>F37-H37</f>
        <v>143196</v>
      </c>
      <c r="S37" s="169" t="e">
        <f t="shared" si="37"/>
        <v>#REF!</v>
      </c>
      <c r="T37" s="169">
        <f t="shared" si="37"/>
        <v>147492</v>
      </c>
      <c r="U37" s="169" t="e">
        <f t="shared" si="38"/>
        <v>#REF!</v>
      </c>
      <c r="V37" s="169">
        <f t="shared" si="39"/>
        <v>283597</v>
      </c>
      <c r="X37" s="493" t="s">
        <v>529</v>
      </c>
      <c r="Y37" s="503" t="e">
        <f t="shared" si="40"/>
        <v>#REF!</v>
      </c>
      <c r="Z37" s="503">
        <f t="shared" si="40"/>
        <v>5450497</v>
      </c>
      <c r="AA37" s="503" t="e">
        <f t="shared" si="41"/>
        <v>#REF!</v>
      </c>
      <c r="AB37" s="503">
        <f t="shared" si="42"/>
        <v>2363309</v>
      </c>
    </row>
    <row r="38" spans="1:28" x14ac:dyDescent="0.25">
      <c r="A38" s="493" t="s">
        <v>530</v>
      </c>
      <c r="B38" s="493">
        <f t="shared" si="30"/>
        <v>9.6200000000000001E-3</v>
      </c>
      <c r="C38" s="504" t="e">
        <f>#REF!</f>
        <v>#REF!</v>
      </c>
      <c r="D38" s="493"/>
      <c r="E38" s="502">
        <f>'[100]Forecasted TOD kWh by Period'!H17</f>
        <v>248333800</v>
      </c>
      <c r="F38" s="8"/>
      <c r="G38" s="8">
        <f t="shared" si="31"/>
        <v>218533744</v>
      </c>
      <c r="H38" s="8"/>
      <c r="I38" s="169" t="e">
        <f t="shared" si="32"/>
        <v>#REF!</v>
      </c>
      <c r="J38" s="169">
        <f t="shared" si="32"/>
        <v>0</v>
      </c>
      <c r="K38" s="169" t="e">
        <f t="shared" si="33"/>
        <v>#REF!</v>
      </c>
      <c r="L38" s="169">
        <f t="shared" si="34"/>
        <v>2102295</v>
      </c>
      <c r="M38" s="493"/>
      <c r="N38" s="493">
        <f t="shared" si="35"/>
        <v>9.6200000000000001E-3</v>
      </c>
      <c r="O38" s="504" t="e">
        <f>#REF!</f>
        <v>#REF!</v>
      </c>
      <c r="P38" s="493"/>
      <c r="Q38" s="502">
        <f t="shared" si="36"/>
        <v>29800056</v>
      </c>
      <c r="R38" s="502"/>
      <c r="S38" s="169" t="e">
        <f t="shared" si="37"/>
        <v>#REF!</v>
      </c>
      <c r="T38" s="169">
        <f t="shared" si="37"/>
        <v>0</v>
      </c>
      <c r="U38" s="169" t="e">
        <f t="shared" si="38"/>
        <v>#REF!</v>
      </c>
      <c r="V38" s="169">
        <f t="shared" si="39"/>
        <v>286677</v>
      </c>
      <c r="X38" s="493" t="s">
        <v>530</v>
      </c>
      <c r="Y38" s="503" t="e">
        <f t="shared" si="40"/>
        <v>#REF!</v>
      </c>
      <c r="Z38" s="503">
        <f t="shared" si="40"/>
        <v>0</v>
      </c>
      <c r="AA38" s="503" t="e">
        <f t="shared" si="41"/>
        <v>#REF!</v>
      </c>
      <c r="AB38" s="503">
        <f t="shared" si="42"/>
        <v>2388972</v>
      </c>
    </row>
    <row r="39" spans="1:28" x14ac:dyDescent="0.25">
      <c r="A39" s="493" t="s">
        <v>531</v>
      </c>
      <c r="B39" s="493">
        <f t="shared" si="30"/>
        <v>9.6200000000000001E-3</v>
      </c>
      <c r="C39" s="504" t="e">
        <f>#REF!</f>
        <v>#REF!</v>
      </c>
      <c r="D39" s="505">
        <f>'[100]Nov - Apr Capacity MSC by Class'!$G34</f>
        <v>2.69</v>
      </c>
      <c r="E39" s="502">
        <f>'[100]Forecasted TOD kWh by Period'!H20</f>
        <v>4563900</v>
      </c>
      <c r="F39" s="8">
        <f>'[100]Forecasted TOD kW by Period'!M18</f>
        <v>29868</v>
      </c>
      <c r="G39" s="8">
        <f t="shared" si="31"/>
        <v>4016232</v>
      </c>
      <c r="H39" s="8">
        <f>ROUND(F39*0.88,0)</f>
        <v>26284</v>
      </c>
      <c r="I39" s="169" t="e">
        <f t="shared" si="32"/>
        <v>#REF!</v>
      </c>
      <c r="J39" s="169">
        <f t="shared" si="32"/>
        <v>70704</v>
      </c>
      <c r="K39" s="169" t="e">
        <f t="shared" si="33"/>
        <v>#REF!</v>
      </c>
      <c r="L39" s="169">
        <f t="shared" si="34"/>
        <v>38636</v>
      </c>
      <c r="M39" s="493"/>
      <c r="N39" s="493">
        <f t="shared" si="35"/>
        <v>9.6200000000000001E-3</v>
      </c>
      <c r="O39" s="504" t="e">
        <f>#REF!</f>
        <v>#REF!</v>
      </c>
      <c r="P39" s="505">
        <f>'[100]Nov - Apr Capacity MSC by Class'!$H34</f>
        <v>0.55000000000000004</v>
      </c>
      <c r="Q39" s="502">
        <f t="shared" si="36"/>
        <v>547668</v>
      </c>
      <c r="R39" s="502">
        <f>F39-H39</f>
        <v>3584</v>
      </c>
      <c r="S39" s="169" t="e">
        <f t="shared" si="37"/>
        <v>#REF!</v>
      </c>
      <c r="T39" s="169">
        <f t="shared" si="37"/>
        <v>1971</v>
      </c>
      <c r="U39" s="169" t="e">
        <f t="shared" si="38"/>
        <v>#REF!</v>
      </c>
      <c r="V39" s="169">
        <f t="shared" si="39"/>
        <v>5269</v>
      </c>
      <c r="X39" s="493" t="s">
        <v>531</v>
      </c>
      <c r="Y39" s="503" t="e">
        <f t="shared" si="40"/>
        <v>#REF!</v>
      </c>
      <c r="Z39" s="503">
        <f t="shared" si="40"/>
        <v>72675</v>
      </c>
      <c r="AA39" s="503" t="e">
        <f t="shared" si="41"/>
        <v>#REF!</v>
      </c>
      <c r="AB39" s="503">
        <f t="shared" si="42"/>
        <v>43905</v>
      </c>
    </row>
    <row r="40" spans="1:28" x14ac:dyDescent="0.25">
      <c r="A40" s="493" t="s">
        <v>532</v>
      </c>
      <c r="B40" s="493">
        <f t="shared" si="30"/>
        <v>9.6200000000000001E-3</v>
      </c>
      <c r="C40" s="504" t="e">
        <f>#REF!</f>
        <v>#REF!</v>
      </c>
      <c r="D40" s="493"/>
      <c r="E40" s="502">
        <f>'[100]Forecasted TOD kWh by Period'!H21</f>
        <v>6436100</v>
      </c>
      <c r="F40" s="8"/>
      <c r="G40" s="8">
        <f t="shared" si="31"/>
        <v>5663768</v>
      </c>
      <c r="H40" s="8"/>
      <c r="I40" s="169" t="e">
        <f t="shared" si="32"/>
        <v>#REF!</v>
      </c>
      <c r="J40" s="169">
        <f t="shared" si="32"/>
        <v>0</v>
      </c>
      <c r="K40" s="169" t="e">
        <f t="shared" si="33"/>
        <v>#REF!</v>
      </c>
      <c r="L40" s="169">
        <f t="shared" si="34"/>
        <v>54485</v>
      </c>
      <c r="M40" s="493"/>
      <c r="N40" s="493">
        <f t="shared" si="35"/>
        <v>9.6200000000000001E-3</v>
      </c>
      <c r="O40" s="504" t="e">
        <f>#REF!</f>
        <v>#REF!</v>
      </c>
      <c r="P40" s="493"/>
      <c r="Q40" s="502">
        <f t="shared" si="36"/>
        <v>772332</v>
      </c>
      <c r="R40" s="502"/>
      <c r="S40" s="169" t="e">
        <f t="shared" si="37"/>
        <v>#REF!</v>
      </c>
      <c r="T40" s="169">
        <f t="shared" si="37"/>
        <v>0</v>
      </c>
      <c r="U40" s="169" t="e">
        <f t="shared" si="38"/>
        <v>#REF!</v>
      </c>
      <c r="V40" s="169">
        <f t="shared" si="39"/>
        <v>7430</v>
      </c>
      <c r="X40" s="493" t="s">
        <v>532</v>
      </c>
      <c r="Y40" s="503" t="e">
        <f t="shared" si="40"/>
        <v>#REF!</v>
      </c>
      <c r="Z40" s="503">
        <f t="shared" si="40"/>
        <v>0</v>
      </c>
      <c r="AA40" s="503" t="e">
        <f t="shared" si="41"/>
        <v>#REF!</v>
      </c>
      <c r="AB40" s="503">
        <f t="shared" si="42"/>
        <v>61915</v>
      </c>
    </row>
    <row r="41" spans="1:28" x14ac:dyDescent="0.25">
      <c r="A41" s="493" t="s">
        <v>533</v>
      </c>
      <c r="B41" s="493">
        <f t="shared" si="30"/>
        <v>9.6200000000000001E-3</v>
      </c>
      <c r="C41" s="504" t="e">
        <f>#REF!</f>
        <v>#REF!</v>
      </c>
      <c r="D41" s="505">
        <f>'[100]Nov - Apr Capacity MSC by Class'!$G35</f>
        <v>0</v>
      </c>
      <c r="E41" s="502">
        <f>'[100]Forecasted TOD kWh by Period'!H24</f>
        <v>580878</v>
      </c>
      <c r="F41" s="8">
        <f>'[100]Forecasted TOD kW by Period'!M22</f>
        <v>13155</v>
      </c>
      <c r="G41" s="8">
        <f t="shared" si="31"/>
        <v>511173</v>
      </c>
      <c r="H41" s="8">
        <f>ROUND(F41*0.88,0)</f>
        <v>11576</v>
      </c>
      <c r="I41" s="169" t="e">
        <f t="shared" si="32"/>
        <v>#REF!</v>
      </c>
      <c r="J41" s="169">
        <f t="shared" si="32"/>
        <v>0</v>
      </c>
      <c r="K41" s="169" t="e">
        <f t="shared" si="33"/>
        <v>#REF!</v>
      </c>
      <c r="L41" s="169">
        <f t="shared" si="34"/>
        <v>4917</v>
      </c>
      <c r="M41" s="493"/>
      <c r="N41" s="493">
        <f t="shared" si="35"/>
        <v>9.6200000000000001E-3</v>
      </c>
      <c r="O41" s="504" t="e">
        <f>#REF!</f>
        <v>#REF!</v>
      </c>
      <c r="P41" s="505">
        <f>'[100]Nov - Apr Capacity MSC by Class'!$H35</f>
        <v>0</v>
      </c>
      <c r="Q41" s="502">
        <f t="shared" si="36"/>
        <v>69705</v>
      </c>
      <c r="R41" s="502">
        <f>F41-H41</f>
        <v>1579</v>
      </c>
      <c r="S41" s="169" t="e">
        <f t="shared" si="37"/>
        <v>#REF!</v>
      </c>
      <c r="T41" s="169">
        <f t="shared" si="37"/>
        <v>0</v>
      </c>
      <c r="U41" s="169" t="e">
        <f t="shared" si="38"/>
        <v>#REF!</v>
      </c>
      <c r="V41" s="169">
        <f t="shared" si="39"/>
        <v>671</v>
      </c>
      <c r="X41" s="493" t="s">
        <v>533</v>
      </c>
      <c r="Y41" s="503" t="e">
        <f t="shared" si="40"/>
        <v>#REF!</v>
      </c>
      <c r="Z41" s="503">
        <f t="shared" si="40"/>
        <v>0</v>
      </c>
      <c r="AA41" s="503" t="e">
        <f t="shared" si="41"/>
        <v>#REF!</v>
      </c>
      <c r="AB41" s="503">
        <f t="shared" si="42"/>
        <v>5588</v>
      </c>
    </row>
    <row r="42" spans="1:28" x14ac:dyDescent="0.25">
      <c r="A42" s="493" t="s">
        <v>534</v>
      </c>
      <c r="B42" s="493">
        <f t="shared" si="30"/>
        <v>9.6200000000000001E-3</v>
      </c>
      <c r="C42" s="504" t="e">
        <f>#REF!</f>
        <v>#REF!</v>
      </c>
      <c r="D42" s="493"/>
      <c r="E42" s="502">
        <f>'[100]Forecasted TOD kWh by Period'!H25</f>
        <v>538347</v>
      </c>
      <c r="F42" s="493"/>
      <c r="G42" s="8">
        <f t="shared" si="31"/>
        <v>473745</v>
      </c>
      <c r="H42" s="8"/>
      <c r="I42" s="169" t="e">
        <f t="shared" si="32"/>
        <v>#REF!</v>
      </c>
      <c r="J42" s="169">
        <f t="shared" si="32"/>
        <v>0</v>
      </c>
      <c r="K42" s="169" t="e">
        <f t="shared" si="33"/>
        <v>#REF!</v>
      </c>
      <c r="L42" s="169">
        <f t="shared" si="34"/>
        <v>4557</v>
      </c>
      <c r="M42" s="493"/>
      <c r="N42" s="493">
        <f t="shared" si="35"/>
        <v>9.6200000000000001E-3</v>
      </c>
      <c r="O42" s="504" t="e">
        <f>#REF!</f>
        <v>#REF!</v>
      </c>
      <c r="P42" s="493"/>
      <c r="Q42" s="502">
        <f t="shared" si="36"/>
        <v>64602</v>
      </c>
      <c r="R42" s="502"/>
      <c r="S42" s="169" t="e">
        <f t="shared" si="37"/>
        <v>#REF!</v>
      </c>
      <c r="T42" s="169">
        <f t="shared" si="37"/>
        <v>0</v>
      </c>
      <c r="U42" s="169" t="e">
        <f t="shared" si="38"/>
        <v>#REF!</v>
      </c>
      <c r="V42" s="169">
        <f t="shared" si="39"/>
        <v>621</v>
      </c>
      <c r="X42" s="493" t="s">
        <v>534</v>
      </c>
      <c r="Y42" s="503" t="e">
        <f t="shared" si="40"/>
        <v>#REF!</v>
      </c>
      <c r="Z42" s="503">
        <f t="shared" si="40"/>
        <v>0</v>
      </c>
      <c r="AA42" s="503" t="e">
        <f t="shared" si="41"/>
        <v>#REF!</v>
      </c>
      <c r="AB42" s="503">
        <f t="shared" si="42"/>
        <v>5178</v>
      </c>
    </row>
    <row r="43" spans="1:28" x14ac:dyDescent="0.25">
      <c r="A43" s="493"/>
      <c r="B43" s="493"/>
      <c r="C43" s="493"/>
      <c r="D43" s="493"/>
      <c r="E43" s="493"/>
      <c r="F43" s="493"/>
      <c r="G43" s="493"/>
      <c r="H43" s="493"/>
      <c r="I43" s="493"/>
      <c r="J43" s="493"/>
      <c r="K43" s="493"/>
      <c r="L43" s="493"/>
      <c r="M43" s="493"/>
      <c r="O43" s="493"/>
      <c r="P43" s="493"/>
      <c r="S43" s="493"/>
      <c r="T43" s="493"/>
      <c r="U43" s="493"/>
      <c r="V43" s="493"/>
      <c r="X43" s="493"/>
      <c r="Y43" s="503"/>
      <c r="Z43" s="503"/>
      <c r="AA43" s="503"/>
      <c r="AB43" s="503"/>
    </row>
    <row r="44" spans="1:28" x14ac:dyDescent="0.25">
      <c r="A44" s="493" t="s">
        <v>162</v>
      </c>
      <c r="B44" s="493"/>
      <c r="C44" s="493"/>
      <c r="D44" s="493"/>
      <c r="E44" s="507">
        <f>SUM(E8:E19)+SUM(E21:E24)+SUM(E26:E31)+SUM(E33:E42)</f>
        <v>3198846884</v>
      </c>
      <c r="F44" s="493"/>
      <c r="G44" s="507">
        <f>SUM(G8:G19)+SUM(G21:G24)+SUM(G26:G31)+SUM(G33:G42)</f>
        <v>2814985257</v>
      </c>
      <c r="H44" s="493"/>
      <c r="I44" s="503" t="e">
        <f>SUM(I8:I43)</f>
        <v>#REF!</v>
      </c>
      <c r="J44" s="169">
        <f>SUM(J8:J19)+SUM(J21:J24)+SUM(J26:J31)+SUM(J33:J42)</f>
        <v>28711841</v>
      </c>
      <c r="K44" s="503" t="e">
        <f>SUM(K8:K43)</f>
        <v>#REF!</v>
      </c>
      <c r="L44" s="169">
        <f>SUM(L8:L19)+SUM(L21:L24)+SUM(L26:L31)+SUM(L33:L42)</f>
        <v>27080158</v>
      </c>
      <c r="M44" s="493"/>
      <c r="Q44" s="507">
        <f>SUM(Q8:Q19)+SUM(Q21:Q24)+SUM(Q26:Q31)+SUM(Q33:Q42)</f>
        <v>383861627</v>
      </c>
      <c r="S44" s="503" t="e">
        <f>SUM(S8:S43)</f>
        <v>#REF!</v>
      </c>
      <c r="T44" s="169" t="e">
        <f>SUM(T8:T19)+SUM(T21:T24)+SUM(T26:T31)+SUM(T33:T42)</f>
        <v>#DIV/0!</v>
      </c>
      <c r="U44" s="503" t="e">
        <f>SUM(U8:U43)</f>
        <v>#REF!</v>
      </c>
      <c r="V44" s="169">
        <f>SUM(V8:V19)+SUM(V21:V24)+SUM(V26:V31)+SUM(V33:V42)</f>
        <v>3692749</v>
      </c>
      <c r="X44" s="493" t="s">
        <v>162</v>
      </c>
      <c r="Y44" s="503" t="e">
        <f>I44+S44</f>
        <v>#REF!</v>
      </c>
      <c r="Z44" s="503" t="e">
        <f>J44+T44</f>
        <v>#DIV/0!</v>
      </c>
      <c r="AA44" s="503" t="e">
        <f>Y44+Z44</f>
        <v>#REF!</v>
      </c>
      <c r="AB44" s="503">
        <f>L44+V44</f>
        <v>30772907</v>
      </c>
    </row>
    <row r="45" spans="1:28" x14ac:dyDescent="0.25">
      <c r="A45" s="493"/>
      <c r="B45" s="493"/>
      <c r="C45" s="493"/>
      <c r="D45" s="493"/>
      <c r="E45" s="507"/>
      <c r="F45" s="493"/>
      <c r="G45" s="507"/>
      <c r="H45" s="493"/>
      <c r="I45" s="493"/>
      <c r="J45" s="493"/>
      <c r="K45" s="493"/>
      <c r="L45" s="493"/>
      <c r="M45" s="493"/>
      <c r="N45" s="493"/>
      <c r="Q45" s="516"/>
    </row>
    <row r="46" spans="1:28" x14ac:dyDescent="0.25">
      <c r="A46" s="493"/>
      <c r="B46" s="493"/>
      <c r="C46" s="493"/>
      <c r="D46" s="493"/>
      <c r="E46" s="493"/>
      <c r="F46" s="493"/>
      <c r="G46" s="493"/>
      <c r="H46" s="493"/>
      <c r="I46" s="493"/>
      <c r="J46" s="493"/>
      <c r="K46" s="493"/>
      <c r="L46" s="493"/>
    </row>
    <row r="47" spans="1:28" x14ac:dyDescent="0.25">
      <c r="A47" s="493"/>
      <c r="B47" s="493"/>
      <c r="C47" s="493"/>
      <c r="D47" s="493"/>
      <c r="E47" s="493"/>
      <c r="F47" s="493"/>
      <c r="G47" s="493"/>
      <c r="H47" s="493"/>
      <c r="I47" s="493"/>
      <c r="J47" s="493"/>
      <c r="K47" s="493"/>
      <c r="L47" s="493"/>
    </row>
    <row r="48" spans="1:28" x14ac:dyDescent="0.25">
      <c r="A48" s="493"/>
      <c r="B48" s="493"/>
      <c r="C48" s="493"/>
      <c r="D48" s="493"/>
      <c r="E48" s="493"/>
      <c r="F48" s="493"/>
      <c r="G48" s="493"/>
      <c r="H48" s="493"/>
      <c r="I48" s="493"/>
      <c r="J48" s="493"/>
      <c r="K48" s="493"/>
      <c r="L48" s="493"/>
    </row>
    <row r="49" spans="1:13" x14ac:dyDescent="0.25">
      <c r="A49" s="493"/>
      <c r="B49" s="493"/>
      <c r="C49" s="493"/>
      <c r="D49" s="493"/>
      <c r="E49" s="493"/>
      <c r="F49" s="493"/>
      <c r="G49" s="493"/>
      <c r="H49" s="493"/>
      <c r="I49" s="493"/>
      <c r="J49" s="493"/>
      <c r="K49" s="493"/>
      <c r="L49" s="493"/>
    </row>
    <row r="50" spans="1:13" x14ac:dyDescent="0.25">
      <c r="A50" s="493"/>
      <c r="B50" s="493"/>
      <c r="C50" s="493"/>
      <c r="D50" s="493"/>
      <c r="E50" s="493"/>
      <c r="F50" s="493"/>
      <c r="G50" s="493"/>
      <c r="H50" s="493"/>
      <c r="I50" s="493"/>
      <c r="J50" s="493"/>
      <c r="K50" s="493"/>
      <c r="L50" s="493"/>
      <c r="M50" s="493"/>
    </row>
    <row r="51" spans="1:13" x14ac:dyDescent="0.25">
      <c r="A51" s="493"/>
      <c r="B51" s="493"/>
      <c r="C51" s="493"/>
      <c r="D51" s="493"/>
      <c r="E51" s="493"/>
      <c r="F51" s="493"/>
      <c r="G51" s="493"/>
      <c r="H51" s="493"/>
      <c r="I51" s="493"/>
      <c r="J51" s="493"/>
      <c r="K51" s="493"/>
      <c r="L51" s="493"/>
      <c r="M51" s="493"/>
    </row>
    <row r="52" spans="1:13" x14ac:dyDescent="0.25">
      <c r="A52" s="493"/>
      <c r="B52" s="493"/>
      <c r="C52" s="493"/>
      <c r="D52" s="493"/>
      <c r="E52" s="493"/>
      <c r="F52" s="493"/>
      <c r="G52" s="493"/>
      <c r="H52" s="493"/>
      <c r="I52" s="493"/>
      <c r="J52" s="493"/>
      <c r="K52" s="493"/>
      <c r="L52" s="493"/>
      <c r="M52" s="493"/>
    </row>
    <row r="53" spans="1:13" x14ac:dyDescent="0.25">
      <c r="A53" s="493"/>
      <c r="B53" s="493"/>
      <c r="C53" s="493"/>
      <c r="D53" s="493"/>
      <c r="E53" s="493"/>
      <c r="F53" s="493"/>
      <c r="G53" s="493"/>
      <c r="H53" s="493"/>
      <c r="I53" s="493"/>
      <c r="J53" s="493"/>
      <c r="K53" s="493"/>
      <c r="L53" s="493"/>
      <c r="M53" s="493"/>
    </row>
    <row r="54" spans="1:13" x14ac:dyDescent="0.25">
      <c r="A54" s="493"/>
      <c r="B54" s="493"/>
      <c r="C54" s="493"/>
      <c r="D54" s="493"/>
      <c r="E54" s="493"/>
      <c r="F54" s="493"/>
      <c r="G54" s="493"/>
      <c r="H54" s="493"/>
      <c r="I54" s="493"/>
      <c r="J54" s="493"/>
      <c r="K54" s="493"/>
      <c r="L54" s="493"/>
      <c r="M54" s="493"/>
    </row>
    <row r="55" spans="1:13" x14ac:dyDescent="0.25">
      <c r="A55" s="493"/>
      <c r="B55" s="493"/>
      <c r="C55" s="493"/>
      <c r="D55" s="493"/>
      <c r="E55" s="493"/>
      <c r="F55" s="493"/>
      <c r="G55" s="493"/>
      <c r="H55" s="493"/>
      <c r="I55" s="493"/>
      <c r="J55" s="493"/>
      <c r="K55" s="493"/>
      <c r="L55" s="493"/>
      <c r="M55" s="493"/>
    </row>
    <row r="56" spans="1:13" x14ac:dyDescent="0.25">
      <c r="A56" s="493"/>
      <c r="B56" s="493"/>
      <c r="C56" s="493"/>
      <c r="D56" s="493"/>
      <c r="E56" s="493"/>
      <c r="F56" s="493"/>
      <c r="G56" s="493"/>
      <c r="H56" s="493"/>
      <c r="I56" s="493"/>
      <c r="J56" s="493"/>
      <c r="K56" s="493"/>
      <c r="L56" s="493"/>
      <c r="M56" s="493"/>
    </row>
    <row r="57" spans="1:13" x14ac:dyDescent="0.25">
      <c r="A57" s="493"/>
      <c r="B57" s="493"/>
      <c r="C57" s="493"/>
      <c r="D57" s="493"/>
      <c r="E57" s="493"/>
      <c r="F57" s="493"/>
      <c r="G57" s="493"/>
      <c r="H57" s="493"/>
      <c r="I57" s="493"/>
      <c r="J57" s="493"/>
      <c r="K57" s="493"/>
      <c r="L57" s="493"/>
      <c r="M57" s="493"/>
    </row>
    <row r="58" spans="1:13" x14ac:dyDescent="0.25">
      <c r="A58" s="493"/>
      <c r="B58" s="493"/>
      <c r="C58" s="493"/>
      <c r="D58" s="493"/>
      <c r="E58" s="493"/>
      <c r="F58" s="493"/>
      <c r="G58" s="493"/>
      <c r="H58" s="493"/>
      <c r="I58" s="493"/>
      <c r="J58" s="493"/>
      <c r="K58" s="493"/>
      <c r="L58" s="493"/>
      <c r="M58" s="493"/>
    </row>
    <row r="59" spans="1:13" x14ac:dyDescent="0.25">
      <c r="A59" s="493"/>
      <c r="B59" s="493"/>
      <c r="C59" s="493"/>
      <c r="D59" s="493"/>
      <c r="E59" s="493"/>
      <c r="F59" s="493"/>
      <c r="G59" s="493"/>
      <c r="H59" s="493"/>
      <c r="I59" s="493"/>
      <c r="J59" s="493"/>
      <c r="K59" s="493"/>
      <c r="L59" s="493"/>
      <c r="M59" s="493"/>
    </row>
    <row r="60" spans="1:13" x14ac:dyDescent="0.25">
      <c r="A60" s="493"/>
      <c r="B60" s="493"/>
      <c r="C60" s="493"/>
      <c r="D60" s="493"/>
      <c r="E60" s="493"/>
      <c r="F60" s="493"/>
      <c r="G60" s="493"/>
      <c r="H60" s="493"/>
      <c r="I60" s="493"/>
      <c r="J60" s="493"/>
      <c r="K60" s="493"/>
      <c r="L60" s="493"/>
      <c r="M60" s="493"/>
    </row>
    <row r="61" spans="1:13" x14ac:dyDescent="0.25">
      <c r="A61" s="493"/>
      <c r="B61" s="493"/>
      <c r="C61" s="493"/>
      <c r="D61" s="493"/>
      <c r="E61" s="493"/>
      <c r="F61" s="493"/>
      <c r="G61" s="493"/>
      <c r="H61" s="493"/>
      <c r="I61" s="493"/>
      <c r="J61" s="493"/>
      <c r="K61" s="493"/>
      <c r="L61" s="493"/>
      <c r="M61" s="493"/>
    </row>
    <row r="62" spans="1:13" x14ac:dyDescent="0.25">
      <c r="A62" s="493"/>
      <c r="B62" s="493"/>
      <c r="C62" s="493"/>
      <c r="D62" s="493"/>
      <c r="E62" s="493"/>
      <c r="F62" s="493"/>
      <c r="G62" s="493"/>
      <c r="H62" s="493"/>
      <c r="I62" s="493"/>
      <c r="J62" s="493"/>
      <c r="K62" s="493"/>
      <c r="L62" s="493"/>
      <c r="M62" s="493"/>
    </row>
    <row r="63" spans="1:13" x14ac:dyDescent="0.25">
      <c r="A63" s="493"/>
      <c r="B63" s="493"/>
      <c r="C63" s="493"/>
      <c r="D63" s="493"/>
      <c r="E63" s="493"/>
      <c r="F63" s="493"/>
      <c r="G63" s="493"/>
      <c r="H63" s="493"/>
      <c r="I63" s="493"/>
      <c r="J63" s="493"/>
      <c r="K63" s="493"/>
      <c r="L63" s="493"/>
      <c r="M63" s="493"/>
    </row>
    <row r="64" spans="1:13" x14ac:dyDescent="0.25">
      <c r="A64" s="493"/>
      <c r="B64" s="493"/>
      <c r="C64" s="493"/>
      <c r="D64" s="493"/>
      <c r="E64" s="493"/>
      <c r="F64" s="493"/>
      <c r="G64" s="493"/>
      <c r="H64" s="493"/>
      <c r="I64" s="493"/>
      <c r="J64" s="493"/>
      <c r="K64" s="493"/>
      <c r="L64" s="493"/>
      <c r="M64" s="493"/>
    </row>
    <row r="65" spans="1:14" x14ac:dyDescent="0.25">
      <c r="A65" s="493"/>
      <c r="B65" s="493"/>
      <c r="C65" s="493"/>
      <c r="D65" s="493"/>
      <c r="E65" s="493"/>
      <c r="F65" s="493"/>
      <c r="G65" s="493"/>
      <c r="H65" s="493"/>
      <c r="I65" s="493"/>
      <c r="J65" s="493"/>
      <c r="K65" s="493"/>
      <c r="L65" s="493"/>
      <c r="M65" s="493"/>
      <c r="N65" s="493"/>
    </row>
    <row r="66" spans="1:14" x14ac:dyDescent="0.25">
      <c r="A66" s="493"/>
      <c r="B66" s="493"/>
      <c r="C66" s="493"/>
      <c r="D66" s="493"/>
      <c r="E66" s="493"/>
      <c r="F66" s="493"/>
      <c r="G66" s="493"/>
      <c r="H66" s="493"/>
      <c r="I66" s="493"/>
      <c r="J66" s="493"/>
      <c r="K66" s="493"/>
      <c r="L66" s="493"/>
      <c r="M66" s="493"/>
      <c r="N66" s="493"/>
    </row>
    <row r="67" spans="1:14" x14ac:dyDescent="0.25">
      <c r="A67" s="493"/>
      <c r="B67" s="493"/>
      <c r="C67" s="493"/>
      <c r="D67" s="493"/>
      <c r="E67" s="493"/>
      <c r="F67" s="493"/>
      <c r="G67" s="493"/>
      <c r="H67" s="493"/>
      <c r="I67" s="493"/>
      <c r="J67" s="493"/>
      <c r="K67" s="493"/>
      <c r="L67" s="493"/>
      <c r="M67" s="493"/>
      <c r="N67" s="493"/>
    </row>
    <row r="68" spans="1:14" x14ac:dyDescent="0.25">
      <c r="A68" s="493"/>
      <c r="B68" s="493"/>
      <c r="C68" s="493"/>
      <c r="D68" s="493"/>
      <c r="E68" s="493"/>
      <c r="F68" s="493"/>
      <c r="G68" s="493"/>
      <c r="H68" s="493"/>
      <c r="I68" s="493"/>
      <c r="J68" s="493"/>
      <c r="K68" s="493"/>
      <c r="L68" s="493"/>
      <c r="M68" s="493"/>
    </row>
    <row r="69" spans="1:14" x14ac:dyDescent="0.25">
      <c r="A69" s="493"/>
      <c r="B69" s="493"/>
      <c r="C69" s="493"/>
      <c r="D69" s="493"/>
      <c r="E69" s="493"/>
      <c r="F69" s="493"/>
      <c r="G69" s="493"/>
      <c r="H69" s="493"/>
      <c r="I69" s="493"/>
      <c r="J69" s="493"/>
      <c r="K69" s="493"/>
      <c r="L69" s="493"/>
      <c r="M69" s="493"/>
    </row>
    <row r="70" spans="1:14" x14ac:dyDescent="0.25">
      <c r="A70" s="493"/>
      <c r="B70" s="493"/>
      <c r="C70" s="493"/>
      <c r="D70" s="493"/>
      <c r="E70" s="493"/>
      <c r="F70" s="493"/>
      <c r="G70" s="493"/>
      <c r="H70" s="493"/>
      <c r="I70" s="493"/>
      <c r="J70" s="493"/>
      <c r="K70" s="493"/>
      <c r="L70" s="493"/>
      <c r="M70" s="493"/>
    </row>
    <row r="71" spans="1:14" x14ac:dyDescent="0.25">
      <c r="A71" s="493"/>
      <c r="B71" s="493"/>
      <c r="C71" s="493"/>
      <c r="D71" s="493"/>
      <c r="E71" s="493"/>
      <c r="F71" s="493"/>
      <c r="G71" s="493"/>
      <c r="H71" s="493"/>
      <c r="I71" s="493"/>
      <c r="J71" s="493"/>
      <c r="K71" s="493"/>
      <c r="L71" s="493"/>
      <c r="M71" s="493"/>
    </row>
    <row r="72" spans="1:14" x14ac:dyDescent="0.25">
      <c r="A72" s="493"/>
      <c r="B72" s="493"/>
      <c r="C72" s="493"/>
      <c r="D72" s="493"/>
      <c r="E72" s="493"/>
      <c r="F72" s="493"/>
      <c r="G72" s="493"/>
      <c r="H72" s="493"/>
      <c r="I72" s="493"/>
      <c r="J72" s="493"/>
      <c r="K72" s="493"/>
      <c r="L72" s="493"/>
      <c r="M72" s="493"/>
    </row>
    <row r="73" spans="1:14" x14ac:dyDescent="0.25">
      <c r="A73" s="493"/>
      <c r="B73" s="493"/>
      <c r="C73" s="493"/>
      <c r="D73" s="493"/>
      <c r="E73" s="493"/>
      <c r="F73" s="493"/>
      <c r="G73" s="493"/>
      <c r="H73" s="493"/>
      <c r="I73" s="493"/>
      <c r="J73" s="493"/>
      <c r="K73" s="493"/>
      <c r="L73" s="493"/>
      <c r="M73" s="493"/>
    </row>
    <row r="74" spans="1:14" x14ac:dyDescent="0.25">
      <c r="A74" s="493"/>
      <c r="B74" s="493"/>
      <c r="C74" s="493"/>
      <c r="D74" s="493"/>
      <c r="E74" s="493"/>
      <c r="F74" s="493"/>
      <c r="G74" s="493"/>
      <c r="H74" s="493"/>
      <c r="I74" s="493"/>
      <c r="J74" s="493"/>
      <c r="K74" s="493"/>
      <c r="L74" s="493"/>
      <c r="M74" s="493"/>
    </row>
    <row r="75" spans="1:14" x14ac:dyDescent="0.25">
      <c r="A75" s="493"/>
      <c r="B75" s="493"/>
      <c r="C75" s="493"/>
      <c r="D75" s="493"/>
      <c r="E75" s="493"/>
      <c r="F75" s="493"/>
      <c r="G75" s="493"/>
      <c r="H75" s="493"/>
      <c r="I75" s="493"/>
      <c r="J75" s="493"/>
      <c r="K75" s="493"/>
      <c r="L75" s="493"/>
      <c r="M75" s="493"/>
    </row>
    <row r="76" spans="1:14" x14ac:dyDescent="0.25">
      <c r="A76" s="493"/>
      <c r="B76" s="493"/>
      <c r="C76" s="493"/>
      <c r="D76" s="493"/>
      <c r="E76" s="493"/>
      <c r="F76" s="493"/>
      <c r="G76" s="493"/>
      <c r="H76" s="493"/>
      <c r="I76" s="493"/>
      <c r="J76" s="493"/>
      <c r="K76" s="493"/>
      <c r="L76" s="493"/>
      <c r="M76" s="493"/>
    </row>
    <row r="77" spans="1:14" x14ac:dyDescent="0.25">
      <c r="A77" s="493"/>
      <c r="B77" s="493"/>
      <c r="C77" s="493"/>
      <c r="D77" s="493"/>
      <c r="E77" s="493"/>
      <c r="F77" s="493"/>
      <c r="G77" s="493"/>
      <c r="H77" s="493"/>
      <c r="I77" s="493"/>
      <c r="J77" s="493"/>
      <c r="K77" s="493"/>
      <c r="L77" s="493"/>
      <c r="M77" s="493"/>
    </row>
    <row r="78" spans="1:14" x14ac:dyDescent="0.25">
      <c r="A78" s="493"/>
      <c r="B78" s="493"/>
      <c r="C78" s="493"/>
      <c r="D78" s="493"/>
      <c r="E78" s="493"/>
      <c r="F78" s="493"/>
      <c r="G78" s="493"/>
      <c r="H78" s="493"/>
      <c r="I78" s="493"/>
      <c r="J78" s="493"/>
      <c r="K78" s="493"/>
      <c r="L78" s="493"/>
      <c r="M78" s="493"/>
    </row>
    <row r="79" spans="1:14" x14ac:dyDescent="0.25">
      <c r="A79" s="493"/>
      <c r="B79" s="493"/>
      <c r="C79" s="493"/>
      <c r="D79" s="493"/>
      <c r="E79" s="493"/>
      <c r="F79" s="493"/>
      <c r="G79" s="493"/>
      <c r="H79" s="493"/>
      <c r="I79" s="493"/>
      <c r="J79" s="493"/>
      <c r="K79" s="493"/>
      <c r="L79" s="493"/>
      <c r="M79" s="493"/>
    </row>
    <row r="80" spans="1:14" x14ac:dyDescent="0.25">
      <c r="A80" s="493"/>
      <c r="B80" s="493"/>
      <c r="C80" s="493"/>
      <c r="D80" s="493"/>
      <c r="E80" s="493"/>
      <c r="F80" s="493"/>
      <c r="G80" s="493"/>
      <c r="H80" s="493"/>
      <c r="I80" s="493"/>
      <c r="J80" s="493"/>
      <c r="K80" s="493"/>
      <c r="L80" s="493"/>
      <c r="M80" s="493"/>
    </row>
    <row r="81" spans="1:14" x14ac:dyDescent="0.25">
      <c r="A81" s="493"/>
      <c r="B81" s="493"/>
      <c r="C81" s="493"/>
      <c r="D81" s="493"/>
      <c r="E81" s="493"/>
      <c r="F81" s="493"/>
      <c r="G81" s="493"/>
      <c r="H81" s="493"/>
      <c r="I81" s="493"/>
      <c r="J81" s="493"/>
      <c r="K81" s="493"/>
      <c r="L81" s="493"/>
      <c r="M81" s="493"/>
    </row>
    <row r="82" spans="1:14" x14ac:dyDescent="0.25">
      <c r="A82" s="493"/>
      <c r="B82" s="493"/>
      <c r="C82" s="493"/>
      <c r="D82" s="493"/>
      <c r="E82" s="493"/>
      <c r="F82" s="493"/>
      <c r="G82" s="493"/>
      <c r="H82" s="493"/>
      <c r="I82" s="493"/>
      <c r="J82" s="493"/>
      <c r="K82" s="493"/>
      <c r="L82" s="493"/>
      <c r="M82" s="493"/>
    </row>
    <row r="83" spans="1:14" x14ac:dyDescent="0.25">
      <c r="A83" s="493"/>
      <c r="B83" s="493"/>
      <c r="C83" s="493"/>
      <c r="D83" s="493"/>
      <c r="E83" s="493"/>
      <c r="F83" s="493"/>
      <c r="G83" s="493"/>
      <c r="H83" s="493"/>
      <c r="I83" s="493"/>
      <c r="J83" s="493"/>
      <c r="K83" s="493"/>
      <c r="L83" s="493"/>
      <c r="M83" s="493"/>
    </row>
    <row r="84" spans="1:14" x14ac:dyDescent="0.25">
      <c r="A84" s="493"/>
      <c r="B84" s="493"/>
      <c r="C84" s="493"/>
      <c r="D84" s="493"/>
      <c r="E84" s="493"/>
      <c r="F84" s="493"/>
      <c r="G84" s="493"/>
      <c r="H84" s="493"/>
      <c r="I84" s="493"/>
      <c r="J84" s="493"/>
      <c r="K84" s="493"/>
      <c r="L84" s="493"/>
      <c r="M84" s="493"/>
    </row>
    <row r="85" spans="1:14" x14ac:dyDescent="0.25">
      <c r="A85" s="493"/>
      <c r="B85" s="493"/>
      <c r="C85" s="493"/>
      <c r="D85" s="493"/>
      <c r="E85" s="493"/>
      <c r="F85" s="493"/>
      <c r="G85" s="493"/>
      <c r="H85" s="493"/>
      <c r="I85" s="493"/>
      <c r="J85" s="493"/>
      <c r="K85" s="493"/>
      <c r="L85" s="493"/>
      <c r="M85" s="493"/>
      <c r="N85" s="493"/>
    </row>
    <row r="86" spans="1:14" x14ac:dyDescent="0.25">
      <c r="A86" s="493"/>
      <c r="B86" s="493"/>
      <c r="C86" s="493"/>
      <c r="D86" s="493"/>
      <c r="E86" s="493"/>
      <c r="F86" s="493"/>
      <c r="G86" s="493"/>
      <c r="H86" s="493"/>
      <c r="I86" s="493"/>
      <c r="J86" s="493"/>
      <c r="K86" s="493"/>
      <c r="L86" s="493"/>
      <c r="M86" s="493"/>
      <c r="N86" s="493"/>
    </row>
    <row r="87" spans="1:14" x14ac:dyDescent="0.25">
      <c r="A87" s="493"/>
      <c r="B87" s="493"/>
      <c r="C87" s="493"/>
      <c r="D87" s="493"/>
      <c r="E87" s="493"/>
      <c r="F87" s="493"/>
      <c r="G87" s="493"/>
      <c r="H87" s="493"/>
      <c r="I87" s="493"/>
      <c r="J87" s="493"/>
      <c r="K87" s="493"/>
      <c r="L87" s="493"/>
      <c r="M87" s="493"/>
      <c r="N87" s="493"/>
    </row>
    <row r="88" spans="1:14" x14ac:dyDescent="0.25">
      <c r="A88" s="493"/>
      <c r="B88" s="493"/>
      <c r="C88" s="493"/>
      <c r="D88" s="493"/>
      <c r="E88" s="493"/>
      <c r="F88" s="493"/>
      <c r="G88" s="493"/>
      <c r="H88" s="493"/>
      <c r="I88" s="493"/>
      <c r="J88" s="493"/>
      <c r="K88" s="493"/>
      <c r="L88" s="493"/>
      <c r="M88" s="493"/>
      <c r="N88" s="493"/>
    </row>
    <row r="89" spans="1:14" x14ac:dyDescent="0.25">
      <c r="A89" s="493"/>
      <c r="B89" s="493"/>
      <c r="C89" s="493"/>
      <c r="D89" s="493"/>
      <c r="E89" s="493"/>
      <c r="F89" s="493"/>
      <c r="G89" s="493"/>
      <c r="H89" s="493"/>
      <c r="I89" s="493"/>
      <c r="J89" s="493"/>
      <c r="K89" s="493"/>
      <c r="L89" s="493"/>
      <c r="M89" s="493"/>
    </row>
    <row r="90" spans="1:14" x14ac:dyDescent="0.25">
      <c r="A90" s="493"/>
      <c r="B90" s="493"/>
      <c r="C90" s="493"/>
      <c r="D90" s="493"/>
      <c r="E90" s="493"/>
      <c r="F90" s="493"/>
      <c r="G90" s="493"/>
      <c r="H90" s="493"/>
      <c r="I90" s="493"/>
      <c r="J90" s="493"/>
      <c r="K90" s="493"/>
      <c r="L90" s="493"/>
      <c r="M90" s="493"/>
    </row>
    <row r="91" spans="1:14" x14ac:dyDescent="0.25">
      <c r="A91" s="493"/>
      <c r="B91" s="493"/>
      <c r="C91" s="493"/>
      <c r="D91" s="493"/>
      <c r="E91" s="493"/>
      <c r="F91" s="493"/>
      <c r="G91" s="493"/>
      <c r="H91" s="493"/>
      <c r="I91" s="493"/>
      <c r="J91" s="493"/>
      <c r="K91" s="493"/>
      <c r="L91" s="493"/>
      <c r="M91" s="493"/>
    </row>
    <row r="92" spans="1:14" x14ac:dyDescent="0.25">
      <c r="A92" s="493"/>
      <c r="B92" s="493"/>
      <c r="C92" s="493"/>
      <c r="D92" s="493"/>
      <c r="E92" s="493"/>
      <c r="F92" s="493"/>
      <c r="G92" s="493"/>
      <c r="H92" s="493"/>
      <c r="I92" s="493"/>
      <c r="J92" s="493"/>
      <c r="K92" s="493"/>
      <c r="L92" s="493"/>
      <c r="M92" s="493"/>
    </row>
    <row r="93" spans="1:14" x14ac:dyDescent="0.25">
      <c r="A93" s="493"/>
      <c r="B93" s="493"/>
      <c r="C93" s="493"/>
      <c r="D93" s="493"/>
      <c r="E93" s="493"/>
      <c r="F93" s="493"/>
      <c r="G93" s="493"/>
      <c r="H93" s="493"/>
      <c r="I93" s="493"/>
      <c r="J93" s="493"/>
      <c r="K93" s="493"/>
      <c r="L93" s="493"/>
      <c r="M93" s="493"/>
    </row>
    <row r="94" spans="1:14" x14ac:dyDescent="0.25">
      <c r="A94" s="493"/>
      <c r="B94" s="493"/>
      <c r="C94" s="493"/>
      <c r="D94" s="493"/>
      <c r="E94" s="493"/>
      <c r="F94" s="493"/>
      <c r="G94" s="493"/>
      <c r="H94" s="493"/>
      <c r="I94" s="493"/>
      <c r="J94" s="493"/>
      <c r="K94" s="493"/>
      <c r="L94" s="493"/>
      <c r="M94" s="493"/>
    </row>
    <row r="95" spans="1:14" x14ac:dyDescent="0.25">
      <c r="A95" s="493"/>
      <c r="B95" s="493"/>
      <c r="C95" s="493"/>
      <c r="D95" s="493"/>
      <c r="E95" s="493"/>
      <c r="F95" s="493"/>
      <c r="G95" s="493"/>
      <c r="H95" s="493"/>
      <c r="I95" s="493"/>
      <c r="J95" s="493"/>
      <c r="K95" s="493"/>
      <c r="L95" s="493"/>
      <c r="M95" s="493"/>
    </row>
    <row r="96" spans="1:14" x14ac:dyDescent="0.25">
      <c r="A96" s="493"/>
      <c r="B96" s="493"/>
      <c r="C96" s="493"/>
      <c r="D96" s="493"/>
      <c r="E96" s="493"/>
      <c r="F96" s="493"/>
      <c r="G96" s="493"/>
      <c r="H96" s="493"/>
      <c r="I96" s="493"/>
      <c r="J96" s="493"/>
      <c r="K96" s="493"/>
      <c r="L96" s="493"/>
      <c r="M96" s="493"/>
    </row>
    <row r="97" spans="1:13" x14ac:dyDescent="0.25">
      <c r="A97" s="493"/>
      <c r="B97" s="493"/>
      <c r="C97" s="493"/>
      <c r="D97" s="493"/>
      <c r="E97" s="493"/>
      <c r="F97" s="493"/>
      <c r="G97" s="493"/>
      <c r="H97" s="493"/>
      <c r="I97" s="493"/>
      <c r="J97" s="493"/>
      <c r="K97" s="493"/>
      <c r="L97" s="493"/>
      <c r="M97" s="493"/>
    </row>
    <row r="98" spans="1:13" x14ac:dyDescent="0.25">
      <c r="A98" s="493"/>
      <c r="B98" s="493"/>
      <c r="C98" s="493"/>
      <c r="D98" s="493"/>
      <c r="E98" s="493"/>
      <c r="F98" s="493"/>
      <c r="G98" s="493"/>
      <c r="H98" s="493"/>
      <c r="I98" s="493"/>
      <c r="J98" s="493"/>
      <c r="K98" s="493"/>
      <c r="L98" s="493"/>
      <c r="M98" s="493"/>
    </row>
    <row r="99" spans="1:13" x14ac:dyDescent="0.25">
      <c r="A99" s="493"/>
      <c r="B99" s="493"/>
      <c r="C99" s="493"/>
      <c r="D99" s="493"/>
      <c r="E99" s="493"/>
      <c r="F99" s="493"/>
      <c r="G99" s="493"/>
      <c r="H99" s="493"/>
      <c r="I99" s="493"/>
      <c r="J99" s="493"/>
      <c r="K99" s="493"/>
      <c r="L99" s="493"/>
      <c r="M99" s="493"/>
    </row>
    <row r="100" spans="1:13" x14ac:dyDescent="0.25">
      <c r="A100" s="493"/>
      <c r="B100" s="493"/>
      <c r="C100" s="493"/>
      <c r="D100" s="493"/>
      <c r="E100" s="493"/>
      <c r="F100" s="493"/>
      <c r="G100" s="493"/>
      <c r="H100" s="493"/>
      <c r="I100" s="493"/>
      <c r="J100" s="493"/>
      <c r="K100" s="493"/>
      <c r="L100" s="493"/>
      <c r="M100" s="493"/>
    </row>
    <row r="101" spans="1:13" x14ac:dyDescent="0.25">
      <c r="A101" s="493"/>
      <c r="B101" s="493"/>
      <c r="C101" s="493"/>
      <c r="D101" s="493"/>
      <c r="E101" s="493"/>
      <c r="F101" s="493"/>
      <c r="G101" s="493"/>
      <c r="H101" s="493"/>
      <c r="I101" s="493"/>
      <c r="J101" s="493"/>
      <c r="K101" s="493"/>
      <c r="L101" s="493"/>
      <c r="M101" s="493"/>
    </row>
    <row r="102" spans="1:13" x14ac:dyDescent="0.25">
      <c r="A102" s="493"/>
      <c r="B102" s="493"/>
      <c r="C102" s="493"/>
      <c r="D102" s="493"/>
      <c r="E102" s="493"/>
      <c r="F102" s="493"/>
      <c r="G102" s="493"/>
      <c r="H102" s="493"/>
      <c r="I102" s="493"/>
      <c r="J102" s="493"/>
      <c r="K102" s="493"/>
      <c r="L102" s="493"/>
      <c r="M102" s="493"/>
    </row>
    <row r="103" spans="1:13" x14ac:dyDescent="0.25">
      <c r="A103" s="493"/>
      <c r="B103" s="493"/>
      <c r="C103" s="493"/>
      <c r="D103" s="493"/>
      <c r="E103" s="493"/>
      <c r="F103" s="493"/>
      <c r="G103" s="493"/>
      <c r="H103" s="493"/>
      <c r="I103" s="493"/>
      <c r="J103" s="493"/>
      <c r="K103" s="493"/>
      <c r="L103" s="493"/>
      <c r="M103" s="493"/>
    </row>
    <row r="104" spans="1:13" x14ac:dyDescent="0.25">
      <c r="A104" s="493"/>
      <c r="B104" s="493"/>
      <c r="C104" s="493"/>
      <c r="D104" s="493"/>
      <c r="E104" s="493"/>
      <c r="F104" s="493"/>
      <c r="G104" s="493"/>
      <c r="H104" s="493"/>
      <c r="I104" s="493"/>
      <c r="J104" s="493"/>
      <c r="K104" s="493"/>
      <c r="L104" s="493"/>
      <c r="M104" s="493"/>
    </row>
    <row r="105" spans="1:13" x14ac:dyDescent="0.25">
      <c r="A105" s="493"/>
      <c r="B105" s="493"/>
      <c r="C105" s="493"/>
      <c r="D105" s="493"/>
      <c r="E105" s="493"/>
      <c r="F105" s="493"/>
      <c r="G105" s="493"/>
      <c r="H105" s="493"/>
      <c r="I105" s="493"/>
      <c r="J105" s="493"/>
      <c r="K105" s="493"/>
      <c r="L105" s="493"/>
      <c r="M105" s="493"/>
    </row>
    <row r="106" spans="1:13" x14ac:dyDescent="0.25">
      <c r="A106" s="493"/>
      <c r="B106" s="493"/>
      <c r="C106" s="493"/>
      <c r="D106" s="493"/>
      <c r="E106" s="493"/>
      <c r="F106" s="493"/>
      <c r="G106" s="493"/>
      <c r="H106" s="493"/>
      <c r="I106" s="493"/>
      <c r="J106" s="493"/>
      <c r="K106" s="493"/>
      <c r="L106" s="493"/>
      <c r="M106" s="493"/>
    </row>
    <row r="107" spans="1:13" x14ac:dyDescent="0.25">
      <c r="A107" s="493"/>
      <c r="B107" s="493"/>
      <c r="C107" s="493"/>
      <c r="D107" s="493"/>
      <c r="E107" s="493"/>
      <c r="F107" s="493"/>
      <c r="G107" s="493"/>
      <c r="H107" s="493"/>
      <c r="I107" s="493"/>
      <c r="J107" s="493"/>
      <c r="K107" s="493"/>
      <c r="L107" s="493"/>
      <c r="M107" s="493"/>
    </row>
    <row r="108" spans="1:13" x14ac:dyDescent="0.25">
      <c r="A108" s="493"/>
      <c r="B108" s="493"/>
      <c r="C108" s="493"/>
      <c r="D108" s="493"/>
      <c r="E108" s="493"/>
      <c r="F108" s="493"/>
      <c r="G108" s="493"/>
      <c r="H108" s="493"/>
      <c r="I108" s="493"/>
      <c r="J108" s="493"/>
      <c r="K108" s="493"/>
      <c r="L108" s="493"/>
      <c r="M108" s="493"/>
    </row>
    <row r="109" spans="1:13" x14ac:dyDescent="0.25">
      <c r="A109" s="493"/>
      <c r="B109" s="493"/>
      <c r="C109" s="493"/>
      <c r="D109" s="493"/>
      <c r="E109" s="493"/>
      <c r="F109" s="493"/>
      <c r="G109" s="493"/>
      <c r="H109" s="493"/>
      <c r="I109" s="493"/>
      <c r="J109" s="493"/>
      <c r="K109" s="493"/>
      <c r="L109" s="493"/>
      <c r="M109" s="493"/>
    </row>
    <row r="110" spans="1:13" x14ac:dyDescent="0.25">
      <c r="A110" s="493"/>
      <c r="B110" s="493"/>
      <c r="C110" s="493"/>
      <c r="D110" s="493"/>
      <c r="E110" s="493"/>
      <c r="F110" s="493"/>
      <c r="G110" s="493"/>
      <c r="H110" s="493"/>
      <c r="I110" s="493"/>
      <c r="J110" s="493"/>
      <c r="K110" s="493"/>
      <c r="L110" s="493"/>
      <c r="M110" s="493"/>
    </row>
    <row r="111" spans="1:13" x14ac:dyDescent="0.25">
      <c r="A111" s="493"/>
      <c r="B111" s="493"/>
      <c r="C111" s="493"/>
      <c r="D111" s="493"/>
      <c r="E111" s="493"/>
      <c r="F111" s="493"/>
      <c r="G111" s="493"/>
      <c r="H111" s="493"/>
      <c r="I111" s="493"/>
      <c r="J111" s="493"/>
      <c r="K111" s="493"/>
      <c r="L111" s="493"/>
      <c r="M111" s="493"/>
    </row>
    <row r="112" spans="1:13" x14ac:dyDescent="0.25">
      <c r="A112" s="493"/>
      <c r="B112" s="493"/>
      <c r="C112" s="493"/>
      <c r="D112" s="493"/>
      <c r="E112" s="493"/>
      <c r="F112" s="493"/>
      <c r="G112" s="493"/>
      <c r="H112" s="493"/>
      <c r="I112" s="493"/>
      <c r="J112" s="493"/>
      <c r="K112" s="493"/>
      <c r="L112" s="493"/>
      <c r="M112" s="493"/>
    </row>
    <row r="113" spans="1:13" x14ac:dyDescent="0.25">
      <c r="A113" s="493"/>
      <c r="B113" s="493"/>
      <c r="C113" s="493"/>
      <c r="D113" s="493"/>
      <c r="E113" s="493"/>
      <c r="F113" s="493"/>
      <c r="G113" s="493"/>
      <c r="H113" s="493"/>
      <c r="I113" s="493"/>
      <c r="J113" s="493"/>
      <c r="K113" s="493"/>
      <c r="L113" s="493"/>
      <c r="M113" s="493"/>
    </row>
    <row r="114" spans="1:13" x14ac:dyDescent="0.25">
      <c r="A114" s="493"/>
      <c r="B114" s="493"/>
      <c r="C114" s="493"/>
      <c r="D114" s="493"/>
      <c r="E114" s="493"/>
      <c r="F114" s="493"/>
      <c r="G114" s="493"/>
      <c r="H114" s="493"/>
      <c r="I114" s="493"/>
      <c r="J114" s="493"/>
      <c r="K114" s="493"/>
      <c r="L114" s="493"/>
      <c r="M114" s="493"/>
    </row>
    <row r="115" spans="1:13" x14ac:dyDescent="0.25">
      <c r="A115" s="493"/>
      <c r="B115" s="493"/>
      <c r="C115" s="493"/>
      <c r="D115" s="493"/>
      <c r="E115" s="493"/>
      <c r="F115" s="493"/>
      <c r="G115" s="493"/>
      <c r="H115" s="493"/>
      <c r="I115" s="493"/>
      <c r="J115" s="493"/>
      <c r="K115" s="493"/>
      <c r="L115" s="493"/>
      <c r="M115" s="493"/>
    </row>
    <row r="116" spans="1:13" x14ac:dyDescent="0.25">
      <c r="A116" s="493"/>
      <c r="B116" s="493"/>
      <c r="C116" s="493"/>
      <c r="D116" s="493"/>
      <c r="E116" s="493"/>
      <c r="F116" s="493"/>
      <c r="G116" s="493"/>
      <c r="H116" s="493"/>
      <c r="I116" s="493"/>
      <c r="J116" s="493"/>
      <c r="K116" s="493"/>
      <c r="L116" s="493"/>
      <c r="M116" s="493"/>
    </row>
    <row r="117" spans="1:13" x14ac:dyDescent="0.25">
      <c r="A117" s="493"/>
      <c r="B117" s="493"/>
      <c r="C117" s="493"/>
      <c r="D117" s="493"/>
      <c r="E117" s="493"/>
      <c r="F117" s="493"/>
      <c r="G117" s="493"/>
      <c r="H117" s="493"/>
      <c r="I117" s="493"/>
      <c r="J117" s="493"/>
      <c r="K117" s="493"/>
      <c r="L117" s="493"/>
      <c r="M117" s="493"/>
    </row>
    <row r="118" spans="1:13" x14ac:dyDescent="0.25">
      <c r="A118" s="493"/>
      <c r="B118" s="493"/>
      <c r="C118" s="493"/>
      <c r="D118" s="493"/>
      <c r="E118" s="493"/>
      <c r="F118" s="493"/>
      <c r="G118" s="493"/>
      <c r="H118" s="493"/>
      <c r="I118" s="493"/>
      <c r="J118" s="493"/>
      <c r="K118" s="493"/>
      <c r="L118" s="493"/>
      <c r="M118" s="493"/>
    </row>
    <row r="119" spans="1:13" x14ac:dyDescent="0.25">
      <c r="A119" s="493"/>
      <c r="B119" s="493"/>
      <c r="C119" s="493"/>
      <c r="D119" s="493"/>
      <c r="E119" s="493"/>
      <c r="F119" s="493"/>
      <c r="G119" s="493"/>
      <c r="H119" s="493"/>
      <c r="I119" s="493"/>
      <c r="J119" s="493"/>
      <c r="K119" s="493"/>
      <c r="L119" s="493"/>
      <c r="M119" s="493"/>
    </row>
    <row r="120" spans="1:13" x14ac:dyDescent="0.25">
      <c r="A120" s="493"/>
      <c r="B120" s="493"/>
      <c r="C120" s="493"/>
      <c r="D120" s="493"/>
      <c r="E120" s="493"/>
      <c r="F120" s="493"/>
      <c r="G120" s="493"/>
      <c r="H120" s="493"/>
      <c r="I120" s="493"/>
      <c r="J120" s="493"/>
      <c r="K120" s="493"/>
      <c r="L120" s="493"/>
      <c r="M120" s="493"/>
    </row>
    <row r="121" spans="1:13" x14ac:dyDescent="0.25">
      <c r="A121" s="493"/>
      <c r="B121" s="493"/>
      <c r="C121" s="493"/>
      <c r="D121" s="493"/>
      <c r="E121" s="493"/>
      <c r="F121" s="493"/>
      <c r="G121" s="493"/>
      <c r="H121" s="493"/>
      <c r="I121" s="493"/>
      <c r="J121" s="493"/>
      <c r="K121" s="493"/>
      <c r="L121" s="493"/>
      <c r="M121" s="493"/>
    </row>
    <row r="122" spans="1:13" x14ac:dyDescent="0.25">
      <c r="A122" s="493"/>
      <c r="B122" s="493"/>
      <c r="C122" s="493"/>
      <c r="D122" s="493"/>
      <c r="E122" s="493"/>
      <c r="F122" s="493"/>
      <c r="G122" s="493"/>
      <c r="H122" s="493"/>
      <c r="I122" s="493"/>
      <c r="J122" s="493"/>
      <c r="K122" s="493"/>
      <c r="L122" s="493"/>
      <c r="M122" s="493"/>
    </row>
    <row r="123" spans="1:13" x14ac:dyDescent="0.25">
      <c r="A123" s="493"/>
      <c r="B123" s="493"/>
      <c r="C123" s="493"/>
      <c r="D123" s="493"/>
      <c r="E123" s="493"/>
      <c r="F123" s="493"/>
      <c r="G123" s="493"/>
      <c r="H123" s="493"/>
      <c r="I123" s="493"/>
      <c r="J123" s="493"/>
      <c r="K123" s="493"/>
      <c r="L123" s="493"/>
      <c r="M123" s="493"/>
    </row>
    <row r="124" spans="1:13" x14ac:dyDescent="0.25">
      <c r="A124" s="493"/>
      <c r="B124" s="493"/>
      <c r="C124" s="493"/>
      <c r="D124" s="493"/>
      <c r="E124" s="493"/>
      <c r="F124" s="493"/>
      <c r="G124" s="493"/>
      <c r="H124" s="493"/>
      <c r="I124" s="493"/>
      <c r="J124" s="493"/>
      <c r="K124" s="493"/>
      <c r="L124" s="493"/>
      <c r="M124" s="493"/>
    </row>
    <row r="125" spans="1:13" x14ac:dyDescent="0.25">
      <c r="A125" s="493"/>
      <c r="B125" s="493"/>
      <c r="C125" s="493"/>
      <c r="D125" s="493"/>
      <c r="E125" s="493"/>
      <c r="F125" s="493"/>
      <c r="G125" s="493"/>
      <c r="H125" s="493"/>
      <c r="I125" s="493"/>
      <c r="J125" s="493"/>
      <c r="K125" s="493"/>
      <c r="L125" s="493"/>
      <c r="M125" s="493"/>
    </row>
    <row r="126" spans="1:13" x14ac:dyDescent="0.25">
      <c r="A126" s="493"/>
      <c r="B126" s="493"/>
      <c r="C126" s="493"/>
      <c r="D126" s="493"/>
      <c r="E126" s="493"/>
      <c r="F126" s="493"/>
      <c r="G126" s="493"/>
      <c r="H126" s="493"/>
      <c r="I126" s="493"/>
      <c r="J126" s="493"/>
      <c r="K126" s="493"/>
      <c r="L126" s="493"/>
      <c r="M126" s="493"/>
    </row>
    <row r="127" spans="1:13" x14ac:dyDescent="0.25">
      <c r="A127" s="493"/>
      <c r="B127" s="493"/>
      <c r="C127" s="493"/>
      <c r="D127" s="493"/>
      <c r="E127" s="493"/>
      <c r="F127" s="493"/>
      <c r="G127" s="493"/>
      <c r="H127" s="493"/>
      <c r="I127" s="493"/>
      <c r="J127" s="493"/>
      <c r="K127" s="493"/>
      <c r="L127" s="493"/>
      <c r="M127" s="493"/>
    </row>
    <row r="128" spans="1:13" x14ac:dyDescent="0.25">
      <c r="A128" s="493"/>
      <c r="B128" s="493"/>
      <c r="C128" s="493"/>
      <c r="D128" s="493"/>
      <c r="E128" s="493"/>
      <c r="F128" s="493"/>
      <c r="G128" s="493"/>
      <c r="H128" s="493"/>
      <c r="I128" s="493"/>
      <c r="J128" s="493"/>
      <c r="K128" s="493"/>
      <c r="L128" s="493"/>
      <c r="M128" s="493"/>
    </row>
    <row r="129" spans="1:13" x14ac:dyDescent="0.25">
      <c r="A129" s="493"/>
      <c r="B129" s="493"/>
      <c r="C129" s="493"/>
      <c r="D129" s="493"/>
      <c r="E129" s="493"/>
      <c r="F129" s="493"/>
      <c r="G129" s="493"/>
      <c r="H129" s="493"/>
      <c r="I129" s="493"/>
      <c r="J129" s="493"/>
      <c r="K129" s="493"/>
      <c r="L129" s="493"/>
      <c r="M129" s="493"/>
    </row>
    <row r="130" spans="1:13" x14ac:dyDescent="0.25">
      <c r="A130" s="493"/>
      <c r="B130" s="493"/>
      <c r="C130" s="493"/>
      <c r="D130" s="493"/>
      <c r="E130" s="493"/>
      <c r="F130" s="493"/>
      <c r="G130" s="493"/>
      <c r="H130" s="493"/>
      <c r="I130" s="493"/>
      <c r="J130" s="493"/>
      <c r="K130" s="493"/>
      <c r="L130" s="493"/>
      <c r="M130" s="493"/>
    </row>
    <row r="131" spans="1:13" x14ac:dyDescent="0.25">
      <c r="A131" s="493"/>
      <c r="B131" s="493"/>
      <c r="C131" s="493"/>
      <c r="D131" s="493"/>
      <c r="E131" s="493"/>
      <c r="F131" s="493"/>
      <c r="G131" s="493"/>
      <c r="H131" s="493"/>
      <c r="I131" s="493"/>
      <c r="J131" s="493"/>
      <c r="K131" s="493"/>
      <c r="L131" s="493"/>
      <c r="M131" s="493"/>
    </row>
    <row r="132" spans="1:13" x14ac:dyDescent="0.25">
      <c r="A132" s="493"/>
      <c r="B132" s="493"/>
      <c r="C132" s="493"/>
      <c r="D132" s="493"/>
      <c r="E132" s="493"/>
      <c r="F132" s="493"/>
      <c r="G132" s="493"/>
      <c r="H132" s="493"/>
      <c r="I132" s="493"/>
      <c r="J132" s="493"/>
      <c r="K132" s="493"/>
      <c r="L132" s="493"/>
      <c r="M132" s="493"/>
    </row>
    <row r="133" spans="1:13" x14ac:dyDescent="0.25">
      <c r="A133" s="493"/>
      <c r="B133" s="493"/>
      <c r="C133" s="493"/>
      <c r="D133" s="493"/>
      <c r="E133" s="493"/>
      <c r="F133" s="493"/>
      <c r="G133" s="493"/>
      <c r="H133" s="493"/>
      <c r="I133" s="493"/>
      <c r="J133" s="493"/>
      <c r="K133" s="493"/>
      <c r="L133" s="493"/>
      <c r="M133" s="493"/>
    </row>
    <row r="134" spans="1:13" x14ac:dyDescent="0.25">
      <c r="A134" s="493"/>
      <c r="B134" s="493"/>
      <c r="C134" s="493"/>
      <c r="D134" s="493"/>
      <c r="E134" s="493"/>
      <c r="F134" s="493"/>
      <c r="G134" s="493"/>
      <c r="H134" s="493"/>
      <c r="I134" s="493"/>
      <c r="J134" s="493"/>
      <c r="K134" s="493"/>
      <c r="L134" s="493"/>
      <c r="M134" s="493"/>
    </row>
    <row r="135" spans="1:13" x14ac:dyDescent="0.25">
      <c r="A135" s="493"/>
      <c r="B135" s="493"/>
      <c r="C135" s="493"/>
      <c r="D135" s="493"/>
      <c r="E135" s="493"/>
      <c r="F135" s="493"/>
      <c r="G135" s="493"/>
      <c r="H135" s="493"/>
      <c r="I135" s="493"/>
      <c r="J135" s="493"/>
      <c r="K135" s="493"/>
      <c r="L135" s="493"/>
      <c r="M135" s="493"/>
    </row>
    <row r="136" spans="1:13" x14ac:dyDescent="0.25">
      <c r="A136" s="493"/>
      <c r="B136" s="493"/>
      <c r="C136" s="493"/>
      <c r="D136" s="493"/>
      <c r="E136" s="493"/>
      <c r="F136" s="493"/>
      <c r="G136" s="493"/>
      <c r="H136" s="493"/>
      <c r="I136" s="493"/>
      <c r="J136" s="493"/>
      <c r="K136" s="493"/>
      <c r="L136" s="493"/>
      <c r="M136" s="493"/>
    </row>
    <row r="137" spans="1:13" x14ac:dyDescent="0.25">
      <c r="A137" s="493"/>
      <c r="B137" s="493"/>
      <c r="C137" s="493"/>
      <c r="D137" s="493"/>
      <c r="E137" s="493"/>
      <c r="F137" s="493"/>
      <c r="G137" s="493"/>
      <c r="H137" s="493"/>
      <c r="I137" s="493"/>
      <c r="J137" s="493"/>
      <c r="K137" s="493"/>
      <c r="L137" s="493"/>
      <c r="M137" s="493"/>
    </row>
    <row r="138" spans="1:13" x14ac:dyDescent="0.25">
      <c r="A138" s="493"/>
      <c r="B138" s="493"/>
      <c r="C138" s="493"/>
      <c r="D138" s="493"/>
      <c r="E138" s="493"/>
      <c r="F138" s="493"/>
      <c r="G138" s="493"/>
      <c r="H138" s="493"/>
      <c r="I138" s="493"/>
      <c r="J138" s="493"/>
      <c r="K138" s="493"/>
      <c r="L138" s="493"/>
      <c r="M138" s="493"/>
    </row>
    <row r="139" spans="1:13" x14ac:dyDescent="0.25">
      <c r="A139" s="493"/>
      <c r="B139" s="493"/>
      <c r="C139" s="493"/>
      <c r="D139" s="493"/>
      <c r="E139" s="493"/>
      <c r="F139" s="493"/>
      <c r="G139" s="493"/>
      <c r="H139" s="493"/>
      <c r="I139" s="493"/>
      <c r="J139" s="493"/>
      <c r="K139" s="493"/>
      <c r="L139" s="493"/>
      <c r="M139" s="493"/>
    </row>
    <row r="140" spans="1:13" x14ac:dyDescent="0.25">
      <c r="A140" s="493"/>
      <c r="B140" s="493"/>
      <c r="C140" s="493"/>
      <c r="D140" s="493"/>
      <c r="E140" s="493"/>
      <c r="F140" s="493"/>
      <c r="G140" s="493"/>
      <c r="H140" s="493"/>
      <c r="I140" s="493"/>
      <c r="J140" s="493"/>
      <c r="K140" s="493"/>
      <c r="L140" s="493"/>
      <c r="M140" s="493"/>
    </row>
    <row r="141" spans="1:13" x14ac:dyDescent="0.25">
      <c r="A141" s="493"/>
      <c r="B141" s="493"/>
      <c r="C141" s="493"/>
      <c r="D141" s="493"/>
      <c r="E141" s="493"/>
      <c r="F141" s="493"/>
      <c r="G141" s="493"/>
      <c r="H141" s="493"/>
      <c r="I141" s="493"/>
      <c r="J141" s="493"/>
      <c r="K141" s="493"/>
      <c r="L141" s="493"/>
      <c r="M141" s="493"/>
    </row>
    <row r="142" spans="1:13" x14ac:dyDescent="0.25">
      <c r="A142" s="493"/>
      <c r="B142" s="493"/>
      <c r="C142" s="493"/>
      <c r="D142" s="493"/>
      <c r="E142" s="493"/>
      <c r="F142" s="493"/>
      <c r="G142" s="493"/>
      <c r="H142" s="493"/>
      <c r="I142" s="493"/>
      <c r="J142" s="493"/>
      <c r="K142" s="493"/>
      <c r="L142" s="493"/>
      <c r="M142" s="493"/>
    </row>
    <row r="143" spans="1:13" x14ac:dyDescent="0.25">
      <c r="A143" s="493"/>
      <c r="B143" s="493"/>
      <c r="C143" s="493"/>
      <c r="D143" s="493"/>
      <c r="E143" s="493"/>
      <c r="F143" s="493"/>
      <c r="G143" s="493"/>
      <c r="H143" s="493"/>
      <c r="I143" s="493"/>
      <c r="J143" s="493"/>
      <c r="K143" s="493"/>
      <c r="L143" s="493"/>
      <c r="M143" s="493"/>
    </row>
    <row r="144" spans="1:13" x14ac:dyDescent="0.25">
      <c r="A144" s="493"/>
      <c r="B144" s="493"/>
      <c r="C144" s="493"/>
      <c r="D144" s="493"/>
      <c r="E144" s="493"/>
      <c r="F144" s="493"/>
      <c r="G144" s="493"/>
      <c r="H144" s="493"/>
      <c r="I144" s="493"/>
      <c r="J144" s="493"/>
      <c r="K144" s="493"/>
      <c r="L144" s="493"/>
      <c r="M144" s="493"/>
    </row>
    <row r="145" spans="1:13" x14ac:dyDescent="0.25">
      <c r="A145" s="493"/>
      <c r="B145" s="493"/>
      <c r="C145" s="493"/>
      <c r="D145" s="493"/>
      <c r="E145" s="493"/>
      <c r="F145" s="493"/>
      <c r="G145" s="493"/>
      <c r="H145" s="493"/>
      <c r="I145" s="493"/>
      <c r="J145" s="493"/>
      <c r="K145" s="493"/>
      <c r="L145" s="493"/>
      <c r="M145" s="493"/>
    </row>
    <row r="146" spans="1:13" x14ac:dyDescent="0.25">
      <c r="A146" s="493"/>
      <c r="B146" s="493"/>
      <c r="C146" s="493"/>
      <c r="D146" s="493"/>
      <c r="E146" s="493"/>
      <c r="F146" s="493"/>
      <c r="G146" s="493"/>
      <c r="H146" s="493"/>
      <c r="I146" s="493"/>
      <c r="J146" s="493"/>
      <c r="K146" s="493"/>
      <c r="L146" s="493"/>
      <c r="M146" s="493"/>
    </row>
    <row r="147" spans="1:13" x14ac:dyDescent="0.25">
      <c r="A147" s="493"/>
      <c r="B147" s="493"/>
      <c r="C147" s="493"/>
      <c r="D147" s="493"/>
      <c r="E147" s="493"/>
      <c r="F147" s="493"/>
      <c r="G147" s="493"/>
      <c r="H147" s="493"/>
      <c r="I147" s="493"/>
      <c r="J147" s="493"/>
      <c r="K147" s="493"/>
      <c r="L147" s="493"/>
      <c r="M147" s="493"/>
    </row>
    <row r="148" spans="1:13" x14ac:dyDescent="0.25">
      <c r="A148" s="493"/>
      <c r="B148" s="493"/>
      <c r="C148" s="493"/>
      <c r="D148" s="493"/>
      <c r="E148" s="493"/>
      <c r="F148" s="493"/>
      <c r="G148" s="493"/>
      <c r="H148" s="493"/>
      <c r="I148" s="493"/>
      <c r="J148" s="493"/>
      <c r="K148" s="493"/>
      <c r="L148" s="493"/>
      <c r="M148" s="493"/>
    </row>
    <row r="149" spans="1:13" x14ac:dyDescent="0.25">
      <c r="A149" s="493"/>
      <c r="B149" s="493"/>
      <c r="C149" s="493"/>
      <c r="D149" s="493"/>
      <c r="E149" s="493"/>
      <c r="F149" s="493"/>
      <c r="G149" s="493"/>
      <c r="H149" s="493"/>
      <c r="I149" s="493"/>
      <c r="J149" s="493"/>
      <c r="K149" s="493"/>
      <c r="L149" s="493"/>
      <c r="M149" s="493"/>
    </row>
    <row r="150" spans="1:13" x14ac:dyDescent="0.25">
      <c r="A150" s="493"/>
      <c r="B150" s="493"/>
      <c r="C150" s="493"/>
      <c r="D150" s="493"/>
      <c r="E150" s="493"/>
      <c r="F150" s="493"/>
      <c r="G150" s="493"/>
      <c r="H150" s="493"/>
      <c r="I150" s="493"/>
      <c r="J150" s="493"/>
      <c r="K150" s="493"/>
      <c r="L150" s="493"/>
      <c r="M150" s="493"/>
    </row>
    <row r="151" spans="1:13" x14ac:dyDescent="0.25">
      <c r="A151" s="493"/>
      <c r="B151" s="493"/>
      <c r="C151" s="493"/>
      <c r="D151" s="493"/>
      <c r="E151" s="493"/>
      <c r="F151" s="493"/>
      <c r="G151" s="493"/>
      <c r="H151" s="493"/>
      <c r="I151" s="493"/>
      <c r="J151" s="493"/>
      <c r="K151" s="493"/>
      <c r="L151" s="493"/>
      <c r="M151" s="493"/>
    </row>
    <row r="152" spans="1:13" x14ac:dyDescent="0.25">
      <c r="A152" s="493"/>
      <c r="B152" s="493"/>
      <c r="C152" s="493"/>
      <c r="D152" s="493"/>
      <c r="E152" s="493"/>
      <c r="F152" s="493"/>
      <c r="G152" s="493"/>
      <c r="H152" s="493"/>
      <c r="I152" s="493"/>
      <c r="J152" s="493"/>
      <c r="K152" s="493"/>
      <c r="L152" s="493"/>
      <c r="M152" s="493"/>
    </row>
    <row r="153" spans="1:13" x14ac:dyDescent="0.25">
      <c r="A153" s="493"/>
      <c r="B153" s="493"/>
      <c r="C153" s="493"/>
      <c r="D153" s="493"/>
      <c r="E153" s="493"/>
      <c r="F153" s="493"/>
      <c r="G153" s="493"/>
      <c r="H153" s="493"/>
      <c r="I153" s="493"/>
      <c r="J153" s="493"/>
      <c r="K153" s="493"/>
      <c r="L153" s="493"/>
      <c r="M153" s="493"/>
    </row>
    <row r="154" spans="1:13" x14ac:dyDescent="0.25">
      <c r="A154" s="493"/>
      <c r="B154" s="493"/>
      <c r="C154" s="493"/>
      <c r="D154" s="493"/>
      <c r="E154" s="493"/>
      <c r="F154" s="493"/>
      <c r="G154" s="493"/>
      <c r="H154" s="493"/>
      <c r="I154" s="493"/>
      <c r="J154" s="493"/>
      <c r="K154" s="493"/>
      <c r="L154" s="493"/>
      <c r="M154" s="493"/>
    </row>
    <row r="155" spans="1:13" x14ac:dyDescent="0.25">
      <c r="A155" s="493"/>
      <c r="B155" s="493"/>
      <c r="C155" s="493"/>
      <c r="D155" s="493"/>
      <c r="E155" s="493"/>
      <c r="F155" s="493"/>
      <c r="G155" s="493"/>
      <c r="H155" s="493"/>
      <c r="I155" s="493"/>
      <c r="J155" s="493"/>
      <c r="K155" s="493"/>
      <c r="L155" s="493"/>
      <c r="M155" s="493"/>
    </row>
    <row r="156" spans="1:13" x14ac:dyDescent="0.25">
      <c r="A156" s="493"/>
      <c r="B156" s="493"/>
      <c r="C156" s="493"/>
      <c r="D156" s="493"/>
      <c r="E156" s="493"/>
      <c r="F156" s="493"/>
      <c r="G156" s="493"/>
      <c r="H156" s="493"/>
      <c r="I156" s="493"/>
      <c r="J156" s="493"/>
      <c r="K156" s="493"/>
      <c r="L156" s="493"/>
      <c r="M156" s="493"/>
    </row>
    <row r="157" spans="1:13" x14ac:dyDescent="0.25">
      <c r="A157" s="493"/>
      <c r="B157" s="493"/>
      <c r="C157" s="493"/>
      <c r="D157" s="493"/>
      <c r="E157" s="493"/>
      <c r="F157" s="493"/>
      <c r="G157" s="493"/>
      <c r="H157" s="493"/>
      <c r="I157" s="493"/>
      <c r="J157" s="493"/>
      <c r="K157" s="493"/>
      <c r="L157" s="493"/>
      <c r="M157" s="493"/>
    </row>
    <row r="158" spans="1:13" x14ac:dyDescent="0.25">
      <c r="A158" s="493"/>
      <c r="B158" s="493"/>
      <c r="C158" s="493"/>
      <c r="D158" s="493"/>
      <c r="E158" s="493"/>
      <c r="F158" s="493"/>
      <c r="G158" s="493"/>
      <c r="H158" s="493"/>
      <c r="I158" s="493"/>
      <c r="J158" s="493"/>
      <c r="K158" s="493"/>
      <c r="L158" s="493"/>
      <c r="M158" s="493"/>
    </row>
    <row r="159" spans="1:13" x14ac:dyDescent="0.25">
      <c r="A159" s="493"/>
      <c r="B159" s="493"/>
      <c r="C159" s="493"/>
      <c r="D159" s="493"/>
      <c r="E159" s="493"/>
      <c r="F159" s="493"/>
      <c r="G159" s="493"/>
      <c r="H159" s="493"/>
      <c r="I159" s="493"/>
      <c r="J159" s="493"/>
      <c r="K159" s="493"/>
      <c r="L159" s="493"/>
      <c r="M159" s="493"/>
    </row>
    <row r="160" spans="1:13" x14ac:dyDescent="0.25">
      <c r="A160" s="493"/>
      <c r="B160" s="493"/>
      <c r="C160" s="493"/>
      <c r="D160" s="493"/>
      <c r="E160" s="493"/>
      <c r="F160" s="493"/>
      <c r="G160" s="493"/>
      <c r="H160" s="493"/>
      <c r="I160" s="493"/>
      <c r="J160" s="493"/>
      <c r="K160" s="493"/>
      <c r="L160" s="493"/>
      <c r="M160" s="493"/>
    </row>
    <row r="161" spans="1:13" x14ac:dyDescent="0.25">
      <c r="A161" s="493"/>
      <c r="B161" s="493"/>
      <c r="C161" s="493"/>
      <c r="D161" s="493"/>
      <c r="E161" s="493"/>
      <c r="F161" s="493"/>
      <c r="G161" s="493"/>
      <c r="H161" s="493"/>
      <c r="I161" s="493"/>
      <c r="J161" s="493"/>
      <c r="K161" s="493"/>
      <c r="L161" s="493"/>
      <c r="M161" s="493"/>
    </row>
    <row r="162" spans="1:13" x14ac:dyDescent="0.25">
      <c r="A162" s="493"/>
      <c r="B162" s="493"/>
      <c r="C162" s="493"/>
      <c r="D162" s="493"/>
      <c r="E162" s="493"/>
      <c r="F162" s="493"/>
      <c r="G162" s="493"/>
      <c r="H162" s="493"/>
      <c r="I162" s="493"/>
      <c r="J162" s="493"/>
      <c r="K162" s="493"/>
      <c r="L162" s="493"/>
      <c r="M162" s="493"/>
    </row>
    <row r="163" spans="1:13" x14ac:dyDescent="0.25">
      <c r="A163" s="493"/>
      <c r="B163" s="493"/>
      <c r="C163" s="493"/>
      <c r="D163" s="493"/>
      <c r="E163" s="493"/>
      <c r="F163" s="493"/>
      <c r="G163" s="493"/>
      <c r="H163" s="493"/>
      <c r="I163" s="493"/>
      <c r="J163" s="493"/>
      <c r="K163" s="493"/>
      <c r="L163" s="493"/>
      <c r="M163" s="493"/>
    </row>
    <row r="164" spans="1:13" x14ac:dyDescent="0.25">
      <c r="A164" s="493"/>
      <c r="B164" s="493"/>
      <c r="C164" s="493"/>
      <c r="D164" s="493"/>
      <c r="E164" s="493"/>
      <c r="F164" s="493"/>
      <c r="G164" s="493"/>
      <c r="H164" s="493"/>
      <c r="I164" s="493"/>
      <c r="J164" s="493"/>
      <c r="K164" s="493"/>
      <c r="L164" s="493"/>
      <c r="M164" s="493"/>
    </row>
    <row r="165" spans="1:13" x14ac:dyDescent="0.25">
      <c r="A165" s="493"/>
      <c r="B165" s="493"/>
      <c r="C165" s="493"/>
      <c r="D165" s="493"/>
      <c r="E165" s="493"/>
      <c r="F165" s="493"/>
      <c r="G165" s="493"/>
      <c r="H165" s="493"/>
      <c r="I165" s="493"/>
      <c r="J165" s="493"/>
      <c r="K165" s="493"/>
      <c r="L165" s="493"/>
      <c r="M165" s="493"/>
    </row>
    <row r="166" spans="1:13" x14ac:dyDescent="0.25">
      <c r="A166" s="493"/>
      <c r="B166" s="493"/>
      <c r="C166" s="493"/>
      <c r="D166" s="493"/>
      <c r="E166" s="493"/>
      <c r="F166" s="493"/>
      <c r="G166" s="493"/>
      <c r="H166" s="493"/>
      <c r="I166" s="493"/>
      <c r="J166" s="493"/>
      <c r="K166" s="493"/>
      <c r="L166" s="493"/>
      <c r="M166" s="493"/>
    </row>
    <row r="167" spans="1:13" x14ac:dyDescent="0.25">
      <c r="A167" s="493"/>
      <c r="B167" s="493"/>
      <c r="C167" s="493"/>
      <c r="D167" s="493"/>
      <c r="E167" s="493"/>
      <c r="F167" s="493"/>
      <c r="G167" s="493"/>
      <c r="H167" s="493"/>
      <c r="I167" s="493"/>
      <c r="J167" s="493"/>
      <c r="K167" s="493"/>
      <c r="L167" s="493"/>
      <c r="M167" s="493"/>
    </row>
    <row r="168" spans="1:13" x14ac:dyDescent="0.25">
      <c r="A168" s="493"/>
      <c r="B168" s="493"/>
      <c r="C168" s="493"/>
      <c r="D168" s="493"/>
      <c r="E168" s="493"/>
      <c r="F168" s="493"/>
      <c r="G168" s="493"/>
      <c r="H168" s="493"/>
      <c r="I168" s="493"/>
      <c r="J168" s="493"/>
      <c r="K168" s="493"/>
      <c r="L168" s="493"/>
      <c r="M168" s="493"/>
    </row>
    <row r="169" spans="1:13" x14ac:dyDescent="0.25">
      <c r="A169" s="493"/>
      <c r="B169" s="493"/>
      <c r="C169" s="493"/>
      <c r="D169" s="493"/>
      <c r="E169" s="493"/>
      <c r="F169" s="493"/>
      <c r="G169" s="493"/>
      <c r="H169" s="493"/>
      <c r="I169" s="493"/>
      <c r="J169" s="493"/>
      <c r="K169" s="493"/>
      <c r="L169" s="493"/>
      <c r="M169" s="493"/>
    </row>
    <row r="170" spans="1:13" x14ac:dyDescent="0.25">
      <c r="A170" s="493"/>
      <c r="B170" s="493"/>
      <c r="C170" s="493"/>
      <c r="D170" s="493"/>
      <c r="E170" s="493"/>
      <c r="F170" s="493"/>
      <c r="G170" s="493"/>
      <c r="H170" s="493"/>
      <c r="I170" s="493"/>
      <c r="J170" s="493"/>
      <c r="K170" s="493"/>
      <c r="L170" s="493"/>
      <c r="M170" s="493"/>
    </row>
    <row r="171" spans="1:13" x14ac:dyDescent="0.25">
      <c r="A171" s="493"/>
      <c r="B171" s="493"/>
      <c r="C171" s="493"/>
      <c r="D171" s="493"/>
      <c r="E171" s="493"/>
      <c r="F171" s="493"/>
      <c r="G171" s="493"/>
      <c r="H171" s="493"/>
      <c r="I171" s="493"/>
      <c r="J171" s="493"/>
      <c r="K171" s="493"/>
      <c r="L171" s="493"/>
      <c r="M171" s="493"/>
    </row>
    <row r="172" spans="1:13" x14ac:dyDescent="0.25">
      <c r="A172" s="493"/>
      <c r="B172" s="493"/>
      <c r="C172" s="493"/>
      <c r="D172" s="493"/>
      <c r="E172" s="493"/>
      <c r="F172" s="493"/>
      <c r="G172" s="493"/>
      <c r="H172" s="493"/>
      <c r="I172" s="493"/>
      <c r="J172" s="493"/>
      <c r="K172" s="493"/>
      <c r="L172" s="493"/>
      <c r="M172" s="493"/>
    </row>
    <row r="173" spans="1:13" x14ac:dyDescent="0.25">
      <c r="A173" s="493"/>
      <c r="B173" s="493"/>
      <c r="C173" s="493"/>
      <c r="D173" s="493"/>
      <c r="E173" s="493"/>
      <c r="F173" s="493"/>
      <c r="G173" s="493"/>
      <c r="H173" s="493"/>
      <c r="I173" s="493"/>
      <c r="J173" s="493"/>
      <c r="K173" s="493"/>
      <c r="L173" s="493"/>
      <c r="M173" s="493"/>
    </row>
    <row r="174" spans="1:13" x14ac:dyDescent="0.25">
      <c r="A174" s="493"/>
      <c r="B174" s="493"/>
      <c r="C174" s="493"/>
      <c r="D174" s="493"/>
      <c r="E174" s="493"/>
      <c r="F174" s="493"/>
      <c r="G174" s="493"/>
      <c r="H174" s="493"/>
      <c r="I174" s="493"/>
      <c r="J174" s="493"/>
      <c r="K174" s="493"/>
      <c r="L174" s="493"/>
      <c r="M174" s="493"/>
    </row>
    <row r="175" spans="1:13" x14ac:dyDescent="0.25">
      <c r="A175" s="493"/>
      <c r="B175" s="493"/>
      <c r="C175" s="493"/>
      <c r="D175" s="493"/>
      <c r="E175" s="493"/>
      <c r="F175" s="493"/>
      <c r="G175" s="493"/>
      <c r="H175" s="493"/>
      <c r="I175" s="493"/>
      <c r="J175" s="493"/>
      <c r="K175" s="493"/>
      <c r="L175" s="493"/>
      <c r="M175" s="493"/>
    </row>
    <row r="176" spans="1:13" x14ac:dyDescent="0.25">
      <c r="A176" s="493"/>
      <c r="B176" s="493"/>
      <c r="C176" s="493"/>
      <c r="D176" s="493"/>
      <c r="E176" s="493"/>
      <c r="F176" s="493"/>
      <c r="G176" s="493"/>
      <c r="H176" s="493"/>
      <c r="I176" s="493"/>
      <c r="J176" s="493"/>
      <c r="K176" s="493"/>
      <c r="L176" s="493"/>
      <c r="M176" s="493"/>
    </row>
    <row r="177" spans="1:13" x14ac:dyDescent="0.25">
      <c r="A177" s="493"/>
      <c r="B177" s="493"/>
      <c r="C177" s="493"/>
      <c r="D177" s="493"/>
      <c r="E177" s="493"/>
      <c r="F177" s="493"/>
      <c r="G177" s="493"/>
      <c r="H177" s="493"/>
      <c r="I177" s="493"/>
      <c r="J177" s="493"/>
      <c r="K177" s="493"/>
      <c r="L177" s="493"/>
      <c r="M177" s="493"/>
    </row>
    <row r="178" spans="1:13" x14ac:dyDescent="0.25">
      <c r="A178" s="493"/>
      <c r="B178" s="493"/>
      <c r="C178" s="493"/>
      <c r="D178" s="493"/>
      <c r="E178" s="493"/>
      <c r="F178" s="493"/>
      <c r="G178" s="493"/>
      <c r="H178" s="493"/>
      <c r="I178" s="493"/>
      <c r="J178" s="493"/>
      <c r="K178" s="493"/>
      <c r="L178" s="493"/>
      <c r="M178" s="493"/>
    </row>
    <row r="179" spans="1:13" x14ac:dyDescent="0.25">
      <c r="A179" s="493"/>
      <c r="B179" s="493"/>
      <c r="C179" s="493"/>
      <c r="D179" s="493"/>
      <c r="E179" s="493"/>
      <c r="F179" s="493"/>
      <c r="G179" s="493"/>
      <c r="H179" s="493"/>
      <c r="I179" s="493"/>
      <c r="J179" s="493"/>
      <c r="K179" s="493"/>
      <c r="L179" s="493"/>
      <c r="M179" s="493"/>
    </row>
    <row r="180" spans="1:13" x14ac:dyDescent="0.25">
      <c r="A180" s="493"/>
      <c r="B180" s="493"/>
      <c r="C180" s="493"/>
      <c r="D180" s="493"/>
      <c r="E180" s="493"/>
      <c r="F180" s="493"/>
      <c r="G180" s="493"/>
      <c r="H180" s="493"/>
      <c r="I180" s="493"/>
      <c r="J180" s="493"/>
      <c r="K180" s="493"/>
      <c r="L180" s="493"/>
      <c r="M180" s="493"/>
    </row>
    <row r="181" spans="1:13" x14ac:dyDescent="0.25">
      <c r="A181" s="493"/>
      <c r="B181" s="493"/>
      <c r="C181" s="493"/>
      <c r="D181" s="493"/>
      <c r="E181" s="493"/>
      <c r="F181" s="493"/>
      <c r="G181" s="493"/>
      <c r="H181" s="493"/>
      <c r="I181" s="493"/>
      <c r="J181" s="493"/>
      <c r="K181" s="493"/>
      <c r="L181" s="493"/>
      <c r="M181" s="493"/>
    </row>
    <row r="182" spans="1:13" x14ac:dyDescent="0.25">
      <c r="A182" s="493"/>
      <c r="B182" s="493"/>
      <c r="C182" s="493"/>
      <c r="D182" s="493"/>
      <c r="E182" s="493"/>
      <c r="F182" s="493"/>
      <c r="G182" s="493"/>
      <c r="H182" s="493"/>
      <c r="I182" s="493"/>
      <c r="J182" s="493"/>
      <c r="K182" s="493"/>
      <c r="L182" s="493"/>
      <c r="M182" s="493"/>
    </row>
    <row r="183" spans="1:13" x14ac:dyDescent="0.25">
      <c r="A183" s="493"/>
      <c r="B183" s="493"/>
      <c r="C183" s="493"/>
      <c r="D183" s="493"/>
      <c r="E183" s="493"/>
      <c r="F183" s="493"/>
      <c r="G183" s="493"/>
      <c r="H183" s="493"/>
      <c r="I183" s="493"/>
      <c r="J183" s="493"/>
      <c r="K183" s="493"/>
      <c r="L183" s="493"/>
      <c r="M183" s="493"/>
    </row>
    <row r="184" spans="1:13" x14ac:dyDescent="0.25">
      <c r="A184" s="493"/>
      <c r="B184" s="493"/>
      <c r="C184" s="493"/>
      <c r="D184" s="493"/>
      <c r="E184" s="493"/>
      <c r="F184" s="493"/>
      <c r="G184" s="493"/>
      <c r="H184" s="493"/>
      <c r="I184" s="493"/>
      <c r="J184" s="493"/>
      <c r="K184" s="493"/>
      <c r="L184" s="493"/>
      <c r="M184" s="493"/>
    </row>
    <row r="185" spans="1:13" x14ac:dyDescent="0.25">
      <c r="A185" s="493"/>
      <c r="B185" s="493"/>
      <c r="C185" s="493"/>
      <c r="D185" s="493"/>
      <c r="E185" s="493"/>
      <c r="F185" s="493"/>
      <c r="G185" s="493"/>
      <c r="H185" s="493"/>
      <c r="I185" s="493"/>
      <c r="J185" s="493"/>
      <c r="K185" s="493"/>
      <c r="L185" s="493"/>
      <c r="M185" s="493"/>
    </row>
    <row r="186" spans="1:13" x14ac:dyDescent="0.25">
      <c r="A186" s="493"/>
      <c r="B186" s="493"/>
      <c r="C186" s="493"/>
      <c r="D186" s="493"/>
      <c r="E186" s="493"/>
      <c r="F186" s="493"/>
      <c r="G186" s="493"/>
      <c r="H186" s="493"/>
      <c r="I186" s="493"/>
      <c r="J186" s="493"/>
      <c r="K186" s="493"/>
      <c r="L186" s="493"/>
      <c r="M186" s="493"/>
    </row>
  </sheetData>
  <mergeCells count="12">
    <mergeCell ref="B5:C5"/>
    <mergeCell ref="I5:K5"/>
    <mergeCell ref="N5:O5"/>
    <mergeCell ref="S5:U5"/>
    <mergeCell ref="Y5:AA5"/>
    <mergeCell ref="A1:W1"/>
    <mergeCell ref="Y1:AB1"/>
    <mergeCell ref="A2:V2"/>
    <mergeCell ref="Y2:AB2"/>
    <mergeCell ref="B4:L4"/>
    <mergeCell ref="N4:V4"/>
    <mergeCell ref="Y4:AB4"/>
  </mergeCells>
  <pageMargins left="0.75" right="0.75" top="1" bottom="1" header="0.5" footer="0.5"/>
  <pageSetup paperSize="5" scale="76" orientation="landscape" r:id="rId1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45">
    <pageSetUpPr fitToPage="1"/>
  </sheetPr>
  <dimension ref="A1:AD187"/>
  <sheetViews>
    <sheetView zoomScaleNormal="100" workbookViewId="0">
      <selection activeCell="B9" sqref="B9"/>
    </sheetView>
  </sheetViews>
  <sheetFormatPr defaultColWidth="9.1796875" defaultRowHeight="12.5" x14ac:dyDescent="0.25"/>
  <cols>
    <col min="1" max="1" width="13" style="492" customWidth="1"/>
    <col min="2" max="2" width="7.54296875" style="492" customWidth="1"/>
    <col min="3" max="3" width="4.81640625" style="492" hidden="1" customWidth="1"/>
    <col min="4" max="4" width="8.54296875" style="492" bestFit="1" customWidth="1"/>
    <col min="5" max="5" width="12" style="492" bestFit="1" customWidth="1"/>
    <col min="6" max="6" width="11.1796875" style="492" customWidth="1"/>
    <col min="7" max="7" width="12" style="492" bestFit="1" customWidth="1"/>
    <col min="8" max="8" width="11.1796875" style="492" customWidth="1"/>
    <col min="9" max="9" width="11.54296875" style="492" hidden="1" customWidth="1"/>
    <col min="10" max="10" width="10.7265625" style="492" bestFit="1" customWidth="1"/>
    <col min="11" max="11" width="4.81640625" style="492" hidden="1" customWidth="1"/>
    <col min="12" max="12" width="12.54296875" style="492" customWidth="1"/>
    <col min="13" max="13" width="2.54296875" style="492" customWidth="1"/>
    <col min="14" max="14" width="7" style="492" customWidth="1"/>
    <col min="15" max="15" width="4.81640625" style="492" hidden="1" customWidth="1"/>
    <col min="16" max="16" width="8.54296875" style="492" bestFit="1" customWidth="1"/>
    <col min="17" max="17" width="11.7265625" style="492" bestFit="1" customWidth="1"/>
    <col min="18" max="18" width="9.81640625" style="492" bestFit="1" customWidth="1"/>
    <col min="19" max="19" width="10.7265625" style="492" hidden="1" customWidth="1"/>
    <col min="20" max="20" width="9.81640625" style="492" bestFit="1" customWidth="1"/>
    <col min="21" max="21" width="4.81640625" style="492" hidden="1" customWidth="1"/>
    <col min="22" max="22" width="10.7265625" style="492" bestFit="1" customWidth="1"/>
    <col min="23" max="23" width="2.7265625" style="492" customWidth="1"/>
    <col min="24" max="24" width="13.81640625" style="492" bestFit="1" customWidth="1"/>
    <col min="25" max="25" width="12.81640625" style="492" hidden="1" customWidth="1"/>
    <col min="26" max="26" width="10.7265625" style="492" bestFit="1" customWidth="1"/>
    <col min="27" max="27" width="4.81640625" style="492" hidden="1" customWidth="1"/>
    <col min="28" max="28" width="10.7265625" style="492" bestFit="1" customWidth="1"/>
    <col min="29" max="29" width="11.81640625" style="492" customWidth="1"/>
    <col min="30" max="30" width="9.7265625" style="492" bestFit="1" customWidth="1"/>
    <col min="31" max="16384" width="9.1796875" style="492"/>
  </cols>
  <sheetData>
    <row r="1" spans="1:30" ht="13" x14ac:dyDescent="0.3">
      <c r="A1" s="813" t="s">
        <v>497</v>
      </c>
      <c r="B1" s="813"/>
      <c r="C1" s="813"/>
      <c r="D1" s="813"/>
      <c r="E1" s="813"/>
      <c r="F1" s="813"/>
      <c r="G1" s="813"/>
      <c r="H1" s="813"/>
      <c r="I1" s="813"/>
      <c r="J1" s="813"/>
      <c r="K1" s="813"/>
      <c r="L1" s="813"/>
      <c r="M1" s="813"/>
      <c r="N1" s="813"/>
      <c r="O1" s="813"/>
      <c r="P1" s="813"/>
      <c r="Q1" s="813"/>
      <c r="R1" s="813"/>
      <c r="S1" s="813"/>
      <c r="T1" s="813"/>
      <c r="U1" s="813"/>
      <c r="V1" s="813"/>
      <c r="W1" s="813"/>
      <c r="X1" s="491"/>
      <c r="Y1" s="823"/>
      <c r="Z1" s="823"/>
      <c r="AA1" s="823"/>
      <c r="AB1" s="823"/>
    </row>
    <row r="2" spans="1:30" ht="13" x14ac:dyDescent="0.3">
      <c r="A2" s="815">
        <f>'[100]Sales Forecast'!I6</f>
        <v>43800</v>
      </c>
      <c r="B2" s="815"/>
      <c r="C2" s="815"/>
      <c r="D2" s="815"/>
      <c r="E2" s="815"/>
      <c r="F2" s="815"/>
      <c r="G2" s="815"/>
      <c r="H2" s="815"/>
      <c r="I2" s="815"/>
      <c r="J2" s="815"/>
      <c r="K2" s="815"/>
      <c r="L2" s="815"/>
      <c r="M2" s="815"/>
      <c r="N2" s="815"/>
      <c r="O2" s="815"/>
      <c r="P2" s="815"/>
      <c r="Q2" s="815"/>
      <c r="R2" s="815"/>
      <c r="S2" s="815"/>
      <c r="T2" s="815"/>
      <c r="U2" s="815"/>
      <c r="V2" s="815"/>
      <c r="Y2" s="824"/>
      <c r="Z2" s="824"/>
      <c r="AA2" s="824"/>
      <c r="AB2" s="824"/>
    </row>
    <row r="3" spans="1:30" ht="13" thickBot="1" x14ac:dyDescent="0.3">
      <c r="A3" s="493"/>
      <c r="B3" s="493"/>
      <c r="C3" s="493"/>
      <c r="D3" s="493"/>
      <c r="E3" s="493"/>
      <c r="F3" s="493"/>
      <c r="G3" s="493"/>
      <c r="H3" s="493"/>
      <c r="I3" s="493"/>
      <c r="J3" s="493"/>
      <c r="K3" s="493"/>
      <c r="L3" s="493"/>
      <c r="M3" s="493"/>
    </row>
    <row r="4" spans="1:30" ht="13.5" thickBot="1" x14ac:dyDescent="0.35">
      <c r="A4" s="493"/>
      <c r="B4" s="825" t="s">
        <v>498</v>
      </c>
      <c r="C4" s="826"/>
      <c r="D4" s="826"/>
      <c r="E4" s="826"/>
      <c r="F4" s="826"/>
      <c r="G4" s="826"/>
      <c r="H4" s="826"/>
      <c r="I4" s="826"/>
      <c r="J4" s="826"/>
      <c r="K4" s="826"/>
      <c r="L4" s="826"/>
      <c r="M4" s="493"/>
      <c r="N4" s="825" t="s">
        <v>499</v>
      </c>
      <c r="O4" s="826"/>
      <c r="P4" s="826"/>
      <c r="Q4" s="826"/>
      <c r="R4" s="826"/>
      <c r="S4" s="826"/>
      <c r="T4" s="826"/>
      <c r="U4" s="826"/>
      <c r="V4" s="826"/>
      <c r="Y4" s="827" t="s">
        <v>500</v>
      </c>
      <c r="Z4" s="828"/>
      <c r="AA4" s="828"/>
      <c r="AB4" s="828"/>
      <c r="AC4" s="494"/>
    </row>
    <row r="5" spans="1:30" x14ac:dyDescent="0.25">
      <c r="A5" s="493"/>
      <c r="B5" s="829" t="s">
        <v>501</v>
      </c>
      <c r="C5" s="829"/>
      <c r="D5" s="495" t="s">
        <v>284</v>
      </c>
      <c r="E5" s="495" t="s">
        <v>162</v>
      </c>
      <c r="F5" s="495" t="s">
        <v>162</v>
      </c>
      <c r="G5" s="495" t="s">
        <v>283</v>
      </c>
      <c r="H5" s="495" t="s">
        <v>283</v>
      </c>
      <c r="I5" s="829" t="s">
        <v>502</v>
      </c>
      <c r="J5" s="829"/>
      <c r="K5" s="829"/>
      <c r="L5" s="496" t="s">
        <v>503</v>
      </c>
      <c r="M5" s="493"/>
      <c r="N5" s="829" t="s">
        <v>501</v>
      </c>
      <c r="O5" s="829"/>
      <c r="P5" s="495" t="str">
        <f>D5</f>
        <v>Capacity</v>
      </c>
      <c r="Q5" s="495" t="s">
        <v>260</v>
      </c>
      <c r="R5" s="495" t="s">
        <v>260</v>
      </c>
      <c r="S5" s="829" t="s">
        <v>504</v>
      </c>
      <c r="T5" s="829"/>
      <c r="U5" s="829"/>
      <c r="V5" s="496" t="s">
        <v>505</v>
      </c>
      <c r="Y5" s="830" t="s">
        <v>506</v>
      </c>
      <c r="Z5" s="830"/>
      <c r="AA5" s="830"/>
      <c r="AB5" s="496" t="s">
        <v>507</v>
      </c>
      <c r="AC5" s="497"/>
    </row>
    <row r="6" spans="1:30" x14ac:dyDescent="0.25">
      <c r="A6" s="493" t="s">
        <v>508</v>
      </c>
      <c r="B6" s="498" t="s">
        <v>368</v>
      </c>
      <c r="C6" s="498" t="s">
        <v>366</v>
      </c>
      <c r="D6" s="498" t="s">
        <v>366</v>
      </c>
      <c r="E6" s="498" t="s">
        <v>509</v>
      </c>
      <c r="F6" s="498" t="s">
        <v>135</v>
      </c>
      <c r="G6" s="498" t="s">
        <v>509</v>
      </c>
      <c r="H6" s="498" t="s">
        <v>135</v>
      </c>
      <c r="I6" s="498" t="s">
        <v>510</v>
      </c>
      <c r="J6" s="498" t="str">
        <f>D5</f>
        <v>Capacity</v>
      </c>
      <c r="K6" s="498" t="s">
        <v>162</v>
      </c>
      <c r="L6" s="498" t="s">
        <v>162</v>
      </c>
      <c r="M6" s="499"/>
      <c r="N6" s="498" t="s">
        <v>368</v>
      </c>
      <c r="O6" s="498" t="s">
        <v>366</v>
      </c>
      <c r="P6" s="498" t="s">
        <v>366</v>
      </c>
      <c r="Q6" s="498" t="s">
        <v>509</v>
      </c>
      <c r="R6" s="498" t="s">
        <v>135</v>
      </c>
      <c r="S6" s="498" t="s">
        <v>510</v>
      </c>
      <c r="T6" s="498" t="str">
        <f>J6</f>
        <v>Capacity</v>
      </c>
      <c r="U6" s="498" t="s">
        <v>162</v>
      </c>
      <c r="V6" s="498" t="s">
        <v>162</v>
      </c>
      <c r="X6" s="498" t="s">
        <v>508</v>
      </c>
      <c r="Y6" s="498" t="s">
        <v>510</v>
      </c>
      <c r="Z6" s="498" t="str">
        <f>T6</f>
        <v>Capacity</v>
      </c>
      <c r="AA6" s="498" t="s">
        <v>162</v>
      </c>
      <c r="AB6" s="498" t="s">
        <v>162</v>
      </c>
      <c r="AC6" s="498"/>
    </row>
    <row r="7" spans="1:30" x14ac:dyDescent="0.25">
      <c r="A7" s="493"/>
      <c r="B7" s="493"/>
      <c r="C7" s="493"/>
      <c r="D7" s="493"/>
      <c r="E7" s="493"/>
      <c r="F7" s="493"/>
      <c r="G7" s="493"/>
      <c r="H7" s="493"/>
      <c r="I7" s="493"/>
      <c r="J7" s="493"/>
      <c r="K7" s="493"/>
      <c r="L7" s="493"/>
      <c r="M7" s="493"/>
      <c r="N7" s="493"/>
      <c r="O7" s="493"/>
      <c r="P7" s="493"/>
      <c r="Q7" s="493"/>
      <c r="R7" s="493"/>
      <c r="S7" s="493"/>
      <c r="T7" s="493"/>
      <c r="U7" s="493"/>
      <c r="V7" s="493"/>
    </row>
    <row r="8" spans="1:30" x14ac:dyDescent="0.25">
      <c r="A8" s="500">
        <v>1</v>
      </c>
      <c r="B8" s="493">
        <f>'Forecast MAC Total'!R25</f>
        <v>6.6600000000000001E-3</v>
      </c>
      <c r="C8" s="493" t="e">
        <f>#REF!</f>
        <v>#REF!</v>
      </c>
      <c r="D8" s="508">
        <f>'Nov Price Out'!D8</f>
        <v>8.5000000000000006E-3</v>
      </c>
      <c r="E8" s="502">
        <f>'[100]Adj Sales Forecast'!I8</f>
        <v>1035240147</v>
      </c>
      <c r="F8" s="493">
        <v>0</v>
      </c>
      <c r="G8" s="8">
        <f>ROUND(E8*0.88,0)</f>
        <v>911011329</v>
      </c>
      <c r="H8" s="8">
        <f>ROUND(F8*0.88,0)</f>
        <v>0</v>
      </c>
      <c r="I8" s="169" t="e">
        <f>ROUND(C8*G8,0)</f>
        <v>#REF!</v>
      </c>
      <c r="J8" s="169">
        <f>ROUND(D8*G8,0)</f>
        <v>7743596</v>
      </c>
      <c r="K8" s="169" t="e">
        <f t="shared" ref="K8:K19" si="0">I8+J8</f>
        <v>#REF!</v>
      </c>
      <c r="L8" s="169">
        <f t="shared" ref="L8:L19" si="1">ROUND(B8*G8,0)</f>
        <v>6067335</v>
      </c>
      <c r="M8" s="493"/>
      <c r="N8" s="501">
        <f>B8</f>
        <v>6.6600000000000001E-3</v>
      </c>
      <c r="O8" s="493" t="e">
        <f>#REF!</f>
        <v>#REF!</v>
      </c>
      <c r="P8" s="508">
        <f>'Nov Price Out'!P8</f>
        <v>3.0100000000000001E-3</v>
      </c>
      <c r="Q8" s="502">
        <f>E8-G8</f>
        <v>124228818</v>
      </c>
      <c r="R8" s="502">
        <f>F8-H8</f>
        <v>0</v>
      </c>
      <c r="S8" s="169" t="e">
        <f t="shared" ref="S8:S19" si="2">ROUND(O8*Q8,0)</f>
        <v>#REF!</v>
      </c>
      <c r="T8" s="169">
        <f>ROUND(P8*Q8,0)</f>
        <v>373929</v>
      </c>
      <c r="U8" s="169" t="e">
        <f t="shared" ref="U8:U19" si="3">S8+T8</f>
        <v>#REF!</v>
      </c>
      <c r="V8" s="169">
        <f t="shared" ref="V8:V19" si="4">ROUND(N8*Q8,0)</f>
        <v>827364</v>
      </c>
      <c r="X8" s="500">
        <v>1</v>
      </c>
      <c r="Y8" s="503" t="e">
        <f t="shared" ref="Y8:Z19" si="5">I8+S8</f>
        <v>#REF!</v>
      </c>
      <c r="Z8" s="503">
        <f t="shared" si="5"/>
        <v>8117525</v>
      </c>
      <c r="AA8" s="503" t="e">
        <f t="shared" ref="AA8:AA19" si="6">Y8+Z8</f>
        <v>#REF!</v>
      </c>
      <c r="AB8" s="503">
        <f t="shared" ref="AB8:AB19" si="7">L8+V8</f>
        <v>6894699</v>
      </c>
    </row>
    <row r="9" spans="1:30" x14ac:dyDescent="0.25">
      <c r="A9" s="500" t="s">
        <v>511</v>
      </c>
      <c r="B9" s="493">
        <f>$B$8</f>
        <v>6.6600000000000001E-3</v>
      </c>
      <c r="C9" s="493" t="e">
        <f>#REF!</f>
        <v>#REF!</v>
      </c>
      <c r="D9" s="509">
        <f>'Nov Price Out'!D9</f>
        <v>3.2199999999999999E-2</v>
      </c>
      <c r="E9" s="502">
        <f>'[100]Adj Sales Forecast'!I37</f>
        <v>2243152</v>
      </c>
      <c r="F9" s="493">
        <v>0</v>
      </c>
      <c r="G9" s="8">
        <f>ROUND(E9*0.88,0)</f>
        <v>1973974</v>
      </c>
      <c r="H9" s="8">
        <f>ROUND(F9*0.88,0)</f>
        <v>0</v>
      </c>
      <c r="I9" s="169" t="e">
        <f t="shared" ref="I9:I19" si="8">ROUND(C9*G9,0)</f>
        <v>#REF!</v>
      </c>
      <c r="J9" s="169">
        <f t="shared" ref="J9:J19" si="9">ROUND(D9*G9,0)</f>
        <v>63562</v>
      </c>
      <c r="K9" s="169" t="e">
        <f t="shared" si="0"/>
        <v>#REF!</v>
      </c>
      <c r="L9" s="169">
        <f t="shared" si="1"/>
        <v>13147</v>
      </c>
      <c r="M9" s="493"/>
      <c r="N9" s="493">
        <f>B9</f>
        <v>6.6600000000000001E-3</v>
      </c>
      <c r="O9" s="493" t="e">
        <f>#REF!</f>
        <v>#REF!</v>
      </c>
      <c r="P9" s="509">
        <f>'Nov Price Out'!P9</f>
        <v>6.6E-3</v>
      </c>
      <c r="Q9" s="502">
        <f>E9-G9</f>
        <v>269178</v>
      </c>
      <c r="R9" s="502">
        <f>F9-H9</f>
        <v>0</v>
      </c>
      <c r="S9" s="169" t="e">
        <f t="shared" si="2"/>
        <v>#REF!</v>
      </c>
      <c r="T9" s="169">
        <f t="shared" ref="T9:T19" si="10">ROUND(P9*Q9,0)</f>
        <v>1777</v>
      </c>
      <c r="U9" s="169" t="e">
        <f t="shared" si="3"/>
        <v>#REF!</v>
      </c>
      <c r="V9" s="169">
        <f t="shared" si="4"/>
        <v>1793</v>
      </c>
      <c r="X9" s="500" t="s">
        <v>511</v>
      </c>
      <c r="Y9" s="503" t="e">
        <f t="shared" si="5"/>
        <v>#REF!</v>
      </c>
      <c r="Z9" s="503">
        <f t="shared" si="5"/>
        <v>65339</v>
      </c>
      <c r="AA9" s="503" t="e">
        <f t="shared" si="6"/>
        <v>#REF!</v>
      </c>
      <c r="AB9" s="503">
        <f t="shared" si="7"/>
        <v>14940</v>
      </c>
      <c r="AD9" s="503"/>
    </row>
    <row r="10" spans="1:30" x14ac:dyDescent="0.25">
      <c r="A10" s="500" t="s">
        <v>512</v>
      </c>
      <c r="B10" s="493">
        <f t="shared" ref="B10:B19" si="11">$B$8</f>
        <v>6.6600000000000001E-3</v>
      </c>
      <c r="C10" s="504" t="e">
        <f>#REF!</f>
        <v>#REF!</v>
      </c>
      <c r="D10" s="509">
        <f>'Nov Price Out'!D10</f>
        <v>0</v>
      </c>
      <c r="E10" s="502">
        <f>'[100]Adj Sales Forecast'!I38</f>
        <v>3516701</v>
      </c>
      <c r="F10" s="493">
        <v>0</v>
      </c>
      <c r="G10" s="8">
        <f t="shared" ref="G10:H19" si="12">ROUND(E10*0.88,0)</f>
        <v>3094697</v>
      </c>
      <c r="H10" s="8">
        <f>ROUND(F10*0.88,0)</f>
        <v>0</v>
      </c>
      <c r="I10" s="169" t="e">
        <f t="shared" si="8"/>
        <v>#REF!</v>
      </c>
      <c r="J10" s="169">
        <f t="shared" si="9"/>
        <v>0</v>
      </c>
      <c r="K10" s="169" t="e">
        <f t="shared" si="0"/>
        <v>#REF!</v>
      </c>
      <c r="L10" s="169">
        <f t="shared" si="1"/>
        <v>20611</v>
      </c>
      <c r="M10" s="493"/>
      <c r="N10" s="493">
        <f t="shared" ref="N10:N19" si="13">B10</f>
        <v>6.6600000000000001E-3</v>
      </c>
      <c r="O10" s="504" t="e">
        <f>#REF!</f>
        <v>#REF!</v>
      </c>
      <c r="P10" s="509">
        <f>'Nov Price Out'!P10</f>
        <v>0</v>
      </c>
      <c r="Q10" s="502">
        <f t="shared" ref="Q10:R19" si="14">E10-G10</f>
        <v>422004</v>
      </c>
      <c r="R10" s="502">
        <f>F10-H10</f>
        <v>0</v>
      </c>
      <c r="S10" s="169" t="e">
        <f t="shared" si="2"/>
        <v>#REF!</v>
      </c>
      <c r="T10" s="169">
        <f t="shared" si="10"/>
        <v>0</v>
      </c>
      <c r="U10" s="169" t="e">
        <f t="shared" si="3"/>
        <v>#REF!</v>
      </c>
      <c r="V10" s="169">
        <f t="shared" si="4"/>
        <v>2811</v>
      </c>
      <c r="X10" s="500" t="s">
        <v>512</v>
      </c>
      <c r="Y10" s="503" t="e">
        <f t="shared" si="5"/>
        <v>#REF!</v>
      </c>
      <c r="Z10" s="503">
        <f t="shared" si="5"/>
        <v>0</v>
      </c>
      <c r="AA10" s="503" t="e">
        <f t="shared" si="6"/>
        <v>#REF!</v>
      </c>
      <c r="AB10" s="503">
        <f t="shared" si="7"/>
        <v>23422</v>
      </c>
    </row>
    <row r="11" spans="1:30" x14ac:dyDescent="0.25">
      <c r="A11" s="500">
        <v>2</v>
      </c>
      <c r="B11" s="493">
        <f t="shared" si="11"/>
        <v>6.6600000000000001E-3</v>
      </c>
      <c r="C11" s="504" t="e">
        <f>#REF!</f>
        <v>#REF!</v>
      </c>
      <c r="D11" s="509">
        <f>'Nov Price Out'!D11</f>
        <v>1.29E-2</v>
      </c>
      <c r="E11" s="502">
        <f>'[100]Adj Sales Forecast'!I15</f>
        <v>200268360</v>
      </c>
      <c r="F11" s="493">
        <v>0</v>
      </c>
      <c r="G11" s="8">
        <f t="shared" si="12"/>
        <v>176236157</v>
      </c>
      <c r="H11" s="8">
        <f t="shared" si="12"/>
        <v>0</v>
      </c>
      <c r="I11" s="169" t="e">
        <f t="shared" si="8"/>
        <v>#REF!</v>
      </c>
      <c r="J11" s="169">
        <f t="shared" si="9"/>
        <v>2273446</v>
      </c>
      <c r="K11" s="169" t="e">
        <f t="shared" si="0"/>
        <v>#REF!</v>
      </c>
      <c r="L11" s="169">
        <f t="shared" si="1"/>
        <v>1173733</v>
      </c>
      <c r="M11" s="493"/>
      <c r="N11" s="493">
        <f t="shared" si="13"/>
        <v>6.6600000000000001E-3</v>
      </c>
      <c r="O11" s="504" t="e">
        <f>#REF!</f>
        <v>#REF!</v>
      </c>
      <c r="P11" s="509">
        <f>'Nov Price Out'!P11</f>
        <v>2.5999999999999999E-3</v>
      </c>
      <c r="Q11" s="502">
        <f t="shared" si="14"/>
        <v>24032203</v>
      </c>
      <c r="R11" s="502">
        <f t="shared" si="14"/>
        <v>0</v>
      </c>
      <c r="S11" s="169" t="e">
        <f t="shared" si="2"/>
        <v>#REF!</v>
      </c>
      <c r="T11" s="169">
        <f t="shared" si="10"/>
        <v>62484</v>
      </c>
      <c r="U11" s="169" t="e">
        <f t="shared" si="3"/>
        <v>#REF!</v>
      </c>
      <c r="V11" s="169">
        <f t="shared" si="4"/>
        <v>160054</v>
      </c>
      <c r="X11" s="500">
        <v>2</v>
      </c>
      <c r="Y11" s="503" t="e">
        <f t="shared" si="5"/>
        <v>#REF!</v>
      </c>
      <c r="Z11" s="503">
        <f t="shared" si="5"/>
        <v>2335930</v>
      </c>
      <c r="AA11" s="503" t="e">
        <f t="shared" si="6"/>
        <v>#REF!</v>
      </c>
      <c r="AB11" s="503">
        <f t="shared" si="7"/>
        <v>1333787</v>
      </c>
    </row>
    <row r="12" spans="1:30" x14ac:dyDescent="0.25">
      <c r="A12" s="500" t="s">
        <v>513</v>
      </c>
      <c r="B12" s="493">
        <f t="shared" si="11"/>
        <v>6.6600000000000001E-3</v>
      </c>
      <c r="C12" s="493" t="e">
        <f>#REF!</f>
        <v>#REF!</v>
      </c>
      <c r="D12" s="509">
        <f>'Nov Price Out'!D12</f>
        <v>2.4E-2</v>
      </c>
      <c r="E12" s="502">
        <f>'[100]Adj Sales Forecast'!I40</f>
        <v>292327</v>
      </c>
      <c r="F12" s="493">
        <v>0</v>
      </c>
      <c r="G12" s="8">
        <f t="shared" si="12"/>
        <v>257248</v>
      </c>
      <c r="H12" s="8">
        <f t="shared" si="12"/>
        <v>0</v>
      </c>
      <c r="I12" s="169" t="e">
        <f t="shared" si="8"/>
        <v>#REF!</v>
      </c>
      <c r="J12" s="169">
        <f t="shared" si="9"/>
        <v>6174</v>
      </c>
      <c r="K12" s="169" t="e">
        <f t="shared" si="0"/>
        <v>#REF!</v>
      </c>
      <c r="L12" s="169">
        <f t="shared" si="1"/>
        <v>1713</v>
      </c>
      <c r="M12" s="493"/>
      <c r="N12" s="493">
        <f t="shared" si="13"/>
        <v>6.6600000000000001E-3</v>
      </c>
      <c r="O12" s="493" t="e">
        <f>#REF!</f>
        <v>#REF!</v>
      </c>
      <c r="P12" s="509">
        <f>'Nov Price Out'!P12</f>
        <v>4.8999999999999998E-3</v>
      </c>
      <c r="Q12" s="502">
        <f t="shared" si="14"/>
        <v>35079</v>
      </c>
      <c r="R12" s="502">
        <f t="shared" si="14"/>
        <v>0</v>
      </c>
      <c r="S12" s="169" t="e">
        <f t="shared" si="2"/>
        <v>#REF!</v>
      </c>
      <c r="T12" s="169">
        <f t="shared" si="10"/>
        <v>172</v>
      </c>
      <c r="U12" s="169" t="e">
        <f t="shared" si="3"/>
        <v>#REF!</v>
      </c>
      <c r="V12" s="169">
        <f t="shared" si="4"/>
        <v>234</v>
      </c>
      <c r="X12" s="500" t="s">
        <v>513</v>
      </c>
      <c r="Y12" s="503" t="e">
        <f t="shared" si="5"/>
        <v>#REF!</v>
      </c>
      <c r="Z12" s="503">
        <f t="shared" si="5"/>
        <v>6346</v>
      </c>
      <c r="AA12" s="503" t="e">
        <f t="shared" si="6"/>
        <v>#REF!</v>
      </c>
      <c r="AB12" s="503">
        <f t="shared" si="7"/>
        <v>1947</v>
      </c>
    </row>
    <row r="13" spans="1:30" x14ac:dyDescent="0.25">
      <c r="A13" s="500" t="s">
        <v>514</v>
      </c>
      <c r="B13" s="493">
        <f t="shared" si="11"/>
        <v>6.6600000000000001E-3</v>
      </c>
      <c r="C13" s="504" t="e">
        <f>#REF!</f>
        <v>#REF!</v>
      </c>
      <c r="D13" s="509">
        <f>'Nov Price Out'!D13</f>
        <v>0</v>
      </c>
      <c r="E13" s="502">
        <f>'[100]Adj Sales Forecast'!I41</f>
        <v>439313</v>
      </c>
      <c r="F13" s="493">
        <v>0</v>
      </c>
      <c r="G13" s="8">
        <f t="shared" si="12"/>
        <v>386595</v>
      </c>
      <c r="H13" s="8">
        <f t="shared" si="12"/>
        <v>0</v>
      </c>
      <c r="I13" s="169" t="e">
        <f t="shared" si="8"/>
        <v>#REF!</v>
      </c>
      <c r="J13" s="169">
        <f t="shared" si="9"/>
        <v>0</v>
      </c>
      <c r="K13" s="169" t="e">
        <f t="shared" si="0"/>
        <v>#REF!</v>
      </c>
      <c r="L13" s="169">
        <f t="shared" si="1"/>
        <v>2575</v>
      </c>
      <c r="M13" s="493"/>
      <c r="N13" s="493">
        <f t="shared" si="13"/>
        <v>6.6600000000000001E-3</v>
      </c>
      <c r="O13" s="504" t="e">
        <f>#REF!</f>
        <v>#REF!</v>
      </c>
      <c r="P13" s="509">
        <f>'Nov Price Out'!P13</f>
        <v>0</v>
      </c>
      <c r="Q13" s="502">
        <f t="shared" si="14"/>
        <v>52718</v>
      </c>
      <c r="R13" s="502">
        <f t="shared" si="14"/>
        <v>0</v>
      </c>
      <c r="S13" s="169" t="e">
        <f t="shared" si="2"/>
        <v>#REF!</v>
      </c>
      <c r="T13" s="169">
        <f t="shared" si="10"/>
        <v>0</v>
      </c>
      <c r="U13" s="169" t="e">
        <f t="shared" si="3"/>
        <v>#REF!</v>
      </c>
      <c r="V13" s="169">
        <f t="shared" si="4"/>
        <v>351</v>
      </c>
      <c r="X13" s="500" t="s">
        <v>514</v>
      </c>
      <c r="Y13" s="503" t="e">
        <f t="shared" si="5"/>
        <v>#REF!</v>
      </c>
      <c r="Z13" s="503">
        <f t="shared" si="5"/>
        <v>0</v>
      </c>
      <c r="AA13" s="503" t="e">
        <f t="shared" si="6"/>
        <v>#REF!</v>
      </c>
      <c r="AB13" s="503">
        <f t="shared" si="7"/>
        <v>2926</v>
      </c>
    </row>
    <row r="14" spans="1:30" x14ac:dyDescent="0.25">
      <c r="A14" s="500">
        <v>6</v>
      </c>
      <c r="B14" s="493">
        <f t="shared" si="11"/>
        <v>6.6600000000000001E-3</v>
      </c>
      <c r="C14" s="493" t="e">
        <f>#REF!</f>
        <v>#REF!</v>
      </c>
      <c r="D14" s="509">
        <f>'Nov Price Out'!D14</f>
        <v>1E-4</v>
      </c>
      <c r="E14" s="502">
        <f>'[100]Adj Sales Forecast'!I18</f>
        <v>718754</v>
      </c>
      <c r="F14" s="493">
        <v>0</v>
      </c>
      <c r="G14" s="8">
        <f t="shared" si="12"/>
        <v>632504</v>
      </c>
      <c r="H14" s="8">
        <f t="shared" si="12"/>
        <v>0</v>
      </c>
      <c r="I14" s="169" t="e">
        <f t="shared" si="8"/>
        <v>#REF!</v>
      </c>
      <c r="J14" s="169">
        <f t="shared" si="9"/>
        <v>63</v>
      </c>
      <c r="K14" s="169" t="e">
        <f t="shared" si="0"/>
        <v>#REF!</v>
      </c>
      <c r="L14" s="169">
        <f t="shared" si="1"/>
        <v>4212</v>
      </c>
      <c r="M14" s="493"/>
      <c r="N14" s="493">
        <f t="shared" si="13"/>
        <v>6.6600000000000001E-3</v>
      </c>
      <c r="O14" s="493" t="e">
        <f>#REF!</f>
        <v>#REF!</v>
      </c>
      <c r="P14" s="509">
        <f>'Nov Price Out'!P14</f>
        <v>0</v>
      </c>
      <c r="Q14" s="502">
        <f t="shared" si="14"/>
        <v>86250</v>
      </c>
      <c r="R14" s="502">
        <f t="shared" si="14"/>
        <v>0</v>
      </c>
      <c r="S14" s="169" t="e">
        <f t="shared" si="2"/>
        <v>#REF!</v>
      </c>
      <c r="T14" s="169">
        <f t="shared" si="10"/>
        <v>0</v>
      </c>
      <c r="U14" s="169" t="e">
        <f t="shared" si="3"/>
        <v>#REF!</v>
      </c>
      <c r="V14" s="169">
        <f t="shared" si="4"/>
        <v>574</v>
      </c>
      <c r="X14" s="500">
        <v>6</v>
      </c>
      <c r="Y14" s="503" t="e">
        <f t="shared" si="5"/>
        <v>#REF!</v>
      </c>
      <c r="Z14" s="503">
        <f t="shared" si="5"/>
        <v>63</v>
      </c>
      <c r="AA14" s="503" t="e">
        <f t="shared" si="6"/>
        <v>#REF!</v>
      </c>
      <c r="AB14" s="503">
        <f t="shared" si="7"/>
        <v>4786</v>
      </c>
    </row>
    <row r="15" spans="1:30" hidden="1" x14ac:dyDescent="0.25">
      <c r="A15" s="500">
        <v>7</v>
      </c>
      <c r="B15" s="493">
        <f>$B$8</f>
        <v>6.6600000000000001E-3</v>
      </c>
      <c r="C15" s="493" t="e">
        <f>#REF!</f>
        <v>#REF!</v>
      </c>
      <c r="D15" s="508"/>
      <c r="E15" s="502"/>
      <c r="F15" s="493"/>
      <c r="G15" s="8"/>
      <c r="H15" s="8"/>
      <c r="I15" s="169"/>
      <c r="J15" s="169"/>
      <c r="K15" s="169"/>
      <c r="L15" s="169"/>
      <c r="M15" s="493"/>
      <c r="N15" s="501">
        <f t="shared" si="13"/>
        <v>6.6600000000000001E-3</v>
      </c>
      <c r="O15" s="493" t="e">
        <f>#REF!</f>
        <v>#REF!</v>
      </c>
      <c r="P15" s="508" t="e">
        <f>'Nov Price Out'!P15</f>
        <v>#DIV/0!</v>
      </c>
      <c r="Q15" s="502">
        <f t="shared" si="14"/>
        <v>0</v>
      </c>
      <c r="R15" s="502">
        <f t="shared" si="14"/>
        <v>0</v>
      </c>
      <c r="S15" s="169" t="e">
        <f t="shared" si="2"/>
        <v>#REF!</v>
      </c>
      <c r="T15" s="169" t="e">
        <f t="shared" si="10"/>
        <v>#DIV/0!</v>
      </c>
      <c r="U15" s="169" t="e">
        <f t="shared" si="3"/>
        <v>#REF!</v>
      </c>
      <c r="V15" s="169">
        <f t="shared" si="4"/>
        <v>0</v>
      </c>
      <c r="X15" s="500">
        <v>7</v>
      </c>
      <c r="Y15" s="503" t="e">
        <f t="shared" si="5"/>
        <v>#REF!</v>
      </c>
      <c r="Z15" s="503" t="e">
        <f t="shared" si="5"/>
        <v>#DIV/0!</v>
      </c>
      <c r="AA15" s="503" t="e">
        <f t="shared" si="6"/>
        <v>#REF!</v>
      </c>
      <c r="AB15" s="503">
        <f t="shared" si="7"/>
        <v>0</v>
      </c>
    </row>
    <row r="16" spans="1:30" hidden="1" x14ac:dyDescent="0.25">
      <c r="A16" s="500" t="s">
        <v>515</v>
      </c>
      <c r="B16" s="493">
        <f t="shared" si="11"/>
        <v>6.6600000000000001E-3</v>
      </c>
      <c r="C16" s="493" t="e">
        <f>#REF!</f>
        <v>#REF!</v>
      </c>
      <c r="D16" s="509"/>
      <c r="E16" s="502"/>
      <c r="F16" s="493"/>
      <c r="G16" s="8"/>
      <c r="H16" s="8"/>
      <c r="I16" s="169"/>
      <c r="J16" s="169"/>
      <c r="K16" s="169"/>
      <c r="L16" s="169"/>
      <c r="M16" s="493"/>
      <c r="N16" s="493">
        <f t="shared" si="13"/>
        <v>6.6600000000000001E-3</v>
      </c>
      <c r="O16" s="493" t="e">
        <f>#REF!</f>
        <v>#REF!</v>
      </c>
      <c r="P16" s="509" t="e">
        <f>'Nov Price Out'!P16</f>
        <v>#DIV/0!</v>
      </c>
      <c r="Q16" s="502">
        <f t="shared" si="14"/>
        <v>0</v>
      </c>
      <c r="R16" s="502">
        <f t="shared" si="14"/>
        <v>0</v>
      </c>
      <c r="S16" s="169" t="e">
        <f t="shared" si="2"/>
        <v>#REF!</v>
      </c>
      <c r="T16" s="169" t="e">
        <f t="shared" si="10"/>
        <v>#DIV/0!</v>
      </c>
      <c r="U16" s="169" t="e">
        <f t="shared" si="3"/>
        <v>#REF!</v>
      </c>
      <c r="V16" s="169">
        <f t="shared" si="4"/>
        <v>0</v>
      </c>
      <c r="X16" s="500" t="s">
        <v>515</v>
      </c>
      <c r="Y16" s="503" t="e">
        <f t="shared" si="5"/>
        <v>#REF!</v>
      </c>
      <c r="Z16" s="503" t="e">
        <f t="shared" si="5"/>
        <v>#DIV/0!</v>
      </c>
      <c r="AA16" s="503" t="e">
        <f t="shared" si="6"/>
        <v>#REF!</v>
      </c>
      <c r="AB16" s="503">
        <f t="shared" si="7"/>
        <v>0</v>
      </c>
    </row>
    <row r="17" spans="1:28" hidden="1" x14ac:dyDescent="0.25">
      <c r="A17" s="500" t="s">
        <v>516</v>
      </c>
      <c r="B17" s="493">
        <f t="shared" si="11"/>
        <v>6.6600000000000001E-3</v>
      </c>
      <c r="C17" s="504" t="e">
        <f>#REF!</f>
        <v>#REF!</v>
      </c>
      <c r="D17" s="509"/>
      <c r="E17" s="502"/>
      <c r="F17" s="493"/>
      <c r="G17" s="8"/>
      <c r="H17" s="8"/>
      <c r="I17" s="169"/>
      <c r="J17" s="169"/>
      <c r="K17" s="169"/>
      <c r="L17" s="169"/>
      <c r="M17" s="493"/>
      <c r="N17" s="493">
        <f t="shared" si="13"/>
        <v>6.6600000000000001E-3</v>
      </c>
      <c r="O17" s="504" t="e">
        <f>#REF!</f>
        <v>#REF!</v>
      </c>
      <c r="P17" s="509">
        <f>'Nov Price Out'!P17</f>
        <v>0</v>
      </c>
      <c r="Q17" s="502">
        <f t="shared" si="14"/>
        <v>0</v>
      </c>
      <c r="R17" s="502">
        <f t="shared" si="14"/>
        <v>0</v>
      </c>
      <c r="S17" s="169" t="e">
        <f t="shared" si="2"/>
        <v>#REF!</v>
      </c>
      <c r="T17" s="169">
        <f t="shared" si="10"/>
        <v>0</v>
      </c>
      <c r="U17" s="169" t="e">
        <f t="shared" si="3"/>
        <v>#REF!</v>
      </c>
      <c r="V17" s="169">
        <f t="shared" si="4"/>
        <v>0</v>
      </c>
      <c r="X17" s="500" t="s">
        <v>516</v>
      </c>
      <c r="Y17" s="503" t="e">
        <f t="shared" si="5"/>
        <v>#REF!</v>
      </c>
      <c r="Z17" s="503">
        <f t="shared" si="5"/>
        <v>0</v>
      </c>
      <c r="AA17" s="503" t="e">
        <f t="shared" si="6"/>
        <v>#REF!</v>
      </c>
      <c r="AB17" s="503">
        <f t="shared" si="7"/>
        <v>0</v>
      </c>
    </row>
    <row r="18" spans="1:28" x14ac:dyDescent="0.25">
      <c r="A18" s="500" t="s">
        <v>56</v>
      </c>
      <c r="B18" s="493">
        <f t="shared" si="11"/>
        <v>6.6600000000000001E-3</v>
      </c>
      <c r="C18" s="493" t="e">
        <f>#REF!</f>
        <v>#REF!</v>
      </c>
      <c r="D18" s="509">
        <f>'Nov Price Out'!D18</f>
        <v>0</v>
      </c>
      <c r="E18" s="502">
        <f>'[100]Adj Sales Forecast'!I26</f>
        <v>649438</v>
      </c>
      <c r="F18" s="493">
        <v>0</v>
      </c>
      <c r="G18" s="8">
        <f t="shared" si="12"/>
        <v>571505</v>
      </c>
      <c r="H18" s="8">
        <f t="shared" si="12"/>
        <v>0</v>
      </c>
      <c r="I18" s="169" t="e">
        <f t="shared" si="8"/>
        <v>#REF!</v>
      </c>
      <c r="J18" s="169">
        <f t="shared" si="9"/>
        <v>0</v>
      </c>
      <c r="K18" s="169" t="e">
        <f t="shared" si="0"/>
        <v>#REF!</v>
      </c>
      <c r="L18" s="169">
        <f t="shared" si="1"/>
        <v>3806</v>
      </c>
      <c r="M18" s="493"/>
      <c r="N18" s="493">
        <f t="shared" si="13"/>
        <v>6.6600000000000001E-3</v>
      </c>
      <c r="O18" s="493" t="e">
        <f>#REF!</f>
        <v>#REF!</v>
      </c>
      <c r="P18" s="509">
        <f>'Nov Price Out'!P18</f>
        <v>0</v>
      </c>
      <c r="Q18" s="502">
        <f t="shared" si="14"/>
        <v>77933</v>
      </c>
      <c r="R18" s="502">
        <f t="shared" si="14"/>
        <v>0</v>
      </c>
      <c r="S18" s="169" t="e">
        <f t="shared" si="2"/>
        <v>#REF!</v>
      </c>
      <c r="T18" s="169">
        <f t="shared" si="10"/>
        <v>0</v>
      </c>
      <c r="U18" s="169" t="e">
        <f t="shared" si="3"/>
        <v>#REF!</v>
      </c>
      <c r="V18" s="169">
        <f t="shared" si="4"/>
        <v>519</v>
      </c>
      <c r="X18" s="500" t="s">
        <v>56</v>
      </c>
      <c r="Y18" s="503" t="e">
        <f t="shared" si="5"/>
        <v>#REF!</v>
      </c>
      <c r="Z18" s="503">
        <f t="shared" si="5"/>
        <v>0</v>
      </c>
      <c r="AA18" s="503" t="e">
        <f t="shared" si="6"/>
        <v>#REF!</v>
      </c>
      <c r="AB18" s="503">
        <f t="shared" si="7"/>
        <v>4325</v>
      </c>
    </row>
    <row r="19" spans="1:28" x14ac:dyDescent="0.25">
      <c r="A19" s="500" t="s">
        <v>517</v>
      </c>
      <c r="B19" s="493">
        <f t="shared" si="11"/>
        <v>6.6600000000000001E-3</v>
      </c>
      <c r="C19" s="493" t="e">
        <f>#REF!</f>
        <v>#REF!</v>
      </c>
      <c r="D19" s="509">
        <f>'Nov Price Out'!D19</f>
        <v>3.8999999999999998E-3</v>
      </c>
      <c r="E19" s="502">
        <f>'[100]Adj Sales Forecast'!I31</f>
        <v>124398</v>
      </c>
      <c r="F19" s="493">
        <v>0</v>
      </c>
      <c r="G19" s="8">
        <f t="shared" si="12"/>
        <v>109470</v>
      </c>
      <c r="H19" s="8">
        <f t="shared" si="12"/>
        <v>0</v>
      </c>
      <c r="I19" s="169" t="e">
        <f t="shared" si="8"/>
        <v>#REF!</v>
      </c>
      <c r="J19" s="169">
        <f t="shared" si="9"/>
        <v>427</v>
      </c>
      <c r="K19" s="169" t="e">
        <f t="shared" si="0"/>
        <v>#REF!</v>
      </c>
      <c r="L19" s="169">
        <f t="shared" si="1"/>
        <v>729</v>
      </c>
      <c r="M19" s="493"/>
      <c r="N19" s="493">
        <f t="shared" si="13"/>
        <v>6.6600000000000001E-3</v>
      </c>
      <c r="O19" s="493" t="e">
        <f>#REF!</f>
        <v>#REF!</v>
      </c>
      <c r="P19" s="509">
        <f>'Nov Price Out'!P19</f>
        <v>8.0000000000000004E-4</v>
      </c>
      <c r="Q19" s="502">
        <f t="shared" si="14"/>
        <v>14928</v>
      </c>
      <c r="R19" s="502">
        <f t="shared" si="14"/>
        <v>0</v>
      </c>
      <c r="S19" s="169" t="e">
        <f t="shared" si="2"/>
        <v>#REF!</v>
      </c>
      <c r="T19" s="169">
        <f t="shared" si="10"/>
        <v>12</v>
      </c>
      <c r="U19" s="169" t="e">
        <f t="shared" si="3"/>
        <v>#REF!</v>
      </c>
      <c r="V19" s="169">
        <f t="shared" si="4"/>
        <v>99</v>
      </c>
      <c r="X19" s="500" t="s">
        <v>517</v>
      </c>
      <c r="Y19" s="503" t="e">
        <f t="shared" si="5"/>
        <v>#REF!</v>
      </c>
      <c r="Z19" s="503">
        <f t="shared" si="5"/>
        <v>439</v>
      </c>
      <c r="AA19" s="503" t="e">
        <f t="shared" si="6"/>
        <v>#REF!</v>
      </c>
      <c r="AB19" s="503">
        <f t="shared" si="7"/>
        <v>828</v>
      </c>
    </row>
    <row r="20" spans="1:28" x14ac:dyDescent="0.25">
      <c r="A20" s="493"/>
      <c r="B20" s="493"/>
      <c r="C20" s="493"/>
      <c r="D20" s="493"/>
      <c r="E20" s="493"/>
      <c r="F20" s="493"/>
      <c r="G20" s="493"/>
      <c r="H20" s="493"/>
      <c r="I20" s="493"/>
      <c r="J20" s="493"/>
      <c r="K20" s="493"/>
      <c r="L20" s="493"/>
      <c r="M20" s="493"/>
      <c r="N20" s="493"/>
      <c r="O20" s="493"/>
      <c r="P20" s="493"/>
      <c r="Q20" s="493"/>
      <c r="R20" s="493"/>
      <c r="S20" s="493"/>
      <c r="T20" s="493"/>
      <c r="U20" s="493"/>
      <c r="V20" s="493"/>
      <c r="X20" s="493"/>
      <c r="Y20" s="503"/>
      <c r="Z20" s="503"/>
      <c r="AA20" s="503"/>
      <c r="AB20" s="503"/>
    </row>
    <row r="21" spans="1:28" x14ac:dyDescent="0.25">
      <c r="A21" s="493" t="s">
        <v>518</v>
      </c>
      <c r="B21" s="493">
        <f>$B$8</f>
        <v>6.6600000000000001E-3</v>
      </c>
      <c r="C21" s="493" t="e">
        <f>#REF!</f>
        <v>#REF!</v>
      </c>
      <c r="D21" s="505">
        <f>'Nov Price Out'!D21</f>
        <v>2.93</v>
      </c>
      <c r="E21" s="502">
        <f>'[100]Adj Sales Forecast'!I16</f>
        <v>58163.999999999993</v>
      </c>
      <c r="F21" s="8">
        <f>'[100]Adj Demand Forecast '!I6</f>
        <v>142</v>
      </c>
      <c r="G21" s="8">
        <f t="shared" ref="G21:H24" si="15">ROUND(E21*0.88,0)</f>
        <v>51184</v>
      </c>
      <c r="H21" s="8">
        <f t="shared" si="15"/>
        <v>125</v>
      </c>
      <c r="I21" s="169" t="e">
        <f t="shared" ref="I21:J24" si="16">ROUND(C21*G21,0)</f>
        <v>#REF!</v>
      </c>
      <c r="J21" s="169">
        <f t="shared" si="16"/>
        <v>366</v>
      </c>
      <c r="K21" s="169" t="e">
        <f>I21+J21</f>
        <v>#REF!</v>
      </c>
      <c r="L21" s="169">
        <f>ROUND(B21*G21,0)</f>
        <v>341</v>
      </c>
      <c r="M21" s="493"/>
      <c r="N21" s="493">
        <f>B21</f>
        <v>6.6600000000000001E-3</v>
      </c>
      <c r="O21" s="493" t="e">
        <f>#REF!</f>
        <v>#REF!</v>
      </c>
      <c r="P21" s="505">
        <f>'Nov Price Out'!P21</f>
        <v>0.6</v>
      </c>
      <c r="Q21" s="502">
        <f t="shared" ref="Q21:R24" si="17">E21-G21</f>
        <v>6979.9999999999927</v>
      </c>
      <c r="R21" s="502">
        <f t="shared" si="17"/>
        <v>17</v>
      </c>
      <c r="S21" s="169" t="e">
        <f t="shared" ref="S21:T24" si="18">ROUND(O21*Q21,0)</f>
        <v>#REF!</v>
      </c>
      <c r="T21" s="169">
        <f t="shared" si="18"/>
        <v>10</v>
      </c>
      <c r="U21" s="169" t="e">
        <f>S21+T21</f>
        <v>#REF!</v>
      </c>
      <c r="V21" s="169">
        <f>ROUND(N21*Q21,0)</f>
        <v>46</v>
      </c>
      <c r="X21" s="493" t="s">
        <v>518</v>
      </c>
      <c r="Y21" s="503" t="e">
        <f t="shared" ref="Y21:Z24" si="19">I21+S21</f>
        <v>#REF!</v>
      </c>
      <c r="Z21" s="503">
        <f t="shared" si="19"/>
        <v>376</v>
      </c>
      <c r="AA21" s="503" t="e">
        <f>Y21+Z21</f>
        <v>#REF!</v>
      </c>
      <c r="AB21" s="503">
        <f>L21+V21</f>
        <v>387</v>
      </c>
    </row>
    <row r="22" spans="1:28" x14ac:dyDescent="0.25">
      <c r="A22" s="493" t="s">
        <v>303</v>
      </c>
      <c r="B22" s="493">
        <f>$B$8</f>
        <v>6.6600000000000001E-3</v>
      </c>
      <c r="C22" s="493" t="e">
        <f>#REF!</f>
        <v>#REF!</v>
      </c>
      <c r="D22" s="505">
        <f>'Nov Price Out'!D22</f>
        <v>5.14</v>
      </c>
      <c r="E22" s="502">
        <f>'[100]Adj Sales Forecast'!I22</f>
        <v>116000000</v>
      </c>
      <c r="F22" s="8">
        <f>'[100]Adj Demand Forecast '!I8</f>
        <v>227040</v>
      </c>
      <c r="G22" s="8">
        <f t="shared" si="15"/>
        <v>102080000</v>
      </c>
      <c r="H22" s="8">
        <f t="shared" si="15"/>
        <v>199795</v>
      </c>
      <c r="I22" s="169" t="e">
        <f t="shared" si="16"/>
        <v>#REF!</v>
      </c>
      <c r="J22" s="169">
        <f t="shared" si="16"/>
        <v>1026946</v>
      </c>
      <c r="K22" s="169" t="e">
        <f>I22+J22</f>
        <v>#REF!</v>
      </c>
      <c r="L22" s="169">
        <f>ROUND(B22*G22,0)</f>
        <v>679853</v>
      </c>
      <c r="M22" s="493"/>
      <c r="N22" s="493">
        <f>B22</f>
        <v>6.6600000000000001E-3</v>
      </c>
      <c r="O22" s="493" t="e">
        <f>#REF!</f>
        <v>#REF!</v>
      </c>
      <c r="P22" s="505">
        <f>'Nov Price Out'!P22</f>
        <v>1.05</v>
      </c>
      <c r="Q22" s="502">
        <f t="shared" si="17"/>
        <v>13920000</v>
      </c>
      <c r="R22" s="502">
        <f t="shared" si="17"/>
        <v>27245</v>
      </c>
      <c r="S22" s="169" t="e">
        <f t="shared" si="18"/>
        <v>#REF!</v>
      </c>
      <c r="T22" s="169">
        <f t="shared" si="18"/>
        <v>28607</v>
      </c>
      <c r="U22" s="169" t="e">
        <f>S22+T22</f>
        <v>#REF!</v>
      </c>
      <c r="V22" s="169">
        <f>ROUND(N22*Q22,0)</f>
        <v>92707</v>
      </c>
      <c r="X22" s="493" t="s">
        <v>303</v>
      </c>
      <c r="Y22" s="503" t="e">
        <f t="shared" si="19"/>
        <v>#REF!</v>
      </c>
      <c r="Z22" s="503">
        <f t="shared" si="19"/>
        <v>1055553</v>
      </c>
      <c r="AA22" s="503" t="e">
        <f>Y22+Z22</f>
        <v>#REF!</v>
      </c>
      <c r="AB22" s="503">
        <f>L22+V22</f>
        <v>772560</v>
      </c>
    </row>
    <row r="23" spans="1:28" x14ac:dyDescent="0.25">
      <c r="A23" s="493" t="s">
        <v>305</v>
      </c>
      <c r="B23" s="493">
        <f>$B$8</f>
        <v>6.6600000000000001E-3</v>
      </c>
      <c r="C23" s="493" t="e">
        <f>#REF!</f>
        <v>#REF!</v>
      </c>
      <c r="D23" s="505">
        <f>'Nov Price Out'!D23</f>
        <v>3.45</v>
      </c>
      <c r="E23" s="502">
        <f>'[100]Adj Sales Forecast'!I27</f>
        <v>1465350562</v>
      </c>
      <c r="F23" s="8">
        <f>'[100]Adj Demand Forecast '!I14</f>
        <v>3875171.1999999997</v>
      </c>
      <c r="G23" s="8">
        <f t="shared" si="15"/>
        <v>1289508495</v>
      </c>
      <c r="H23" s="8">
        <f t="shared" si="15"/>
        <v>3410151</v>
      </c>
      <c r="I23" s="169" t="e">
        <f t="shared" si="16"/>
        <v>#REF!</v>
      </c>
      <c r="J23" s="169">
        <f t="shared" si="16"/>
        <v>11765021</v>
      </c>
      <c r="K23" s="169" t="e">
        <f>I23+J23</f>
        <v>#REF!</v>
      </c>
      <c r="L23" s="169">
        <f>ROUND(B23*G23,0)</f>
        <v>8588127</v>
      </c>
      <c r="M23" s="493"/>
      <c r="N23" s="493">
        <f>B23</f>
        <v>6.6600000000000001E-3</v>
      </c>
      <c r="O23" s="493" t="e">
        <f>#REF!</f>
        <v>#REF!</v>
      </c>
      <c r="P23" s="505">
        <f>'Nov Price Out'!P23</f>
        <v>0.7</v>
      </c>
      <c r="Q23" s="502">
        <f t="shared" si="17"/>
        <v>175842067</v>
      </c>
      <c r="R23" s="502">
        <f t="shared" si="17"/>
        <v>465020.19999999972</v>
      </c>
      <c r="S23" s="169" t="e">
        <f t="shared" si="18"/>
        <v>#REF!</v>
      </c>
      <c r="T23" s="169">
        <f t="shared" si="18"/>
        <v>325514</v>
      </c>
      <c r="U23" s="169" t="e">
        <f>S23+T23</f>
        <v>#REF!</v>
      </c>
      <c r="V23" s="169">
        <f>ROUND(N23*Q23,0)</f>
        <v>1171108</v>
      </c>
      <c r="X23" s="493" t="s">
        <v>305</v>
      </c>
      <c r="Y23" s="503" t="e">
        <f t="shared" si="19"/>
        <v>#REF!</v>
      </c>
      <c r="Z23" s="503">
        <f t="shared" si="19"/>
        <v>12090535</v>
      </c>
      <c r="AA23" s="503" t="e">
        <f>Y23+Z23</f>
        <v>#REF!</v>
      </c>
      <c r="AB23" s="503">
        <f>L23+V23</f>
        <v>9759235</v>
      </c>
    </row>
    <row r="24" spans="1:28" x14ac:dyDescent="0.25">
      <c r="A24" s="493" t="s">
        <v>310</v>
      </c>
      <c r="B24" s="493">
        <f>$B$8</f>
        <v>6.6600000000000001E-3</v>
      </c>
      <c r="C24" s="493" t="e">
        <f>#REF!</f>
        <v>#REF!</v>
      </c>
      <c r="D24" s="505">
        <f>'Nov Price Out'!D24</f>
        <v>1.75</v>
      </c>
      <c r="E24" s="502">
        <f>'[100]Adj Sales Forecast'!I32</f>
        <v>17875602</v>
      </c>
      <c r="F24" s="8">
        <f>'[100]Adj Demand Forecast '!I20</f>
        <v>39000</v>
      </c>
      <c r="G24" s="8">
        <f t="shared" si="15"/>
        <v>15730530</v>
      </c>
      <c r="H24" s="8">
        <f t="shared" si="15"/>
        <v>34320</v>
      </c>
      <c r="I24" s="169" t="e">
        <f t="shared" si="16"/>
        <v>#REF!</v>
      </c>
      <c r="J24" s="169">
        <f t="shared" si="16"/>
        <v>60060</v>
      </c>
      <c r="K24" s="169" t="e">
        <f>I24+J24</f>
        <v>#REF!</v>
      </c>
      <c r="L24" s="169">
        <f>ROUND(B24*G24,0)</f>
        <v>104765</v>
      </c>
      <c r="M24" s="493"/>
      <c r="N24" s="493">
        <f>B24</f>
        <v>6.6600000000000001E-3</v>
      </c>
      <c r="O24" s="493" t="e">
        <f>#REF!</f>
        <v>#REF!</v>
      </c>
      <c r="P24" s="505">
        <f>'Nov Price Out'!P24</f>
        <v>0.36</v>
      </c>
      <c r="Q24" s="502">
        <f t="shared" si="17"/>
        <v>2145072</v>
      </c>
      <c r="R24" s="502">
        <f t="shared" si="17"/>
        <v>4680</v>
      </c>
      <c r="S24" s="169" t="e">
        <f t="shared" si="18"/>
        <v>#REF!</v>
      </c>
      <c r="T24" s="169">
        <f t="shared" si="18"/>
        <v>1685</v>
      </c>
      <c r="U24" s="169" t="e">
        <f>S24+T24</f>
        <v>#REF!</v>
      </c>
      <c r="V24" s="169">
        <f>ROUND(N24*Q24,0)</f>
        <v>14286</v>
      </c>
      <c r="X24" s="493" t="s">
        <v>310</v>
      </c>
      <c r="Y24" s="503" t="e">
        <f t="shared" si="19"/>
        <v>#REF!</v>
      </c>
      <c r="Z24" s="503">
        <f t="shared" si="19"/>
        <v>61745</v>
      </c>
      <c r="AA24" s="503" t="e">
        <f>Y24+Z24</f>
        <v>#REF!</v>
      </c>
      <c r="AB24" s="503">
        <f>L24+V24</f>
        <v>119051</v>
      </c>
    </row>
    <row r="25" spans="1:28" x14ac:dyDescent="0.25">
      <c r="A25" s="493"/>
      <c r="B25" s="493"/>
      <c r="C25" s="493"/>
      <c r="D25" s="493"/>
      <c r="E25" s="493"/>
      <c r="F25" s="8"/>
      <c r="G25" s="8"/>
      <c r="H25" s="8"/>
      <c r="I25" s="493"/>
      <c r="J25" s="493"/>
      <c r="K25" s="493"/>
      <c r="L25" s="493"/>
      <c r="M25" s="493"/>
      <c r="N25" s="493"/>
      <c r="O25" s="493"/>
      <c r="P25" s="493"/>
      <c r="Q25" s="493"/>
      <c r="R25" s="8"/>
      <c r="S25" s="169"/>
      <c r="T25" s="169"/>
      <c r="U25" s="169"/>
      <c r="V25" s="169"/>
      <c r="X25" s="493"/>
      <c r="Y25" s="503"/>
      <c r="Z25" s="503"/>
      <c r="AA25" s="503"/>
      <c r="AB25" s="503"/>
    </row>
    <row r="26" spans="1:28" x14ac:dyDescent="0.25">
      <c r="A26" s="493" t="s">
        <v>519</v>
      </c>
      <c r="B26" s="493">
        <f t="shared" ref="B26:B31" si="20">$B$8</f>
        <v>6.6600000000000001E-3</v>
      </c>
      <c r="C26" s="504" t="e">
        <f>#REF!</f>
        <v>#REF!</v>
      </c>
      <c r="D26" s="505">
        <f>'Nov Price Out'!D26</f>
        <v>5.22</v>
      </c>
      <c r="E26" s="8">
        <f>'[100]Forecasted TOD kWh by Period'!I54</f>
        <v>5304000</v>
      </c>
      <c r="F26" s="8">
        <f>'[100]Forecasted TOD kW by Period'!N26</f>
        <v>20733</v>
      </c>
      <c r="G26" s="8">
        <f t="shared" ref="G26:G31" si="21">ROUND(E26*0.88,0)</f>
        <v>4667520</v>
      </c>
      <c r="H26" s="8">
        <f>ROUND(F26*0.88,0)</f>
        <v>18245</v>
      </c>
      <c r="I26" s="169" t="e">
        <f t="shared" ref="I26:J31" si="22">ROUND(C26*G26,0)</f>
        <v>#REF!</v>
      </c>
      <c r="J26" s="169">
        <f t="shared" si="22"/>
        <v>95239</v>
      </c>
      <c r="K26" s="169" t="e">
        <f>I26+J26</f>
        <v>#REF!</v>
      </c>
      <c r="L26" s="169">
        <f>ROUND(B26*G26,0)</f>
        <v>31086</v>
      </c>
      <c r="M26" s="493"/>
      <c r="N26" s="493">
        <f t="shared" ref="N26:N31" si="23">B26</f>
        <v>6.6600000000000001E-3</v>
      </c>
      <c r="O26" s="504" t="e">
        <f>#REF!</f>
        <v>#REF!</v>
      </c>
      <c r="P26" s="505">
        <f>'Nov Price Out'!P26</f>
        <v>1.07</v>
      </c>
      <c r="Q26" s="502">
        <f>E26-G26</f>
        <v>636480</v>
      </c>
      <c r="R26" s="502">
        <f>F26-H26</f>
        <v>2488</v>
      </c>
      <c r="S26" s="169" t="e">
        <f t="shared" ref="S26:T31" si="24">ROUND(O26*Q26,0)</f>
        <v>#REF!</v>
      </c>
      <c r="T26" s="169">
        <f t="shared" si="24"/>
        <v>2662</v>
      </c>
      <c r="U26" s="169" t="e">
        <f t="shared" ref="U26:U31" si="25">S26+T26</f>
        <v>#REF!</v>
      </c>
      <c r="V26" s="169">
        <f t="shared" ref="V26:V31" si="26">ROUND(N26*Q26,0)</f>
        <v>4239</v>
      </c>
      <c r="X26" s="493" t="s">
        <v>519</v>
      </c>
      <c r="Y26" s="503" t="e">
        <f t="shared" ref="Y26:Z31" si="27">I26+S26</f>
        <v>#REF!</v>
      </c>
      <c r="Z26" s="503">
        <f t="shared" si="27"/>
        <v>97901</v>
      </c>
      <c r="AA26" s="503" t="e">
        <f t="shared" ref="AA26:AA31" si="28">Y26+Z26</f>
        <v>#REF!</v>
      </c>
      <c r="AB26" s="503">
        <f t="shared" ref="AB26:AB31" si="29">L26+V26</f>
        <v>35325</v>
      </c>
    </row>
    <row r="27" spans="1:28" x14ac:dyDescent="0.25">
      <c r="A27" s="493" t="s">
        <v>520</v>
      </c>
      <c r="B27" s="493">
        <f t="shared" si="20"/>
        <v>6.6600000000000001E-3</v>
      </c>
      <c r="C27" s="504" t="e">
        <f>#REF!</f>
        <v>#REF!</v>
      </c>
      <c r="D27" s="493">
        <f>'Nov Price Out'!D27</f>
        <v>0</v>
      </c>
      <c r="E27" s="8">
        <f>'[100]Forecasted TOD kWh by Period'!I55</f>
        <v>6696000</v>
      </c>
      <c r="F27" s="8"/>
      <c r="G27" s="8">
        <f t="shared" si="21"/>
        <v>5892480</v>
      </c>
      <c r="H27" s="8"/>
      <c r="I27" s="169" t="e">
        <f t="shared" si="22"/>
        <v>#REF!</v>
      </c>
      <c r="J27" s="169">
        <f t="shared" si="22"/>
        <v>0</v>
      </c>
      <c r="K27" s="169" t="e">
        <f>I27+J27</f>
        <v>#REF!</v>
      </c>
      <c r="L27" s="169">
        <f>ROUND(B27*G27,0)</f>
        <v>39244</v>
      </c>
      <c r="M27" s="493"/>
      <c r="N27" s="493">
        <f t="shared" si="23"/>
        <v>6.6600000000000001E-3</v>
      </c>
      <c r="O27" s="504" t="e">
        <f>#REF!</f>
        <v>#REF!</v>
      </c>
      <c r="P27" s="493">
        <f>'Nov Price Out'!P27</f>
        <v>0</v>
      </c>
      <c r="Q27" s="502">
        <f>E27-G27</f>
        <v>803520</v>
      </c>
      <c r="R27" s="502"/>
      <c r="S27" s="169" t="e">
        <f t="shared" si="24"/>
        <v>#REF!</v>
      </c>
      <c r="T27" s="169">
        <f t="shared" si="24"/>
        <v>0</v>
      </c>
      <c r="U27" s="169" t="e">
        <f t="shared" si="25"/>
        <v>#REF!</v>
      </c>
      <c r="V27" s="169">
        <f t="shared" si="26"/>
        <v>5351</v>
      </c>
      <c r="X27" s="493" t="s">
        <v>520</v>
      </c>
      <c r="Y27" s="503" t="e">
        <f t="shared" si="27"/>
        <v>#REF!</v>
      </c>
      <c r="Z27" s="503">
        <f t="shared" si="27"/>
        <v>0</v>
      </c>
      <c r="AA27" s="503" t="e">
        <f t="shared" si="28"/>
        <v>#REF!</v>
      </c>
      <c r="AB27" s="503">
        <f t="shared" si="29"/>
        <v>44595</v>
      </c>
    </row>
    <row r="28" spans="1:28" x14ac:dyDescent="0.25">
      <c r="A28" s="493" t="s">
        <v>521</v>
      </c>
      <c r="B28" s="493">
        <f t="shared" si="20"/>
        <v>6.6600000000000001E-3</v>
      </c>
      <c r="C28" s="504" t="e">
        <f>#REF!</f>
        <v>#REF!</v>
      </c>
      <c r="D28" s="505">
        <f>'Nov Price Out'!D28</f>
        <v>3.49</v>
      </c>
      <c r="E28" s="502">
        <f>'[100]Forecasted TOD kWh by Period'!I58</f>
        <v>53181100</v>
      </c>
      <c r="F28" s="8">
        <f>'[100]Forecasted TOD kW by Period'!N30</f>
        <v>190838</v>
      </c>
      <c r="G28" s="8">
        <f t="shared" si="21"/>
        <v>46799368</v>
      </c>
      <c r="H28" s="8">
        <f>ROUND(F28*0.88,0)</f>
        <v>167937</v>
      </c>
      <c r="I28" s="169" t="e">
        <f t="shared" si="22"/>
        <v>#REF!</v>
      </c>
      <c r="J28" s="169">
        <f t="shared" si="22"/>
        <v>586100</v>
      </c>
      <c r="K28" s="169" t="e">
        <f>I28+J28</f>
        <v>#REF!</v>
      </c>
      <c r="L28" s="169">
        <f>ROUND(B28*G28,0)</f>
        <v>311684</v>
      </c>
      <c r="M28" s="493"/>
      <c r="N28" s="493">
        <f t="shared" si="23"/>
        <v>6.6600000000000001E-3</v>
      </c>
      <c r="O28" s="504" t="e">
        <f>#REF!</f>
        <v>#REF!</v>
      </c>
      <c r="P28" s="505">
        <f>'Nov Price Out'!P28</f>
        <v>0.71</v>
      </c>
      <c r="Q28" s="502">
        <f>E28-G28</f>
        <v>6381732</v>
      </c>
      <c r="R28" s="502">
        <f>F28-H28</f>
        <v>22901</v>
      </c>
      <c r="S28" s="169" t="e">
        <f t="shared" si="24"/>
        <v>#REF!</v>
      </c>
      <c r="T28" s="169">
        <f t="shared" si="24"/>
        <v>16260</v>
      </c>
      <c r="U28" s="169" t="e">
        <f t="shared" si="25"/>
        <v>#REF!</v>
      </c>
      <c r="V28" s="169">
        <f t="shared" si="26"/>
        <v>42502</v>
      </c>
      <c r="X28" s="493" t="s">
        <v>521</v>
      </c>
      <c r="Y28" s="503" t="e">
        <f t="shared" si="27"/>
        <v>#REF!</v>
      </c>
      <c r="Z28" s="503">
        <f t="shared" si="27"/>
        <v>602360</v>
      </c>
      <c r="AA28" s="503" t="e">
        <f t="shared" si="28"/>
        <v>#REF!</v>
      </c>
      <c r="AB28" s="503">
        <f t="shared" si="29"/>
        <v>354186</v>
      </c>
    </row>
    <row r="29" spans="1:28" x14ac:dyDescent="0.25">
      <c r="A29" s="493" t="s">
        <v>522</v>
      </c>
      <c r="B29" s="493">
        <f t="shared" si="20"/>
        <v>6.6600000000000001E-3</v>
      </c>
      <c r="C29" s="504" t="e">
        <f>#REF!</f>
        <v>#REF!</v>
      </c>
      <c r="D29" s="493">
        <f>'Nov Price Out'!D29</f>
        <v>0</v>
      </c>
      <c r="E29" s="502">
        <f>'[100]Forecasted TOD kWh by Period'!I59</f>
        <v>65818900</v>
      </c>
      <c r="F29" s="8"/>
      <c r="G29" s="8">
        <f t="shared" si="21"/>
        <v>57920632</v>
      </c>
      <c r="H29" s="8"/>
      <c r="I29" s="169" t="e">
        <f t="shared" si="22"/>
        <v>#REF!</v>
      </c>
      <c r="J29" s="169">
        <f t="shared" si="22"/>
        <v>0</v>
      </c>
      <c r="K29" s="169" t="e">
        <f>I29+J29</f>
        <v>#REF!</v>
      </c>
      <c r="L29" s="169">
        <f>ROUND(B29*G29,0)</f>
        <v>385751</v>
      </c>
      <c r="M29" s="493"/>
      <c r="N29" s="493">
        <f t="shared" si="23"/>
        <v>6.6600000000000001E-3</v>
      </c>
      <c r="O29" s="504" t="e">
        <f>#REF!</f>
        <v>#REF!</v>
      </c>
      <c r="P29" s="493">
        <f>'Nov Price Out'!P29</f>
        <v>0</v>
      </c>
      <c r="Q29" s="502">
        <f>E29-G29</f>
        <v>7898268</v>
      </c>
      <c r="R29" s="502"/>
      <c r="S29" s="169" t="e">
        <f t="shared" si="24"/>
        <v>#REF!</v>
      </c>
      <c r="T29" s="169">
        <f t="shared" si="24"/>
        <v>0</v>
      </c>
      <c r="U29" s="169" t="e">
        <f t="shared" si="25"/>
        <v>#REF!</v>
      </c>
      <c r="V29" s="169">
        <f t="shared" si="26"/>
        <v>52602</v>
      </c>
      <c r="X29" s="493" t="s">
        <v>522</v>
      </c>
      <c r="Y29" s="503" t="e">
        <f t="shared" si="27"/>
        <v>#REF!</v>
      </c>
      <c r="Z29" s="503">
        <f t="shared" si="27"/>
        <v>0</v>
      </c>
      <c r="AA29" s="503" t="e">
        <f t="shared" si="28"/>
        <v>#REF!</v>
      </c>
      <c r="AB29" s="503">
        <f t="shared" si="29"/>
        <v>438353</v>
      </c>
    </row>
    <row r="30" spans="1:28" x14ac:dyDescent="0.25">
      <c r="A30" s="493" t="s">
        <v>523</v>
      </c>
      <c r="B30" s="493">
        <f t="shared" si="20"/>
        <v>6.6600000000000001E-3</v>
      </c>
      <c r="C30" s="504" t="e">
        <f>#REF!</f>
        <v>#REF!</v>
      </c>
      <c r="D30" s="505">
        <f>'Nov Price Out'!D30</f>
        <v>1.77</v>
      </c>
      <c r="E30" s="8">
        <f>'[100]Adj Sales Forecast'!I33</f>
        <v>0</v>
      </c>
      <c r="F30" s="8">
        <f>'[100]Adj Demand Forecast '!B21</f>
        <v>0</v>
      </c>
      <c r="G30" s="8">
        <f t="shared" si="21"/>
        <v>0</v>
      </c>
      <c r="H30" s="8">
        <f>ROUND(F30*0.88,0)</f>
        <v>0</v>
      </c>
      <c r="I30" s="169" t="e">
        <f t="shared" si="22"/>
        <v>#REF!</v>
      </c>
      <c r="J30" s="169">
        <f t="shared" si="22"/>
        <v>0</v>
      </c>
      <c r="K30" s="169" t="e">
        <f>I30+J30</f>
        <v>#REF!</v>
      </c>
      <c r="L30" s="169">
        <f>ROUND(B30*G30,0)</f>
        <v>0</v>
      </c>
      <c r="M30" s="493"/>
      <c r="N30" s="493">
        <f t="shared" si="23"/>
        <v>6.6600000000000001E-3</v>
      </c>
      <c r="O30" s="504" t="e">
        <f>#REF!</f>
        <v>#REF!</v>
      </c>
      <c r="P30" s="505">
        <f>'Nov Price Out'!P30</f>
        <v>0.36</v>
      </c>
      <c r="Q30" s="65">
        <f>E30-G30</f>
        <v>0</v>
      </c>
      <c r="R30" s="65">
        <f>F30-H30</f>
        <v>0</v>
      </c>
      <c r="S30" s="169" t="e">
        <f t="shared" si="24"/>
        <v>#REF!</v>
      </c>
      <c r="T30" s="169">
        <f t="shared" si="24"/>
        <v>0</v>
      </c>
      <c r="U30" s="169" t="e">
        <f t="shared" si="25"/>
        <v>#REF!</v>
      </c>
      <c r="V30" s="169">
        <f t="shared" si="26"/>
        <v>0</v>
      </c>
      <c r="X30" s="493" t="s">
        <v>523</v>
      </c>
      <c r="Y30" s="503" t="e">
        <f t="shared" si="27"/>
        <v>#REF!</v>
      </c>
      <c r="Z30" s="503">
        <f t="shared" si="27"/>
        <v>0</v>
      </c>
      <c r="AA30" s="503" t="e">
        <f t="shared" si="28"/>
        <v>#REF!</v>
      </c>
      <c r="AB30" s="503">
        <f t="shared" si="29"/>
        <v>0</v>
      </c>
    </row>
    <row r="31" spans="1:28" x14ac:dyDescent="0.25">
      <c r="A31" s="493" t="s">
        <v>524</v>
      </c>
      <c r="B31" s="493">
        <f t="shared" si="20"/>
        <v>6.6600000000000001E-3</v>
      </c>
      <c r="C31" s="504" t="e">
        <f>#REF!</f>
        <v>#REF!</v>
      </c>
      <c r="D31" s="493">
        <f>'Nov Price Out'!D31</f>
        <v>0</v>
      </c>
      <c r="E31" s="65">
        <v>0</v>
      </c>
      <c r="F31" s="8"/>
      <c r="G31" s="8">
        <f t="shared" si="21"/>
        <v>0</v>
      </c>
      <c r="H31" s="8"/>
      <c r="I31" s="169" t="e">
        <f t="shared" si="22"/>
        <v>#REF!</v>
      </c>
      <c r="J31" s="169">
        <f t="shared" si="22"/>
        <v>0</v>
      </c>
      <c r="K31" s="169" t="e">
        <f>ROUND(D31*I31,0)</f>
        <v>#REF!</v>
      </c>
      <c r="L31" s="169">
        <f>ROUND(E31*J31,0)</f>
        <v>0</v>
      </c>
      <c r="M31" s="493"/>
      <c r="N31" s="493">
        <f t="shared" si="23"/>
        <v>6.6600000000000001E-3</v>
      </c>
      <c r="O31" s="504" t="e">
        <f>#REF!</f>
        <v>#REF!</v>
      </c>
      <c r="P31" s="493">
        <f>'Nov Price Out'!P31</f>
        <v>0</v>
      </c>
      <c r="Q31" s="65">
        <v>0</v>
      </c>
      <c r="R31" s="65">
        <v>0</v>
      </c>
      <c r="S31" s="169" t="e">
        <f t="shared" si="24"/>
        <v>#REF!</v>
      </c>
      <c r="T31" s="169">
        <f t="shared" si="24"/>
        <v>0</v>
      </c>
      <c r="U31" s="169" t="e">
        <f t="shared" si="25"/>
        <v>#REF!</v>
      </c>
      <c r="V31" s="169">
        <f t="shared" si="26"/>
        <v>0</v>
      </c>
      <c r="X31" s="493" t="s">
        <v>524</v>
      </c>
      <c r="Y31" s="503" t="e">
        <f t="shared" si="27"/>
        <v>#REF!</v>
      </c>
      <c r="Z31" s="503">
        <f t="shared" si="27"/>
        <v>0</v>
      </c>
      <c r="AA31" s="503" t="e">
        <f t="shared" si="28"/>
        <v>#REF!</v>
      </c>
      <c r="AB31" s="503">
        <f t="shared" si="29"/>
        <v>0</v>
      </c>
    </row>
    <row r="32" spans="1:28" x14ac:dyDescent="0.25">
      <c r="A32" s="493"/>
      <c r="B32" s="504"/>
      <c r="C32" s="504"/>
      <c r="D32" s="493"/>
      <c r="E32" s="493"/>
      <c r="F32" s="8"/>
      <c r="G32" s="8"/>
      <c r="H32" s="8"/>
      <c r="I32" s="493"/>
      <c r="J32" s="493"/>
      <c r="K32" s="493"/>
      <c r="L32" s="493"/>
      <c r="M32" s="493"/>
      <c r="N32" s="493"/>
      <c r="O32" s="504"/>
      <c r="P32" s="493"/>
      <c r="Q32" s="493"/>
      <c r="R32" s="8"/>
      <c r="S32" s="493"/>
      <c r="T32" s="493"/>
      <c r="U32" s="493"/>
      <c r="V32" s="493"/>
      <c r="X32" s="493"/>
      <c r="Y32" s="503"/>
      <c r="Z32" s="503"/>
      <c r="AA32" s="503"/>
      <c r="AB32" s="503"/>
    </row>
    <row r="33" spans="1:28" x14ac:dyDescent="0.25">
      <c r="A33" s="493" t="s">
        <v>525</v>
      </c>
      <c r="B33" s="493">
        <f t="shared" ref="B33:B42" si="30">$B$8</f>
        <v>6.6600000000000001E-3</v>
      </c>
      <c r="C33" s="504" t="e">
        <f>#REF!</f>
        <v>#REF!</v>
      </c>
      <c r="D33" s="505">
        <f>'Nov Price Out'!D33</f>
        <v>2.93</v>
      </c>
      <c r="E33" s="502">
        <f>'[100]Forecasted TOD kWh by Period'!I8</f>
        <v>3939300</v>
      </c>
      <c r="F33" s="8">
        <f>'[100]Forecasted TOD kW by Period'!N6</f>
        <v>13215</v>
      </c>
      <c r="G33" s="8">
        <f t="shared" ref="G33:G42" si="31">ROUND(E33*0.88,0)</f>
        <v>3466584</v>
      </c>
      <c r="H33" s="8">
        <f>ROUND(F33*0.88,0)</f>
        <v>11629</v>
      </c>
      <c r="I33" s="169" t="e">
        <f t="shared" ref="I33:J42" si="32">ROUND(C33*G33,0)</f>
        <v>#REF!</v>
      </c>
      <c r="J33" s="169">
        <f t="shared" si="32"/>
        <v>34073</v>
      </c>
      <c r="K33" s="169" t="e">
        <f t="shared" ref="K33:K42" si="33">I33+J33</f>
        <v>#REF!</v>
      </c>
      <c r="L33" s="169">
        <f t="shared" ref="L33:L42" si="34">ROUND(B33*G33,0)</f>
        <v>23087</v>
      </c>
      <c r="M33" s="493"/>
      <c r="N33" s="493">
        <f t="shared" ref="N33:N42" si="35">B33</f>
        <v>6.6600000000000001E-3</v>
      </c>
      <c r="O33" s="504" t="e">
        <f>#REF!</f>
        <v>#REF!</v>
      </c>
      <c r="P33" s="505">
        <f>'Nov Price Out'!P33</f>
        <v>0.6</v>
      </c>
      <c r="Q33" s="502">
        <f t="shared" ref="Q33:Q42" si="36">E33-G33</f>
        <v>472716</v>
      </c>
      <c r="R33" s="502">
        <f>F33-H33</f>
        <v>1586</v>
      </c>
      <c r="S33" s="169" t="e">
        <f t="shared" ref="S33:T42" si="37">ROUND(O33*Q33,0)</f>
        <v>#REF!</v>
      </c>
      <c r="T33" s="169">
        <f t="shared" si="37"/>
        <v>952</v>
      </c>
      <c r="U33" s="169" t="e">
        <f t="shared" ref="U33:U42" si="38">S33+T33</f>
        <v>#REF!</v>
      </c>
      <c r="V33" s="169">
        <f t="shared" ref="V33:V42" si="39">ROUND(N33*Q33,0)</f>
        <v>3148</v>
      </c>
      <c r="X33" s="493" t="s">
        <v>525</v>
      </c>
      <c r="Y33" s="503" t="e">
        <f t="shared" ref="Y33:Z42" si="40">I33+S33</f>
        <v>#REF!</v>
      </c>
      <c r="Z33" s="503">
        <f t="shared" si="40"/>
        <v>35025</v>
      </c>
      <c r="AA33" s="503" t="e">
        <f t="shared" ref="AA33:AA42" si="41">Y33+Z33</f>
        <v>#REF!</v>
      </c>
      <c r="AB33" s="503">
        <f t="shared" ref="AB33:AB42" si="42">L33+V33</f>
        <v>26235</v>
      </c>
    </row>
    <row r="34" spans="1:28" x14ac:dyDescent="0.25">
      <c r="A34" s="493" t="s">
        <v>526</v>
      </c>
      <c r="B34" s="493">
        <f t="shared" si="30"/>
        <v>6.6600000000000001E-3</v>
      </c>
      <c r="C34" s="504" t="e">
        <f>#REF!</f>
        <v>#REF!</v>
      </c>
      <c r="D34" s="493">
        <f>'Nov Price Out'!D34</f>
        <v>0</v>
      </c>
      <c r="E34" s="502">
        <f>'[100]Forecasted TOD kWh by Period'!I9</f>
        <v>5060700</v>
      </c>
      <c r="F34" s="8"/>
      <c r="G34" s="8">
        <f t="shared" si="31"/>
        <v>4453416</v>
      </c>
      <c r="H34" s="8"/>
      <c r="I34" s="169" t="e">
        <f t="shared" si="32"/>
        <v>#REF!</v>
      </c>
      <c r="J34" s="169">
        <f t="shared" si="32"/>
        <v>0</v>
      </c>
      <c r="K34" s="169" t="e">
        <f t="shared" si="33"/>
        <v>#REF!</v>
      </c>
      <c r="L34" s="169">
        <f t="shared" si="34"/>
        <v>29660</v>
      </c>
      <c r="M34" s="493"/>
      <c r="N34" s="493">
        <f t="shared" si="35"/>
        <v>6.6600000000000001E-3</v>
      </c>
      <c r="O34" s="504" t="e">
        <f>#REF!</f>
        <v>#REF!</v>
      </c>
      <c r="P34" s="493">
        <f>'Nov Price Out'!P34</f>
        <v>0</v>
      </c>
      <c r="Q34" s="502">
        <f t="shared" si="36"/>
        <v>607284</v>
      </c>
      <c r="R34" s="502"/>
      <c r="S34" s="169" t="e">
        <f t="shared" si="37"/>
        <v>#REF!</v>
      </c>
      <c r="T34" s="169">
        <f t="shared" si="37"/>
        <v>0</v>
      </c>
      <c r="U34" s="169" t="e">
        <f t="shared" si="38"/>
        <v>#REF!</v>
      </c>
      <c r="V34" s="169">
        <f t="shared" si="39"/>
        <v>4045</v>
      </c>
      <c r="X34" s="493" t="s">
        <v>526</v>
      </c>
      <c r="Y34" s="503" t="e">
        <f t="shared" si="40"/>
        <v>#REF!</v>
      </c>
      <c r="Z34" s="503">
        <f t="shared" si="40"/>
        <v>0</v>
      </c>
      <c r="AA34" s="503" t="e">
        <f t="shared" si="41"/>
        <v>#REF!</v>
      </c>
      <c r="AB34" s="503">
        <f t="shared" si="42"/>
        <v>33705</v>
      </c>
    </row>
    <row r="35" spans="1:28" x14ac:dyDescent="0.25">
      <c r="A35" s="493" t="s">
        <v>527</v>
      </c>
      <c r="B35" s="493">
        <f t="shared" si="30"/>
        <v>6.6600000000000001E-3</v>
      </c>
      <c r="C35" s="504" t="e">
        <f>#REF!</f>
        <v>#REF!</v>
      </c>
      <c r="D35" s="505">
        <f>'Nov Price Out'!D35</f>
        <v>5.99</v>
      </c>
      <c r="E35" s="502">
        <f>'[100]Forecasted TOD kWh by Period'!I12</f>
        <v>4538000</v>
      </c>
      <c r="F35" s="8">
        <f>'[100]Forecasted TOD kW by Period'!N10</f>
        <v>16952</v>
      </c>
      <c r="G35" s="8">
        <f t="shared" si="31"/>
        <v>3993440</v>
      </c>
      <c r="H35" s="8">
        <f>ROUND(F35*0.88,0)</f>
        <v>14918</v>
      </c>
      <c r="I35" s="169" t="e">
        <f t="shared" si="32"/>
        <v>#REF!</v>
      </c>
      <c r="J35" s="169">
        <f t="shared" si="32"/>
        <v>89359</v>
      </c>
      <c r="K35" s="169" t="e">
        <f t="shared" si="33"/>
        <v>#REF!</v>
      </c>
      <c r="L35" s="169">
        <f t="shared" si="34"/>
        <v>26596</v>
      </c>
      <c r="M35" s="493"/>
      <c r="N35" s="493">
        <f t="shared" si="35"/>
        <v>6.6600000000000001E-3</v>
      </c>
      <c r="O35" s="504" t="e">
        <f>#REF!</f>
        <v>#REF!</v>
      </c>
      <c r="P35" s="505">
        <f>'Nov Price Out'!P35</f>
        <v>1.22</v>
      </c>
      <c r="Q35" s="502">
        <f t="shared" si="36"/>
        <v>544560</v>
      </c>
      <c r="R35" s="502">
        <f>F35-H35</f>
        <v>2034</v>
      </c>
      <c r="S35" s="169" t="e">
        <f t="shared" si="37"/>
        <v>#REF!</v>
      </c>
      <c r="T35" s="169">
        <f t="shared" si="37"/>
        <v>2481</v>
      </c>
      <c r="U35" s="169" t="e">
        <f t="shared" si="38"/>
        <v>#REF!</v>
      </c>
      <c r="V35" s="169">
        <f t="shared" si="39"/>
        <v>3627</v>
      </c>
      <c r="X35" s="493" t="s">
        <v>527</v>
      </c>
      <c r="Y35" s="503" t="e">
        <f t="shared" si="40"/>
        <v>#REF!</v>
      </c>
      <c r="Z35" s="503">
        <f t="shared" si="40"/>
        <v>91840</v>
      </c>
      <c r="AA35" s="503" t="e">
        <f t="shared" si="41"/>
        <v>#REF!</v>
      </c>
      <c r="AB35" s="503">
        <f t="shared" si="42"/>
        <v>30223</v>
      </c>
    </row>
    <row r="36" spans="1:28" x14ac:dyDescent="0.25">
      <c r="A36" s="493" t="s">
        <v>528</v>
      </c>
      <c r="B36" s="493">
        <f t="shared" si="30"/>
        <v>6.6600000000000001E-3</v>
      </c>
      <c r="C36" s="504" t="e">
        <f>#REF!</f>
        <v>#REF!</v>
      </c>
      <c r="D36" s="493">
        <f>'Nov Price Out'!D36</f>
        <v>0</v>
      </c>
      <c r="E36" s="502">
        <f>'[100]Forecasted TOD kWh by Period'!I13</f>
        <v>5462000</v>
      </c>
      <c r="F36" s="8"/>
      <c r="G36" s="8">
        <f t="shared" si="31"/>
        <v>4806560</v>
      </c>
      <c r="H36" s="8"/>
      <c r="I36" s="169" t="e">
        <f t="shared" si="32"/>
        <v>#REF!</v>
      </c>
      <c r="J36" s="169">
        <f t="shared" si="32"/>
        <v>0</v>
      </c>
      <c r="K36" s="169" t="e">
        <f t="shared" si="33"/>
        <v>#REF!</v>
      </c>
      <c r="L36" s="169">
        <f t="shared" si="34"/>
        <v>32012</v>
      </c>
      <c r="M36" s="493"/>
      <c r="N36" s="493">
        <f t="shared" si="35"/>
        <v>6.6600000000000001E-3</v>
      </c>
      <c r="O36" s="504" t="e">
        <f>#REF!</f>
        <v>#REF!</v>
      </c>
      <c r="P36" s="493">
        <f>'Nov Price Out'!P36</f>
        <v>0</v>
      </c>
      <c r="Q36" s="502">
        <f t="shared" si="36"/>
        <v>655440</v>
      </c>
      <c r="R36" s="502"/>
      <c r="S36" s="169" t="e">
        <f t="shared" si="37"/>
        <v>#REF!</v>
      </c>
      <c r="T36" s="169">
        <f t="shared" si="37"/>
        <v>0</v>
      </c>
      <c r="U36" s="169" t="e">
        <f t="shared" si="38"/>
        <v>#REF!</v>
      </c>
      <c r="V36" s="169">
        <f t="shared" si="39"/>
        <v>4365</v>
      </c>
      <c r="X36" s="493" t="s">
        <v>528</v>
      </c>
      <c r="Y36" s="503" t="e">
        <f t="shared" si="40"/>
        <v>#REF!</v>
      </c>
      <c r="Z36" s="503">
        <f t="shared" si="40"/>
        <v>0</v>
      </c>
      <c r="AA36" s="503" t="e">
        <f t="shared" si="41"/>
        <v>#REF!</v>
      </c>
      <c r="AB36" s="503">
        <f t="shared" si="42"/>
        <v>36377</v>
      </c>
    </row>
    <row r="37" spans="1:28" x14ac:dyDescent="0.25">
      <c r="A37" s="493" t="s">
        <v>529</v>
      </c>
      <c r="B37" s="493">
        <f t="shared" si="30"/>
        <v>6.6600000000000001E-3</v>
      </c>
      <c r="C37" s="504" t="e">
        <f>#REF!</f>
        <v>#REF!</v>
      </c>
      <c r="D37" s="505">
        <f>'Nov Price Out'!D37</f>
        <v>5.05</v>
      </c>
      <c r="E37" s="502">
        <f>'[100]Forecasted TOD kWh by Period'!I16</f>
        <v>261579800</v>
      </c>
      <c r="F37" s="8">
        <f>'[100]Forecasted TOD kW by Period'!N14</f>
        <v>1083461</v>
      </c>
      <c r="G37" s="8">
        <f t="shared" si="31"/>
        <v>230190224</v>
      </c>
      <c r="H37" s="8">
        <f>ROUND(F37*0.88,0)</f>
        <v>953446</v>
      </c>
      <c r="I37" s="169" t="e">
        <f t="shared" si="32"/>
        <v>#REF!</v>
      </c>
      <c r="J37" s="169">
        <f t="shared" si="32"/>
        <v>4814902</v>
      </c>
      <c r="K37" s="169" t="e">
        <f t="shared" si="33"/>
        <v>#REF!</v>
      </c>
      <c r="L37" s="169">
        <f t="shared" si="34"/>
        <v>1533067</v>
      </c>
      <c r="M37" s="493"/>
      <c r="N37" s="493">
        <f t="shared" si="35"/>
        <v>6.6600000000000001E-3</v>
      </c>
      <c r="O37" s="504" t="e">
        <f>#REF!</f>
        <v>#REF!</v>
      </c>
      <c r="P37" s="505">
        <f>'Nov Price Out'!P37</f>
        <v>1.03</v>
      </c>
      <c r="Q37" s="502">
        <f t="shared" si="36"/>
        <v>31389576</v>
      </c>
      <c r="R37" s="502">
        <f>F37-H37</f>
        <v>130015</v>
      </c>
      <c r="S37" s="169" t="e">
        <f t="shared" si="37"/>
        <v>#REF!</v>
      </c>
      <c r="T37" s="169">
        <f t="shared" si="37"/>
        <v>133915</v>
      </c>
      <c r="U37" s="169" t="e">
        <f t="shared" si="38"/>
        <v>#REF!</v>
      </c>
      <c r="V37" s="169">
        <f t="shared" si="39"/>
        <v>209055</v>
      </c>
      <c r="X37" s="493" t="s">
        <v>529</v>
      </c>
      <c r="Y37" s="503" t="e">
        <f t="shared" si="40"/>
        <v>#REF!</v>
      </c>
      <c r="Z37" s="503">
        <f t="shared" si="40"/>
        <v>4948817</v>
      </c>
      <c r="AA37" s="503" t="e">
        <f t="shared" si="41"/>
        <v>#REF!</v>
      </c>
      <c r="AB37" s="503">
        <f t="shared" si="42"/>
        <v>1742122</v>
      </c>
    </row>
    <row r="38" spans="1:28" x14ac:dyDescent="0.25">
      <c r="A38" s="493" t="s">
        <v>530</v>
      </c>
      <c r="B38" s="493">
        <f t="shared" si="30"/>
        <v>6.6600000000000001E-3</v>
      </c>
      <c r="C38" s="504" t="e">
        <f>#REF!</f>
        <v>#REF!</v>
      </c>
      <c r="D38" s="493">
        <f>'Nov Price Out'!D38</f>
        <v>0</v>
      </c>
      <c r="E38" s="502">
        <f>'[100]Forecasted TOD kWh by Period'!I17</f>
        <v>264420200</v>
      </c>
      <c r="F38" s="8"/>
      <c r="G38" s="8">
        <f t="shared" si="31"/>
        <v>232689776</v>
      </c>
      <c r="H38" s="8"/>
      <c r="I38" s="169" t="e">
        <f t="shared" si="32"/>
        <v>#REF!</v>
      </c>
      <c r="J38" s="169">
        <f t="shared" si="32"/>
        <v>0</v>
      </c>
      <c r="K38" s="169" t="e">
        <f t="shared" si="33"/>
        <v>#REF!</v>
      </c>
      <c r="L38" s="169">
        <f t="shared" si="34"/>
        <v>1549714</v>
      </c>
      <c r="M38" s="493"/>
      <c r="N38" s="493">
        <f t="shared" si="35"/>
        <v>6.6600000000000001E-3</v>
      </c>
      <c r="O38" s="504" t="e">
        <f>#REF!</f>
        <v>#REF!</v>
      </c>
      <c r="P38" s="493">
        <f>'Nov Price Out'!P38</f>
        <v>0</v>
      </c>
      <c r="Q38" s="502">
        <f t="shared" si="36"/>
        <v>31730424</v>
      </c>
      <c r="R38" s="502"/>
      <c r="S38" s="169" t="e">
        <f t="shared" si="37"/>
        <v>#REF!</v>
      </c>
      <c r="T38" s="169">
        <f t="shared" si="37"/>
        <v>0</v>
      </c>
      <c r="U38" s="169" t="e">
        <f t="shared" si="38"/>
        <v>#REF!</v>
      </c>
      <c r="V38" s="169">
        <f t="shared" si="39"/>
        <v>211325</v>
      </c>
      <c r="X38" s="493" t="s">
        <v>530</v>
      </c>
      <c r="Y38" s="503" t="e">
        <f t="shared" si="40"/>
        <v>#REF!</v>
      </c>
      <c r="Z38" s="503">
        <f t="shared" si="40"/>
        <v>0</v>
      </c>
      <c r="AA38" s="503" t="e">
        <f t="shared" si="41"/>
        <v>#REF!</v>
      </c>
      <c r="AB38" s="503">
        <f t="shared" si="42"/>
        <v>1761039</v>
      </c>
    </row>
    <row r="39" spans="1:28" x14ac:dyDescent="0.25">
      <c r="A39" s="493" t="s">
        <v>531</v>
      </c>
      <c r="B39" s="493">
        <f t="shared" si="30"/>
        <v>6.6600000000000001E-3</v>
      </c>
      <c r="C39" s="504" t="e">
        <f>#REF!</f>
        <v>#REF!</v>
      </c>
      <c r="D39" s="505">
        <f>'Nov Price Out'!D39</f>
        <v>2.69</v>
      </c>
      <c r="E39" s="502">
        <f>'[100]Forecasted TOD kWh by Period'!I20</f>
        <v>6223500</v>
      </c>
      <c r="F39" s="8">
        <f>'[100]Forecasted TOD kW by Period'!N18</f>
        <v>33850</v>
      </c>
      <c r="G39" s="8">
        <f t="shared" si="31"/>
        <v>5476680</v>
      </c>
      <c r="H39" s="8">
        <f>ROUND(F39*0.88,0)</f>
        <v>29788</v>
      </c>
      <c r="I39" s="169" t="e">
        <f t="shared" si="32"/>
        <v>#REF!</v>
      </c>
      <c r="J39" s="169">
        <f t="shared" si="32"/>
        <v>80130</v>
      </c>
      <c r="K39" s="169" t="e">
        <f t="shared" si="33"/>
        <v>#REF!</v>
      </c>
      <c r="L39" s="169">
        <f t="shared" si="34"/>
        <v>36475</v>
      </c>
      <c r="M39" s="493"/>
      <c r="N39" s="493">
        <f t="shared" si="35"/>
        <v>6.6600000000000001E-3</v>
      </c>
      <c r="O39" s="504" t="e">
        <f>#REF!</f>
        <v>#REF!</v>
      </c>
      <c r="P39" s="505">
        <f>'Nov Price Out'!P39</f>
        <v>0.55000000000000004</v>
      </c>
      <c r="Q39" s="502">
        <f t="shared" si="36"/>
        <v>746820</v>
      </c>
      <c r="R39" s="502">
        <f>F39-H39</f>
        <v>4062</v>
      </c>
      <c r="S39" s="169" t="e">
        <f t="shared" si="37"/>
        <v>#REF!</v>
      </c>
      <c r="T39" s="169">
        <f t="shared" si="37"/>
        <v>2234</v>
      </c>
      <c r="U39" s="169" t="e">
        <f t="shared" si="38"/>
        <v>#REF!</v>
      </c>
      <c r="V39" s="169">
        <f t="shared" si="39"/>
        <v>4974</v>
      </c>
      <c r="X39" s="493" t="s">
        <v>531</v>
      </c>
      <c r="Y39" s="503" t="e">
        <f t="shared" si="40"/>
        <v>#REF!</v>
      </c>
      <c r="Z39" s="503">
        <f t="shared" si="40"/>
        <v>82364</v>
      </c>
      <c r="AA39" s="503" t="e">
        <f t="shared" si="41"/>
        <v>#REF!</v>
      </c>
      <c r="AB39" s="503">
        <f t="shared" si="42"/>
        <v>41449</v>
      </c>
    </row>
    <row r="40" spans="1:28" x14ac:dyDescent="0.25">
      <c r="A40" s="493" t="s">
        <v>532</v>
      </c>
      <c r="B40" s="493">
        <f t="shared" si="30"/>
        <v>6.6600000000000001E-3</v>
      </c>
      <c r="C40" s="504" t="e">
        <f>#REF!</f>
        <v>#REF!</v>
      </c>
      <c r="D40" s="493">
        <f>'Nov Price Out'!D40</f>
        <v>0</v>
      </c>
      <c r="E40" s="502">
        <f>'[100]Forecasted TOD kWh by Period'!I21</f>
        <v>8776500</v>
      </c>
      <c r="F40" s="8"/>
      <c r="G40" s="8">
        <f t="shared" si="31"/>
        <v>7723320</v>
      </c>
      <c r="H40" s="8"/>
      <c r="I40" s="169" t="e">
        <f t="shared" si="32"/>
        <v>#REF!</v>
      </c>
      <c r="J40" s="169">
        <f t="shared" si="32"/>
        <v>0</v>
      </c>
      <c r="K40" s="169" t="e">
        <f t="shared" si="33"/>
        <v>#REF!</v>
      </c>
      <c r="L40" s="169">
        <f t="shared" si="34"/>
        <v>51437</v>
      </c>
      <c r="M40" s="493"/>
      <c r="N40" s="493">
        <f t="shared" si="35"/>
        <v>6.6600000000000001E-3</v>
      </c>
      <c r="O40" s="504" t="e">
        <f>#REF!</f>
        <v>#REF!</v>
      </c>
      <c r="P40" s="493">
        <f>'Nov Price Out'!P40</f>
        <v>0</v>
      </c>
      <c r="Q40" s="502">
        <f t="shared" si="36"/>
        <v>1053180</v>
      </c>
      <c r="R40" s="502"/>
      <c r="S40" s="169" t="e">
        <f t="shared" si="37"/>
        <v>#REF!</v>
      </c>
      <c r="T40" s="169">
        <f t="shared" si="37"/>
        <v>0</v>
      </c>
      <c r="U40" s="169" t="e">
        <f t="shared" si="38"/>
        <v>#REF!</v>
      </c>
      <c r="V40" s="169">
        <f t="shared" si="39"/>
        <v>7014</v>
      </c>
      <c r="X40" s="493" t="s">
        <v>532</v>
      </c>
      <c r="Y40" s="503" t="e">
        <f t="shared" si="40"/>
        <v>#REF!</v>
      </c>
      <c r="Z40" s="503">
        <f t="shared" si="40"/>
        <v>0</v>
      </c>
      <c r="AA40" s="503" t="e">
        <f t="shared" si="41"/>
        <v>#REF!</v>
      </c>
      <c r="AB40" s="503">
        <f t="shared" si="42"/>
        <v>58451</v>
      </c>
    </row>
    <row r="41" spans="1:28" x14ac:dyDescent="0.25">
      <c r="A41" s="493" t="s">
        <v>533</v>
      </c>
      <c r="B41" s="493">
        <f t="shared" si="30"/>
        <v>6.6600000000000001E-3</v>
      </c>
      <c r="C41" s="504" t="e">
        <f>#REF!</f>
        <v>#REF!</v>
      </c>
      <c r="D41" s="505">
        <f>'Nov Price Out'!D41</f>
        <v>0</v>
      </c>
      <c r="E41" s="502">
        <f>'[100]Forecasted TOD kWh by Period'!I24</f>
        <v>580878</v>
      </c>
      <c r="F41" s="8">
        <f>'[100]Forecasted TOD kW by Period'!N22</f>
        <v>13155</v>
      </c>
      <c r="G41" s="8">
        <f t="shared" si="31"/>
        <v>511173</v>
      </c>
      <c r="H41" s="8">
        <f>ROUND(F41*0.88,0)</f>
        <v>11576</v>
      </c>
      <c r="I41" s="169" t="e">
        <f t="shared" si="32"/>
        <v>#REF!</v>
      </c>
      <c r="J41" s="169">
        <f t="shared" si="32"/>
        <v>0</v>
      </c>
      <c r="K41" s="169" t="e">
        <f t="shared" si="33"/>
        <v>#REF!</v>
      </c>
      <c r="L41" s="169">
        <f t="shared" si="34"/>
        <v>3404</v>
      </c>
      <c r="M41" s="493"/>
      <c r="N41" s="493">
        <f t="shared" si="35"/>
        <v>6.6600000000000001E-3</v>
      </c>
      <c r="O41" s="504" t="e">
        <f>#REF!</f>
        <v>#REF!</v>
      </c>
      <c r="P41" s="505">
        <f>'Nov Price Out'!P41</f>
        <v>0</v>
      </c>
      <c r="Q41" s="502">
        <f t="shared" si="36"/>
        <v>69705</v>
      </c>
      <c r="R41" s="502">
        <f>F41-H41</f>
        <v>1579</v>
      </c>
      <c r="S41" s="169" t="e">
        <f t="shared" si="37"/>
        <v>#REF!</v>
      </c>
      <c r="T41" s="169">
        <f t="shared" si="37"/>
        <v>0</v>
      </c>
      <c r="U41" s="169" t="e">
        <f t="shared" si="38"/>
        <v>#REF!</v>
      </c>
      <c r="V41" s="169">
        <f t="shared" si="39"/>
        <v>464</v>
      </c>
      <c r="X41" s="493" t="s">
        <v>533</v>
      </c>
      <c r="Y41" s="503" t="e">
        <f t="shared" si="40"/>
        <v>#REF!</v>
      </c>
      <c r="Z41" s="503">
        <f t="shared" si="40"/>
        <v>0</v>
      </c>
      <c r="AA41" s="503" t="e">
        <f t="shared" si="41"/>
        <v>#REF!</v>
      </c>
      <c r="AB41" s="503">
        <f t="shared" si="42"/>
        <v>3868</v>
      </c>
    </row>
    <row r="42" spans="1:28" x14ac:dyDescent="0.25">
      <c r="A42" s="493" t="s">
        <v>534</v>
      </c>
      <c r="B42" s="493">
        <f t="shared" si="30"/>
        <v>6.6600000000000001E-3</v>
      </c>
      <c r="C42" s="504" t="e">
        <f>#REF!</f>
        <v>#REF!</v>
      </c>
      <c r="D42" s="493">
        <f>'Nov Price Out'!D42</f>
        <v>0</v>
      </c>
      <c r="E42" s="502">
        <f>'[100]Forecasted TOD kWh by Period'!I25</f>
        <v>538347</v>
      </c>
      <c r="F42" s="493"/>
      <c r="G42" s="8">
        <f t="shared" si="31"/>
        <v>473745</v>
      </c>
      <c r="H42" s="8"/>
      <c r="I42" s="169" t="e">
        <f t="shared" si="32"/>
        <v>#REF!</v>
      </c>
      <c r="J42" s="169">
        <f t="shared" si="32"/>
        <v>0</v>
      </c>
      <c r="K42" s="169" t="e">
        <f t="shared" si="33"/>
        <v>#REF!</v>
      </c>
      <c r="L42" s="169">
        <f t="shared" si="34"/>
        <v>3155</v>
      </c>
      <c r="M42" s="493"/>
      <c r="N42" s="493">
        <f t="shared" si="35"/>
        <v>6.6600000000000001E-3</v>
      </c>
      <c r="O42" s="504" t="e">
        <f>#REF!</f>
        <v>#REF!</v>
      </c>
      <c r="P42" s="492">
        <f>'Nov Price Out'!P42</f>
        <v>0</v>
      </c>
      <c r="Q42" s="502">
        <f t="shared" si="36"/>
        <v>64602</v>
      </c>
      <c r="R42" s="502"/>
      <c r="S42" s="169" t="e">
        <f t="shared" si="37"/>
        <v>#REF!</v>
      </c>
      <c r="T42" s="169">
        <f t="shared" si="37"/>
        <v>0</v>
      </c>
      <c r="U42" s="169" t="e">
        <f t="shared" si="38"/>
        <v>#REF!</v>
      </c>
      <c r="V42" s="169">
        <f t="shared" si="39"/>
        <v>430</v>
      </c>
      <c r="X42" s="493" t="s">
        <v>534</v>
      </c>
      <c r="Y42" s="503" t="e">
        <f t="shared" si="40"/>
        <v>#REF!</v>
      </c>
      <c r="Z42" s="503">
        <f t="shared" si="40"/>
        <v>0</v>
      </c>
      <c r="AA42" s="503" t="e">
        <f t="shared" si="41"/>
        <v>#REF!</v>
      </c>
      <c r="AB42" s="503">
        <f t="shared" si="42"/>
        <v>3585</v>
      </c>
    </row>
    <row r="43" spans="1:28" x14ac:dyDescent="0.25">
      <c r="A43" s="493"/>
      <c r="B43" s="493"/>
      <c r="C43" s="493"/>
      <c r="D43" s="493"/>
      <c r="E43" s="493"/>
      <c r="F43" s="493"/>
      <c r="G43" s="493"/>
      <c r="H43" s="493"/>
      <c r="I43" s="493"/>
      <c r="J43" s="493"/>
      <c r="K43" s="493"/>
      <c r="L43" s="493"/>
      <c r="M43" s="493"/>
      <c r="O43" s="493"/>
      <c r="S43" s="493"/>
      <c r="T43" s="493"/>
      <c r="U43" s="493"/>
      <c r="V43" s="493"/>
      <c r="X43" s="493"/>
      <c r="Y43" s="503"/>
      <c r="Z43" s="503"/>
      <c r="AA43" s="503"/>
      <c r="AB43" s="503"/>
    </row>
    <row r="44" spans="1:28" x14ac:dyDescent="0.25">
      <c r="A44" s="493" t="s">
        <v>162</v>
      </c>
      <c r="B44" s="493"/>
      <c r="C44" s="493"/>
      <c r="D44" s="493"/>
      <c r="E44" s="507">
        <f>SUM(E8:E19)+SUM(E21:E24)+SUM(E26:E31)+SUM(E33:E42)</f>
        <v>3534896143</v>
      </c>
      <c r="F44" s="493"/>
      <c r="G44" s="507">
        <f>SUM(G8:G19)+SUM(G21:G24)+SUM(G26:G31)+SUM(G33:G42)</f>
        <v>3110708606</v>
      </c>
      <c r="H44" s="493"/>
      <c r="I44" s="503" t="e">
        <f>SUM(I8:I43)</f>
        <v>#REF!</v>
      </c>
      <c r="J44" s="169">
        <f>SUM(J8:J19)+SUM(J21:J24)+SUM(J26:J31)+SUM(J33:J42)</f>
        <v>28639464</v>
      </c>
      <c r="K44" s="503" t="e">
        <f>SUM(K8:K43)</f>
        <v>#REF!</v>
      </c>
      <c r="L44" s="169">
        <f>SUM(L8:L19)+SUM(L21:L24)+SUM(L26:L31)+SUM(L33:L42)</f>
        <v>20717319</v>
      </c>
      <c r="M44" s="493"/>
      <c r="Q44" s="507">
        <f>SUM(Q8:Q19)+SUM(Q21:Q24)+SUM(Q26:Q31)+SUM(Q33:Q42)</f>
        <v>424187537</v>
      </c>
      <c r="S44" s="503" t="e">
        <f>SUM(S8:S43)</f>
        <v>#REF!</v>
      </c>
      <c r="T44" s="169" t="e">
        <f>SUM(T8:T19)+SUM(T21:T24)+SUM(T26:T31)+SUM(T33:T42)</f>
        <v>#DIV/0!</v>
      </c>
      <c r="U44" s="503" t="e">
        <f>SUM(U8:U43)</f>
        <v>#REF!</v>
      </c>
      <c r="V44" s="169">
        <f>SUM(V8:V19)+SUM(V21:V24)+SUM(V26:V31)+SUM(V33:V42)</f>
        <v>2825087</v>
      </c>
      <c r="X44" s="493" t="s">
        <v>162</v>
      </c>
      <c r="Y44" s="503" t="e">
        <f>I44+S44</f>
        <v>#REF!</v>
      </c>
      <c r="Z44" s="503" t="e">
        <f>J44+T44</f>
        <v>#DIV/0!</v>
      </c>
      <c r="AA44" s="503" t="e">
        <f>Y44+Z44</f>
        <v>#REF!</v>
      </c>
      <c r="AB44" s="503">
        <f>L44+V44</f>
        <v>23542406</v>
      </c>
    </row>
    <row r="45" spans="1:28" x14ac:dyDescent="0.25">
      <c r="A45" s="493"/>
      <c r="B45" s="493"/>
      <c r="C45" s="493"/>
      <c r="D45" s="493"/>
      <c r="E45" s="493"/>
      <c r="F45" s="493"/>
      <c r="G45" s="493"/>
      <c r="H45" s="493"/>
      <c r="I45" s="493"/>
      <c r="J45" s="493"/>
      <c r="K45" s="493"/>
      <c r="L45" s="493"/>
    </row>
    <row r="46" spans="1:28" x14ac:dyDescent="0.25">
      <c r="A46" s="493"/>
      <c r="B46" s="493"/>
      <c r="C46" s="493"/>
      <c r="D46" s="493"/>
      <c r="E46" s="493"/>
      <c r="F46" s="493"/>
      <c r="G46" s="493"/>
      <c r="H46" s="493"/>
      <c r="I46" s="493"/>
      <c r="J46" s="493"/>
      <c r="K46" s="493"/>
      <c r="L46" s="493"/>
    </row>
    <row r="47" spans="1:28" x14ac:dyDescent="0.25">
      <c r="A47" s="493"/>
      <c r="B47" s="493"/>
      <c r="C47" s="493"/>
      <c r="D47" s="493"/>
      <c r="E47" s="493"/>
      <c r="F47" s="493"/>
      <c r="G47" s="493"/>
      <c r="H47" s="493"/>
      <c r="I47" s="493"/>
      <c r="J47" s="493"/>
      <c r="K47" s="493"/>
      <c r="L47" s="493"/>
    </row>
    <row r="48" spans="1:28" x14ac:dyDescent="0.25">
      <c r="A48" s="493"/>
      <c r="B48" s="493"/>
      <c r="C48" s="493"/>
      <c r="D48" s="493"/>
      <c r="E48" s="493"/>
      <c r="F48" s="493"/>
      <c r="G48" s="493"/>
      <c r="H48" s="493"/>
      <c r="I48" s="493"/>
      <c r="J48" s="493"/>
      <c r="K48" s="493"/>
      <c r="L48" s="493"/>
    </row>
    <row r="49" spans="1:13" x14ac:dyDescent="0.25">
      <c r="A49" s="493"/>
      <c r="B49" s="493"/>
      <c r="C49" s="493"/>
      <c r="D49" s="493"/>
      <c r="E49" s="493"/>
      <c r="F49" s="493"/>
      <c r="G49" s="493"/>
      <c r="H49" s="493"/>
      <c r="I49" s="493"/>
      <c r="J49" s="493"/>
      <c r="K49" s="493"/>
      <c r="L49" s="493"/>
    </row>
    <row r="50" spans="1:13" x14ac:dyDescent="0.25">
      <c r="A50" s="493"/>
      <c r="B50" s="493"/>
      <c r="C50" s="493"/>
      <c r="D50" s="493"/>
      <c r="E50" s="493"/>
      <c r="F50" s="493"/>
      <c r="G50" s="493"/>
      <c r="H50" s="493"/>
      <c r="I50" s="493"/>
      <c r="J50" s="493"/>
      <c r="K50" s="493"/>
      <c r="L50" s="493"/>
    </row>
    <row r="51" spans="1:13" x14ac:dyDescent="0.25">
      <c r="A51" s="493"/>
      <c r="B51" s="493"/>
      <c r="C51" s="493"/>
      <c r="D51" s="493"/>
      <c r="E51" s="493"/>
      <c r="F51" s="493"/>
      <c r="G51" s="493"/>
      <c r="H51" s="493"/>
      <c r="I51" s="493"/>
      <c r="J51" s="493"/>
      <c r="K51" s="493"/>
      <c r="L51" s="493"/>
      <c r="M51" s="493"/>
    </row>
    <row r="52" spans="1:13" x14ac:dyDescent="0.25">
      <c r="A52" s="493"/>
      <c r="B52" s="493"/>
      <c r="C52" s="493"/>
      <c r="D52" s="493"/>
      <c r="E52" s="493"/>
      <c r="F52" s="493"/>
      <c r="G52" s="493"/>
      <c r="H52" s="493"/>
      <c r="I52" s="493"/>
      <c r="J52" s="493"/>
      <c r="K52" s="493"/>
      <c r="L52" s="493"/>
      <c r="M52" s="493"/>
    </row>
    <row r="53" spans="1:13" x14ac:dyDescent="0.25">
      <c r="A53" s="493"/>
      <c r="B53" s="493"/>
      <c r="C53" s="493"/>
      <c r="D53" s="493"/>
      <c r="E53" s="493"/>
      <c r="F53" s="493"/>
      <c r="G53" s="493"/>
      <c r="H53" s="493"/>
      <c r="I53" s="493"/>
      <c r="J53" s="493"/>
      <c r="K53" s="493"/>
      <c r="L53" s="493"/>
      <c r="M53" s="493"/>
    </row>
    <row r="54" spans="1:13" x14ac:dyDescent="0.25">
      <c r="A54" s="493"/>
      <c r="B54" s="493"/>
      <c r="C54" s="493"/>
      <c r="D54" s="493"/>
      <c r="E54" s="493"/>
      <c r="F54" s="493"/>
      <c r="G54" s="493"/>
      <c r="H54" s="493"/>
      <c r="I54" s="493"/>
      <c r="J54" s="493"/>
      <c r="K54" s="493"/>
      <c r="L54" s="493"/>
      <c r="M54" s="493"/>
    </row>
    <row r="55" spans="1:13" x14ac:dyDescent="0.25">
      <c r="A55" s="493"/>
      <c r="B55" s="493"/>
      <c r="C55" s="493"/>
      <c r="D55" s="493"/>
      <c r="E55" s="493"/>
      <c r="F55" s="493"/>
      <c r="G55" s="493"/>
      <c r="H55" s="493"/>
      <c r="I55" s="493"/>
      <c r="J55" s="493"/>
      <c r="K55" s="493"/>
      <c r="L55" s="493"/>
      <c r="M55" s="493"/>
    </row>
    <row r="56" spans="1:13" x14ac:dyDescent="0.25">
      <c r="A56" s="493"/>
      <c r="B56" s="493"/>
      <c r="C56" s="493"/>
      <c r="D56" s="493"/>
      <c r="E56" s="493"/>
      <c r="F56" s="493"/>
      <c r="G56" s="493"/>
      <c r="H56" s="493"/>
      <c r="I56" s="493"/>
      <c r="J56" s="493"/>
      <c r="K56" s="493"/>
      <c r="L56" s="493"/>
      <c r="M56" s="493"/>
    </row>
    <row r="57" spans="1:13" x14ac:dyDescent="0.25">
      <c r="A57" s="493"/>
      <c r="B57" s="493"/>
      <c r="C57" s="493"/>
      <c r="D57" s="493"/>
      <c r="E57" s="493"/>
      <c r="F57" s="493"/>
      <c r="G57" s="493"/>
      <c r="H57" s="493"/>
      <c r="I57" s="493"/>
      <c r="J57" s="493"/>
      <c r="K57" s="493"/>
      <c r="L57" s="493"/>
      <c r="M57" s="493"/>
    </row>
    <row r="58" spans="1:13" x14ac:dyDescent="0.25">
      <c r="A58" s="493"/>
      <c r="B58" s="493"/>
      <c r="C58" s="493"/>
      <c r="D58" s="493"/>
      <c r="E58" s="493"/>
      <c r="F58" s="493"/>
      <c r="G58" s="493"/>
      <c r="H58" s="493"/>
      <c r="I58" s="493"/>
      <c r="J58" s="493"/>
      <c r="K58" s="493"/>
      <c r="L58" s="493"/>
      <c r="M58" s="493"/>
    </row>
    <row r="59" spans="1:13" x14ac:dyDescent="0.25">
      <c r="A59" s="493"/>
      <c r="B59" s="493"/>
      <c r="C59" s="493"/>
      <c r="D59" s="493"/>
      <c r="E59" s="493"/>
      <c r="F59" s="493"/>
      <c r="G59" s="493"/>
      <c r="H59" s="493"/>
      <c r="I59" s="493"/>
      <c r="J59" s="493"/>
      <c r="K59" s="493"/>
      <c r="L59" s="493"/>
      <c r="M59" s="493"/>
    </row>
    <row r="60" spans="1:13" x14ac:dyDescent="0.25">
      <c r="A60" s="493"/>
      <c r="B60" s="493"/>
      <c r="C60" s="493"/>
      <c r="D60" s="493"/>
      <c r="E60" s="493"/>
      <c r="F60" s="493"/>
      <c r="G60" s="493"/>
      <c r="H60" s="493"/>
      <c r="I60" s="493"/>
      <c r="J60" s="493"/>
      <c r="K60" s="493"/>
      <c r="L60" s="493"/>
      <c r="M60" s="493"/>
    </row>
    <row r="61" spans="1:13" x14ac:dyDescent="0.25">
      <c r="A61" s="493"/>
      <c r="B61" s="493"/>
      <c r="C61" s="493"/>
      <c r="D61" s="493"/>
      <c r="E61" s="493"/>
      <c r="F61" s="493"/>
      <c r="G61" s="493"/>
      <c r="H61" s="493"/>
      <c r="I61" s="493"/>
      <c r="J61" s="493"/>
      <c r="K61" s="493"/>
      <c r="L61" s="493"/>
      <c r="M61" s="493"/>
    </row>
    <row r="62" spans="1:13" x14ac:dyDescent="0.25">
      <c r="A62" s="493"/>
      <c r="B62" s="493"/>
      <c r="C62" s="493"/>
      <c r="D62" s="493"/>
      <c r="E62" s="493"/>
      <c r="F62" s="493"/>
      <c r="G62" s="493"/>
      <c r="H62" s="493"/>
      <c r="I62" s="493"/>
      <c r="J62" s="493"/>
      <c r="K62" s="493"/>
      <c r="L62" s="493"/>
      <c r="M62" s="493"/>
    </row>
    <row r="63" spans="1:13" x14ac:dyDescent="0.25">
      <c r="A63" s="493"/>
      <c r="B63" s="493"/>
      <c r="C63" s="493"/>
      <c r="D63" s="493"/>
      <c r="E63" s="493"/>
      <c r="F63" s="493"/>
      <c r="G63" s="493"/>
      <c r="H63" s="493"/>
      <c r="I63" s="493"/>
      <c r="J63" s="493"/>
      <c r="K63" s="493"/>
      <c r="L63" s="493"/>
      <c r="M63" s="493"/>
    </row>
    <row r="64" spans="1:13" x14ac:dyDescent="0.25">
      <c r="A64" s="493"/>
      <c r="B64" s="493"/>
      <c r="C64" s="493"/>
      <c r="D64" s="493"/>
      <c r="E64" s="493"/>
      <c r="F64" s="493"/>
      <c r="G64" s="493"/>
      <c r="H64" s="493"/>
      <c r="I64" s="493"/>
      <c r="J64" s="493"/>
      <c r="K64" s="493"/>
      <c r="L64" s="493"/>
      <c r="M64" s="493"/>
    </row>
    <row r="65" spans="1:14" x14ac:dyDescent="0.25">
      <c r="A65" s="493"/>
      <c r="B65" s="493"/>
      <c r="C65" s="493"/>
      <c r="D65" s="493"/>
      <c r="E65" s="493"/>
      <c r="F65" s="493"/>
      <c r="G65" s="493"/>
      <c r="H65" s="493"/>
      <c r="I65" s="493"/>
      <c r="J65" s="493"/>
      <c r="K65" s="493"/>
      <c r="L65" s="493"/>
      <c r="M65" s="493"/>
    </row>
    <row r="66" spans="1:14" x14ac:dyDescent="0.25">
      <c r="A66" s="493"/>
      <c r="B66" s="493"/>
      <c r="C66" s="493"/>
      <c r="D66" s="493"/>
      <c r="E66" s="493"/>
      <c r="F66" s="493"/>
      <c r="G66" s="493"/>
      <c r="H66" s="493"/>
      <c r="I66" s="493"/>
      <c r="J66" s="493"/>
      <c r="K66" s="493"/>
      <c r="L66" s="493"/>
      <c r="M66" s="493"/>
      <c r="N66" s="493"/>
    </row>
    <row r="67" spans="1:14" x14ac:dyDescent="0.25">
      <c r="A67" s="493"/>
      <c r="B67" s="493"/>
      <c r="C67" s="493"/>
      <c r="D67" s="493"/>
      <c r="E67" s="493"/>
      <c r="F67" s="493"/>
      <c r="G67" s="493"/>
      <c r="H67" s="493"/>
      <c r="I67" s="493"/>
      <c r="J67" s="493"/>
      <c r="K67" s="493"/>
      <c r="L67" s="493"/>
      <c r="M67" s="493"/>
      <c r="N67" s="493"/>
    </row>
    <row r="68" spans="1:14" x14ac:dyDescent="0.25">
      <c r="A68" s="493"/>
      <c r="B68" s="493"/>
      <c r="C68" s="493"/>
      <c r="D68" s="493"/>
      <c r="E68" s="493"/>
      <c r="F68" s="493"/>
      <c r="G68" s="493"/>
      <c r="H68" s="493"/>
      <c r="I68" s="493"/>
      <c r="J68" s="493"/>
      <c r="K68" s="493"/>
      <c r="L68" s="493"/>
      <c r="M68" s="493"/>
      <c r="N68" s="493"/>
    </row>
    <row r="69" spans="1:14" x14ac:dyDescent="0.25">
      <c r="A69" s="493"/>
      <c r="B69" s="493"/>
      <c r="C69" s="493"/>
      <c r="D69" s="493"/>
      <c r="E69" s="493"/>
      <c r="F69" s="493"/>
      <c r="G69" s="493"/>
      <c r="H69" s="493"/>
      <c r="I69" s="493"/>
      <c r="J69" s="493"/>
      <c r="K69" s="493"/>
      <c r="L69" s="493"/>
      <c r="M69" s="493"/>
    </row>
    <row r="70" spans="1:14" x14ac:dyDescent="0.25">
      <c r="A70" s="493"/>
      <c r="B70" s="493"/>
      <c r="C70" s="493"/>
      <c r="D70" s="493"/>
      <c r="E70" s="493"/>
      <c r="F70" s="493"/>
      <c r="G70" s="493"/>
      <c r="H70" s="493"/>
      <c r="I70" s="493"/>
      <c r="J70" s="493"/>
      <c r="K70" s="493"/>
      <c r="L70" s="493"/>
      <c r="M70" s="493"/>
    </row>
    <row r="71" spans="1:14" x14ac:dyDescent="0.25">
      <c r="A71" s="493"/>
      <c r="B71" s="493"/>
      <c r="C71" s="493"/>
      <c r="D71" s="493"/>
      <c r="E71" s="493"/>
      <c r="F71" s="493"/>
      <c r="G71" s="493"/>
      <c r="H71" s="493"/>
      <c r="I71" s="493"/>
      <c r="J71" s="493"/>
      <c r="K71" s="493"/>
      <c r="L71" s="493"/>
      <c r="M71" s="493"/>
    </row>
    <row r="72" spans="1:14" x14ac:dyDescent="0.25">
      <c r="A72" s="493"/>
      <c r="B72" s="493"/>
      <c r="C72" s="493"/>
      <c r="D72" s="493"/>
      <c r="E72" s="493"/>
      <c r="F72" s="493"/>
      <c r="G72" s="493"/>
      <c r="H72" s="493"/>
      <c r="I72" s="493"/>
      <c r="J72" s="493"/>
      <c r="K72" s="493"/>
      <c r="L72" s="493"/>
      <c r="M72" s="493"/>
    </row>
    <row r="73" spans="1:14" x14ac:dyDescent="0.25">
      <c r="A73" s="493"/>
      <c r="B73" s="493"/>
      <c r="C73" s="493"/>
      <c r="D73" s="493"/>
      <c r="E73" s="493"/>
      <c r="F73" s="493"/>
      <c r="G73" s="493"/>
      <c r="H73" s="493"/>
      <c r="I73" s="493"/>
      <c r="J73" s="493"/>
      <c r="K73" s="493"/>
      <c r="L73" s="493"/>
      <c r="M73" s="493"/>
    </row>
    <row r="74" spans="1:14" x14ac:dyDescent="0.25">
      <c r="A74" s="493"/>
      <c r="B74" s="493"/>
      <c r="C74" s="493"/>
      <c r="D74" s="493"/>
      <c r="E74" s="493"/>
      <c r="F74" s="493"/>
      <c r="G74" s="493"/>
      <c r="H74" s="493"/>
      <c r="I74" s="493"/>
      <c r="J74" s="493"/>
      <c r="K74" s="493"/>
      <c r="L74" s="493"/>
      <c r="M74" s="493"/>
    </row>
    <row r="75" spans="1:14" x14ac:dyDescent="0.25">
      <c r="A75" s="493"/>
      <c r="B75" s="493"/>
      <c r="C75" s="493"/>
      <c r="D75" s="493"/>
      <c r="E75" s="493"/>
      <c r="F75" s="493"/>
      <c r="G75" s="493"/>
      <c r="H75" s="493"/>
      <c r="I75" s="493"/>
      <c r="J75" s="493"/>
      <c r="K75" s="493"/>
      <c r="L75" s="493"/>
      <c r="M75" s="493"/>
    </row>
    <row r="76" spans="1:14" x14ac:dyDescent="0.25">
      <c r="A76" s="493"/>
      <c r="B76" s="493"/>
      <c r="C76" s="493"/>
      <c r="D76" s="493"/>
      <c r="E76" s="493"/>
      <c r="F76" s="493"/>
      <c r="G76" s="493"/>
      <c r="H76" s="493"/>
      <c r="I76" s="493"/>
      <c r="J76" s="493"/>
      <c r="K76" s="493"/>
      <c r="L76" s="493"/>
      <c r="M76" s="493"/>
    </row>
    <row r="77" spans="1:14" x14ac:dyDescent="0.25">
      <c r="A77" s="493"/>
      <c r="B77" s="493"/>
      <c r="C77" s="493"/>
      <c r="D77" s="493"/>
      <c r="E77" s="493"/>
      <c r="F77" s="493"/>
      <c r="G77" s="493"/>
      <c r="H77" s="493"/>
      <c r="I77" s="493"/>
      <c r="J77" s="493"/>
      <c r="K77" s="493"/>
      <c r="L77" s="493"/>
      <c r="M77" s="493"/>
    </row>
    <row r="78" spans="1:14" x14ac:dyDescent="0.25">
      <c r="A78" s="493"/>
      <c r="B78" s="493"/>
      <c r="C78" s="493"/>
      <c r="D78" s="493"/>
      <c r="E78" s="493"/>
      <c r="F78" s="493"/>
      <c r="G78" s="493"/>
      <c r="H78" s="493"/>
      <c r="I78" s="493"/>
      <c r="J78" s="493"/>
      <c r="K78" s="493"/>
      <c r="L78" s="493"/>
      <c r="M78" s="493"/>
    </row>
    <row r="79" spans="1:14" x14ac:dyDescent="0.25">
      <c r="A79" s="493"/>
      <c r="B79" s="493"/>
      <c r="C79" s="493"/>
      <c r="D79" s="493"/>
      <c r="E79" s="493"/>
      <c r="F79" s="493"/>
      <c r="G79" s="493"/>
      <c r="H79" s="493"/>
      <c r="I79" s="493"/>
      <c r="J79" s="493"/>
      <c r="K79" s="493"/>
      <c r="L79" s="493"/>
      <c r="M79" s="493"/>
    </row>
    <row r="80" spans="1:14" x14ac:dyDescent="0.25">
      <c r="A80" s="493"/>
      <c r="B80" s="493"/>
      <c r="C80" s="493"/>
      <c r="D80" s="493"/>
      <c r="E80" s="493"/>
      <c r="F80" s="493"/>
      <c r="G80" s="493"/>
      <c r="H80" s="493"/>
      <c r="I80" s="493"/>
      <c r="J80" s="493"/>
      <c r="K80" s="493"/>
      <c r="L80" s="493"/>
      <c r="M80" s="493"/>
    </row>
    <row r="81" spans="1:14" x14ac:dyDescent="0.25">
      <c r="A81" s="493"/>
      <c r="B81" s="493"/>
      <c r="C81" s="493"/>
      <c r="D81" s="493"/>
      <c r="E81" s="493"/>
      <c r="F81" s="493"/>
      <c r="G81" s="493"/>
      <c r="H81" s="493"/>
      <c r="I81" s="493"/>
      <c r="J81" s="493"/>
      <c r="K81" s="493"/>
      <c r="L81" s="493"/>
      <c r="M81" s="493"/>
    </row>
    <row r="82" spans="1:14" x14ac:dyDescent="0.25">
      <c r="A82" s="493"/>
      <c r="B82" s="493"/>
      <c r="C82" s="493"/>
      <c r="D82" s="493"/>
      <c r="E82" s="493"/>
      <c r="F82" s="493"/>
      <c r="G82" s="493"/>
      <c r="H82" s="493"/>
      <c r="I82" s="493"/>
      <c r="J82" s="493"/>
      <c r="K82" s="493"/>
      <c r="L82" s="493"/>
      <c r="M82" s="493"/>
    </row>
    <row r="83" spans="1:14" x14ac:dyDescent="0.25">
      <c r="A83" s="493"/>
      <c r="B83" s="493"/>
      <c r="C83" s="493"/>
      <c r="D83" s="493"/>
      <c r="E83" s="493"/>
      <c r="F83" s="493"/>
      <c r="G83" s="493"/>
      <c r="H83" s="493"/>
      <c r="I83" s="493"/>
      <c r="J83" s="493"/>
      <c r="K83" s="493"/>
      <c r="L83" s="493"/>
      <c r="M83" s="493"/>
    </row>
    <row r="84" spans="1:14" x14ac:dyDescent="0.25">
      <c r="A84" s="493"/>
      <c r="B84" s="493"/>
      <c r="C84" s="493"/>
      <c r="D84" s="493"/>
      <c r="E84" s="493"/>
      <c r="F84" s="493"/>
      <c r="G84" s="493"/>
      <c r="H84" s="493"/>
      <c r="I84" s="493"/>
      <c r="J84" s="493"/>
      <c r="K84" s="493"/>
      <c r="L84" s="493"/>
      <c r="M84" s="493"/>
    </row>
    <row r="85" spans="1:14" x14ac:dyDescent="0.25">
      <c r="A85" s="493"/>
      <c r="B85" s="493"/>
      <c r="C85" s="493"/>
      <c r="D85" s="493"/>
      <c r="E85" s="493"/>
      <c r="F85" s="493"/>
      <c r="G85" s="493"/>
      <c r="H85" s="493"/>
      <c r="I85" s="493"/>
      <c r="J85" s="493"/>
      <c r="K85" s="493"/>
      <c r="L85" s="493"/>
      <c r="M85" s="493"/>
    </row>
    <row r="86" spans="1:14" x14ac:dyDescent="0.25">
      <c r="A86" s="493"/>
      <c r="B86" s="493"/>
      <c r="C86" s="493"/>
      <c r="D86" s="493"/>
      <c r="E86" s="493"/>
      <c r="F86" s="493"/>
      <c r="G86" s="493"/>
      <c r="H86" s="493"/>
      <c r="I86" s="493"/>
      <c r="J86" s="493"/>
      <c r="K86" s="493"/>
      <c r="L86" s="493"/>
      <c r="M86" s="493"/>
      <c r="N86" s="493"/>
    </row>
    <row r="87" spans="1:14" x14ac:dyDescent="0.25">
      <c r="A87" s="493"/>
      <c r="B87" s="493"/>
      <c r="C87" s="493"/>
      <c r="D87" s="493"/>
      <c r="E87" s="493"/>
      <c r="F87" s="493"/>
      <c r="G87" s="493"/>
      <c r="H87" s="493"/>
      <c r="I87" s="493"/>
      <c r="J87" s="493"/>
      <c r="K87" s="493"/>
      <c r="L87" s="493"/>
      <c r="M87" s="493"/>
      <c r="N87" s="493"/>
    </row>
    <row r="88" spans="1:14" x14ac:dyDescent="0.25">
      <c r="A88" s="493"/>
      <c r="B88" s="493"/>
      <c r="C88" s="493"/>
      <c r="D88" s="493"/>
      <c r="E88" s="493"/>
      <c r="F88" s="493"/>
      <c r="G88" s="493"/>
      <c r="H88" s="493"/>
      <c r="I88" s="493"/>
      <c r="J88" s="493"/>
      <c r="K88" s="493"/>
      <c r="L88" s="493"/>
      <c r="M88" s="493"/>
      <c r="N88" s="493"/>
    </row>
    <row r="89" spans="1:14" x14ac:dyDescent="0.25">
      <c r="A89" s="493"/>
      <c r="B89" s="493"/>
      <c r="C89" s="493"/>
      <c r="D89" s="493"/>
      <c r="E89" s="493"/>
      <c r="F89" s="493"/>
      <c r="G89" s="493"/>
      <c r="H89" s="493"/>
      <c r="I89" s="493"/>
      <c r="J89" s="493"/>
      <c r="K89" s="493"/>
      <c r="L89" s="493"/>
      <c r="M89" s="493"/>
      <c r="N89" s="493"/>
    </row>
    <row r="90" spans="1:14" x14ac:dyDescent="0.25">
      <c r="A90" s="493"/>
      <c r="B90" s="493"/>
      <c r="C90" s="493"/>
      <c r="D90" s="493"/>
      <c r="E90" s="493"/>
      <c r="F90" s="493"/>
      <c r="G90" s="493"/>
      <c r="H90" s="493"/>
      <c r="I90" s="493"/>
      <c r="J90" s="493"/>
      <c r="K90" s="493"/>
      <c r="L90" s="493"/>
      <c r="M90" s="493"/>
    </row>
    <row r="91" spans="1:14" x14ac:dyDescent="0.25">
      <c r="A91" s="493"/>
      <c r="B91" s="493"/>
      <c r="C91" s="493"/>
      <c r="D91" s="493"/>
      <c r="E91" s="493"/>
      <c r="F91" s="493"/>
      <c r="G91" s="493"/>
      <c r="H91" s="493"/>
      <c r="I91" s="493"/>
      <c r="J91" s="493"/>
      <c r="K91" s="493"/>
      <c r="L91" s="493"/>
      <c r="M91" s="493"/>
    </row>
    <row r="92" spans="1:14" x14ac:dyDescent="0.25">
      <c r="A92" s="493"/>
      <c r="B92" s="493"/>
      <c r="C92" s="493"/>
      <c r="D92" s="493"/>
      <c r="E92" s="493"/>
      <c r="F92" s="493"/>
      <c r="G92" s="493"/>
      <c r="H92" s="493"/>
      <c r="I92" s="493"/>
      <c r="J92" s="493"/>
      <c r="K92" s="493"/>
      <c r="L92" s="493"/>
      <c r="M92" s="493"/>
    </row>
    <row r="93" spans="1:14" x14ac:dyDescent="0.25">
      <c r="A93" s="493"/>
      <c r="B93" s="493"/>
      <c r="C93" s="493"/>
      <c r="D93" s="493"/>
      <c r="E93" s="493"/>
      <c r="F93" s="493"/>
      <c r="G93" s="493"/>
      <c r="H93" s="493"/>
      <c r="I93" s="493"/>
      <c r="J93" s="493"/>
      <c r="K93" s="493"/>
      <c r="L93" s="493"/>
      <c r="M93" s="493"/>
    </row>
    <row r="94" spans="1:14" x14ac:dyDescent="0.25">
      <c r="A94" s="493"/>
      <c r="B94" s="493"/>
      <c r="C94" s="493"/>
      <c r="D94" s="493"/>
      <c r="E94" s="493"/>
      <c r="F94" s="493"/>
      <c r="G94" s="493"/>
      <c r="H94" s="493"/>
      <c r="I94" s="493"/>
      <c r="J94" s="493"/>
      <c r="K94" s="493"/>
      <c r="L94" s="493"/>
      <c r="M94" s="493"/>
    </row>
    <row r="95" spans="1:14" x14ac:dyDescent="0.25">
      <c r="A95" s="493"/>
      <c r="B95" s="493"/>
      <c r="C95" s="493"/>
      <c r="D95" s="493"/>
      <c r="E95" s="493"/>
      <c r="F95" s="493"/>
      <c r="G95" s="493"/>
      <c r="H95" s="493"/>
      <c r="I95" s="493"/>
      <c r="J95" s="493"/>
      <c r="K95" s="493"/>
      <c r="L95" s="493"/>
      <c r="M95" s="493"/>
    </row>
    <row r="96" spans="1:14" x14ac:dyDescent="0.25">
      <c r="A96" s="493"/>
      <c r="B96" s="493"/>
      <c r="C96" s="493"/>
      <c r="D96" s="493"/>
      <c r="E96" s="493"/>
      <c r="F96" s="493"/>
      <c r="G96" s="493"/>
      <c r="H96" s="493"/>
      <c r="I96" s="493"/>
      <c r="J96" s="493"/>
      <c r="K96" s="493"/>
      <c r="L96" s="493"/>
      <c r="M96" s="493"/>
    </row>
    <row r="97" spans="1:13" x14ac:dyDescent="0.25">
      <c r="A97" s="493"/>
      <c r="B97" s="493"/>
      <c r="C97" s="493"/>
      <c r="D97" s="493"/>
      <c r="E97" s="493"/>
      <c r="F97" s="493"/>
      <c r="G97" s="493"/>
      <c r="H97" s="493"/>
      <c r="I97" s="493"/>
      <c r="J97" s="493"/>
      <c r="K97" s="493"/>
      <c r="L97" s="493"/>
      <c r="M97" s="493"/>
    </row>
    <row r="98" spans="1:13" x14ac:dyDescent="0.25">
      <c r="A98" s="493"/>
      <c r="B98" s="493"/>
      <c r="C98" s="493"/>
      <c r="D98" s="493"/>
      <c r="E98" s="493"/>
      <c r="F98" s="493"/>
      <c r="G98" s="493"/>
      <c r="H98" s="493"/>
      <c r="I98" s="493"/>
      <c r="J98" s="493"/>
      <c r="K98" s="493"/>
      <c r="L98" s="493"/>
      <c r="M98" s="493"/>
    </row>
    <row r="99" spans="1:13" x14ac:dyDescent="0.25">
      <c r="A99" s="493"/>
      <c r="B99" s="493"/>
      <c r="C99" s="493"/>
      <c r="D99" s="493"/>
      <c r="E99" s="493"/>
      <c r="F99" s="493"/>
      <c r="G99" s="493"/>
      <c r="H99" s="493"/>
      <c r="I99" s="493"/>
      <c r="J99" s="493"/>
      <c r="K99" s="493"/>
      <c r="L99" s="493"/>
      <c r="M99" s="493"/>
    </row>
    <row r="100" spans="1:13" x14ac:dyDescent="0.25">
      <c r="A100" s="493"/>
      <c r="B100" s="493"/>
      <c r="C100" s="493"/>
      <c r="D100" s="493"/>
      <c r="E100" s="493"/>
      <c r="F100" s="493"/>
      <c r="G100" s="493"/>
      <c r="H100" s="493"/>
      <c r="I100" s="493"/>
      <c r="J100" s="493"/>
      <c r="K100" s="493"/>
      <c r="L100" s="493"/>
      <c r="M100" s="493"/>
    </row>
    <row r="101" spans="1:13" x14ac:dyDescent="0.25">
      <c r="A101" s="493"/>
      <c r="B101" s="493"/>
      <c r="C101" s="493"/>
      <c r="D101" s="493"/>
      <c r="E101" s="493"/>
      <c r="F101" s="493"/>
      <c r="G101" s="493"/>
      <c r="H101" s="493"/>
      <c r="I101" s="493"/>
      <c r="J101" s="493"/>
      <c r="K101" s="493"/>
      <c r="L101" s="493"/>
      <c r="M101" s="493"/>
    </row>
    <row r="102" spans="1:13" x14ac:dyDescent="0.25">
      <c r="A102" s="493"/>
      <c r="B102" s="493"/>
      <c r="C102" s="493"/>
      <c r="D102" s="493"/>
      <c r="E102" s="493"/>
      <c r="F102" s="493"/>
      <c r="G102" s="493"/>
      <c r="H102" s="493"/>
      <c r="I102" s="493"/>
      <c r="J102" s="493"/>
      <c r="K102" s="493"/>
      <c r="L102" s="493"/>
      <c r="M102" s="493"/>
    </row>
    <row r="103" spans="1:13" x14ac:dyDescent="0.25">
      <c r="A103" s="493"/>
      <c r="B103" s="493"/>
      <c r="C103" s="493"/>
      <c r="D103" s="493"/>
      <c r="E103" s="493"/>
      <c r="F103" s="493"/>
      <c r="G103" s="493"/>
      <c r="H103" s="493"/>
      <c r="I103" s="493"/>
      <c r="J103" s="493"/>
      <c r="K103" s="493"/>
      <c r="L103" s="493"/>
      <c r="M103" s="493"/>
    </row>
    <row r="104" spans="1:13" x14ac:dyDescent="0.25">
      <c r="A104" s="493"/>
      <c r="B104" s="493"/>
      <c r="C104" s="493"/>
      <c r="D104" s="493"/>
      <c r="E104" s="493"/>
      <c r="F104" s="493"/>
      <c r="G104" s="493"/>
      <c r="H104" s="493"/>
      <c r="I104" s="493"/>
      <c r="J104" s="493"/>
      <c r="K104" s="493"/>
      <c r="L104" s="493"/>
      <c r="M104" s="493"/>
    </row>
    <row r="105" spans="1:13" x14ac:dyDescent="0.25">
      <c r="A105" s="493"/>
      <c r="B105" s="493"/>
      <c r="C105" s="493"/>
      <c r="D105" s="493"/>
      <c r="E105" s="493"/>
      <c r="F105" s="493"/>
      <c r="G105" s="493"/>
      <c r="H105" s="493"/>
      <c r="I105" s="493"/>
      <c r="J105" s="493"/>
      <c r="K105" s="493"/>
      <c r="L105" s="493"/>
      <c r="M105" s="493"/>
    </row>
    <row r="106" spans="1:13" x14ac:dyDescent="0.25">
      <c r="A106" s="493"/>
      <c r="B106" s="493"/>
      <c r="C106" s="493"/>
      <c r="D106" s="493"/>
      <c r="E106" s="493"/>
      <c r="F106" s="493"/>
      <c r="G106" s="493"/>
      <c r="H106" s="493"/>
      <c r="I106" s="493"/>
      <c r="J106" s="493"/>
      <c r="K106" s="493"/>
      <c r="L106" s="493"/>
      <c r="M106" s="493"/>
    </row>
    <row r="107" spans="1:13" x14ac:dyDescent="0.25">
      <c r="A107" s="493"/>
      <c r="B107" s="493"/>
      <c r="C107" s="493"/>
      <c r="D107" s="493"/>
      <c r="E107" s="493"/>
      <c r="F107" s="493"/>
      <c r="G107" s="493"/>
      <c r="H107" s="493"/>
      <c r="I107" s="493"/>
      <c r="J107" s="493"/>
      <c r="K107" s="493"/>
      <c r="L107" s="493"/>
      <c r="M107" s="493"/>
    </row>
    <row r="108" spans="1:13" x14ac:dyDescent="0.25">
      <c r="A108" s="493"/>
      <c r="B108" s="493"/>
      <c r="C108" s="493"/>
      <c r="D108" s="493"/>
      <c r="E108" s="493"/>
      <c r="F108" s="493"/>
      <c r="G108" s="493"/>
      <c r="H108" s="493"/>
      <c r="I108" s="493"/>
      <c r="J108" s="493"/>
      <c r="K108" s="493"/>
      <c r="L108" s="493"/>
      <c r="M108" s="493"/>
    </row>
    <row r="109" spans="1:13" x14ac:dyDescent="0.25">
      <c r="A109" s="493"/>
      <c r="B109" s="493"/>
      <c r="C109" s="493"/>
      <c r="D109" s="493"/>
      <c r="E109" s="493"/>
      <c r="F109" s="493"/>
      <c r="G109" s="493"/>
      <c r="H109" s="493"/>
      <c r="I109" s="493"/>
      <c r="J109" s="493"/>
      <c r="K109" s="493"/>
      <c r="L109" s="493"/>
      <c r="M109" s="493"/>
    </row>
    <row r="110" spans="1:13" x14ac:dyDescent="0.25">
      <c r="A110" s="493"/>
      <c r="B110" s="493"/>
      <c r="C110" s="493"/>
      <c r="D110" s="493"/>
      <c r="E110" s="493"/>
      <c r="F110" s="493"/>
      <c r="G110" s="493"/>
      <c r="H110" s="493"/>
      <c r="I110" s="493"/>
      <c r="J110" s="493"/>
      <c r="K110" s="493"/>
      <c r="L110" s="493"/>
      <c r="M110" s="493"/>
    </row>
    <row r="111" spans="1:13" x14ac:dyDescent="0.25">
      <c r="A111" s="493"/>
      <c r="B111" s="493"/>
      <c r="C111" s="493"/>
      <c r="D111" s="493"/>
      <c r="E111" s="493"/>
      <c r="F111" s="493"/>
      <c r="G111" s="493"/>
      <c r="H111" s="493"/>
      <c r="I111" s="493"/>
      <c r="J111" s="493"/>
      <c r="K111" s="493"/>
      <c r="L111" s="493"/>
      <c r="M111" s="493"/>
    </row>
    <row r="112" spans="1:13" x14ac:dyDescent="0.25">
      <c r="A112" s="493"/>
      <c r="B112" s="493"/>
      <c r="C112" s="493"/>
      <c r="D112" s="493"/>
      <c r="E112" s="493"/>
      <c r="F112" s="493"/>
      <c r="G112" s="493"/>
      <c r="H112" s="493"/>
      <c r="I112" s="493"/>
      <c r="J112" s="493"/>
      <c r="K112" s="493"/>
      <c r="L112" s="493"/>
      <c r="M112" s="493"/>
    </row>
    <row r="113" spans="1:13" x14ac:dyDescent="0.25">
      <c r="A113" s="493"/>
      <c r="B113" s="493"/>
      <c r="C113" s="493"/>
      <c r="D113" s="493"/>
      <c r="E113" s="493"/>
      <c r="F113" s="493"/>
      <c r="G113" s="493"/>
      <c r="H113" s="493"/>
      <c r="I113" s="493"/>
      <c r="J113" s="493"/>
      <c r="K113" s="493"/>
      <c r="L113" s="493"/>
      <c r="M113" s="493"/>
    </row>
    <row r="114" spans="1:13" x14ac:dyDescent="0.25">
      <c r="A114" s="493"/>
      <c r="B114" s="493"/>
      <c r="C114" s="493"/>
      <c r="D114" s="493"/>
      <c r="E114" s="493"/>
      <c r="F114" s="493"/>
      <c r="G114" s="493"/>
      <c r="H114" s="493"/>
      <c r="I114" s="493"/>
      <c r="J114" s="493"/>
      <c r="K114" s="493"/>
      <c r="L114" s="493"/>
      <c r="M114" s="493"/>
    </row>
    <row r="115" spans="1:13" x14ac:dyDescent="0.25">
      <c r="A115" s="493"/>
      <c r="B115" s="493"/>
      <c r="C115" s="493"/>
      <c r="D115" s="493"/>
      <c r="E115" s="493"/>
      <c r="F115" s="493"/>
      <c r="G115" s="493"/>
      <c r="H115" s="493"/>
      <c r="I115" s="493"/>
      <c r="J115" s="493"/>
      <c r="K115" s="493"/>
      <c r="L115" s="493"/>
      <c r="M115" s="493"/>
    </row>
    <row r="116" spans="1:13" x14ac:dyDescent="0.25">
      <c r="A116" s="493"/>
      <c r="B116" s="493"/>
      <c r="C116" s="493"/>
      <c r="D116" s="493"/>
      <c r="E116" s="493"/>
      <c r="F116" s="493"/>
      <c r="G116" s="493"/>
      <c r="H116" s="493"/>
      <c r="I116" s="493"/>
      <c r="J116" s="493"/>
      <c r="K116" s="493"/>
      <c r="L116" s="493"/>
      <c r="M116" s="493"/>
    </row>
    <row r="117" spans="1:13" x14ac:dyDescent="0.25">
      <c r="A117" s="493"/>
      <c r="B117" s="493"/>
      <c r="C117" s="493"/>
      <c r="D117" s="493"/>
      <c r="E117" s="493"/>
      <c r="F117" s="493"/>
      <c r="G117" s="493"/>
      <c r="H117" s="493"/>
      <c r="I117" s="493"/>
      <c r="J117" s="493"/>
      <c r="K117" s="493"/>
      <c r="L117" s="493"/>
      <c r="M117" s="493"/>
    </row>
    <row r="118" spans="1:13" x14ac:dyDescent="0.25">
      <c r="A118" s="493"/>
      <c r="B118" s="493"/>
      <c r="C118" s="493"/>
      <c r="D118" s="493"/>
      <c r="E118" s="493"/>
      <c r="F118" s="493"/>
      <c r="G118" s="493"/>
      <c r="H118" s="493"/>
      <c r="I118" s="493"/>
      <c r="J118" s="493"/>
      <c r="K118" s="493"/>
      <c r="L118" s="493"/>
      <c r="M118" s="493"/>
    </row>
    <row r="119" spans="1:13" x14ac:dyDescent="0.25">
      <c r="A119" s="493"/>
      <c r="B119" s="493"/>
      <c r="C119" s="493"/>
      <c r="D119" s="493"/>
      <c r="E119" s="493"/>
      <c r="F119" s="493"/>
      <c r="G119" s="493"/>
      <c r="H119" s="493"/>
      <c r="I119" s="493"/>
      <c r="J119" s="493"/>
      <c r="K119" s="493"/>
      <c r="L119" s="493"/>
      <c r="M119" s="493"/>
    </row>
    <row r="120" spans="1:13" x14ac:dyDescent="0.25">
      <c r="A120" s="493"/>
      <c r="B120" s="493"/>
      <c r="C120" s="493"/>
      <c r="D120" s="493"/>
      <c r="E120" s="493"/>
      <c r="F120" s="493"/>
      <c r="G120" s="493"/>
      <c r="H120" s="493"/>
      <c r="I120" s="493"/>
      <c r="J120" s="493"/>
      <c r="K120" s="493"/>
      <c r="L120" s="493"/>
      <c r="M120" s="493"/>
    </row>
    <row r="121" spans="1:13" x14ac:dyDescent="0.25">
      <c r="A121" s="493"/>
      <c r="B121" s="493"/>
      <c r="C121" s="493"/>
      <c r="D121" s="493"/>
      <c r="E121" s="493"/>
      <c r="F121" s="493"/>
      <c r="G121" s="493"/>
      <c r="H121" s="493"/>
      <c r="I121" s="493"/>
      <c r="J121" s="493"/>
      <c r="K121" s="493"/>
      <c r="L121" s="493"/>
      <c r="M121" s="493"/>
    </row>
    <row r="122" spans="1:13" x14ac:dyDescent="0.25">
      <c r="A122" s="493"/>
      <c r="B122" s="493"/>
      <c r="C122" s="493"/>
      <c r="D122" s="493"/>
      <c r="E122" s="493"/>
      <c r="F122" s="493"/>
      <c r="G122" s="493"/>
      <c r="H122" s="493"/>
      <c r="I122" s="493"/>
      <c r="J122" s="493"/>
      <c r="K122" s="493"/>
      <c r="L122" s="493"/>
      <c r="M122" s="493"/>
    </row>
    <row r="123" spans="1:13" x14ac:dyDescent="0.25">
      <c r="A123" s="493"/>
      <c r="B123" s="493"/>
      <c r="C123" s="493"/>
      <c r="D123" s="493"/>
      <c r="E123" s="493"/>
      <c r="F123" s="493"/>
      <c r="G123" s="493"/>
      <c r="H123" s="493"/>
      <c r="I123" s="493"/>
      <c r="J123" s="493"/>
      <c r="K123" s="493"/>
      <c r="L123" s="493"/>
      <c r="M123" s="493"/>
    </row>
    <row r="124" spans="1:13" x14ac:dyDescent="0.25">
      <c r="A124" s="493"/>
      <c r="B124" s="493"/>
      <c r="C124" s="493"/>
      <c r="D124" s="493"/>
      <c r="E124" s="493"/>
      <c r="F124" s="493"/>
      <c r="G124" s="493"/>
      <c r="H124" s="493"/>
      <c r="I124" s="493"/>
      <c r="J124" s="493"/>
      <c r="K124" s="493"/>
      <c r="L124" s="493"/>
      <c r="M124" s="493"/>
    </row>
    <row r="125" spans="1:13" x14ac:dyDescent="0.25">
      <c r="A125" s="493"/>
      <c r="B125" s="493"/>
      <c r="C125" s="493"/>
      <c r="D125" s="493"/>
      <c r="E125" s="493"/>
      <c r="F125" s="493"/>
      <c r="G125" s="493"/>
      <c r="H125" s="493"/>
      <c r="I125" s="493"/>
      <c r="J125" s="493"/>
      <c r="K125" s="493"/>
      <c r="L125" s="493"/>
      <c r="M125" s="493"/>
    </row>
    <row r="126" spans="1:13" x14ac:dyDescent="0.25">
      <c r="A126" s="493"/>
      <c r="B126" s="493"/>
      <c r="C126" s="493"/>
      <c r="D126" s="493"/>
      <c r="E126" s="493"/>
      <c r="F126" s="493"/>
      <c r="G126" s="493"/>
      <c r="H126" s="493"/>
      <c r="I126" s="493"/>
      <c r="J126" s="493"/>
      <c r="K126" s="493"/>
      <c r="L126" s="493"/>
      <c r="M126" s="493"/>
    </row>
    <row r="127" spans="1:13" x14ac:dyDescent="0.25">
      <c r="A127" s="493"/>
      <c r="B127" s="493"/>
      <c r="C127" s="493"/>
      <c r="D127" s="493"/>
      <c r="E127" s="493"/>
      <c r="F127" s="493"/>
      <c r="G127" s="493"/>
      <c r="H127" s="493"/>
      <c r="I127" s="493"/>
      <c r="J127" s="493"/>
      <c r="K127" s="493"/>
      <c r="L127" s="493"/>
      <c r="M127" s="493"/>
    </row>
    <row r="128" spans="1:13" x14ac:dyDescent="0.25">
      <c r="A128" s="493"/>
      <c r="B128" s="493"/>
      <c r="C128" s="493"/>
      <c r="D128" s="493"/>
      <c r="E128" s="493"/>
      <c r="F128" s="493"/>
      <c r="G128" s="493"/>
      <c r="H128" s="493"/>
      <c r="I128" s="493"/>
      <c r="J128" s="493"/>
      <c r="K128" s="493"/>
      <c r="L128" s="493"/>
      <c r="M128" s="493"/>
    </row>
    <row r="129" spans="1:13" x14ac:dyDescent="0.25">
      <c r="A129" s="493"/>
      <c r="B129" s="493"/>
      <c r="C129" s="493"/>
      <c r="D129" s="493"/>
      <c r="E129" s="493"/>
      <c r="F129" s="493"/>
      <c r="G129" s="493"/>
      <c r="H129" s="493"/>
      <c r="I129" s="493"/>
      <c r="J129" s="493"/>
      <c r="K129" s="493"/>
      <c r="L129" s="493"/>
      <c r="M129" s="493"/>
    </row>
    <row r="130" spans="1:13" x14ac:dyDescent="0.25">
      <c r="A130" s="493"/>
      <c r="B130" s="493"/>
      <c r="C130" s="493"/>
      <c r="D130" s="493"/>
      <c r="E130" s="493"/>
      <c r="F130" s="493"/>
      <c r="G130" s="493"/>
      <c r="H130" s="493"/>
      <c r="I130" s="493"/>
      <c r="J130" s="493"/>
      <c r="K130" s="493"/>
      <c r="L130" s="493"/>
      <c r="M130" s="493"/>
    </row>
    <row r="131" spans="1:13" x14ac:dyDescent="0.25">
      <c r="A131" s="493"/>
      <c r="B131" s="493"/>
      <c r="C131" s="493"/>
      <c r="D131" s="493"/>
      <c r="E131" s="493"/>
      <c r="F131" s="493"/>
      <c r="G131" s="493"/>
      <c r="H131" s="493"/>
      <c r="I131" s="493"/>
      <c r="J131" s="493"/>
      <c r="K131" s="493"/>
      <c r="L131" s="493"/>
      <c r="M131" s="493"/>
    </row>
    <row r="132" spans="1:13" x14ac:dyDescent="0.25">
      <c r="A132" s="493"/>
      <c r="B132" s="493"/>
      <c r="C132" s="493"/>
      <c r="D132" s="493"/>
      <c r="E132" s="493"/>
      <c r="F132" s="493"/>
      <c r="G132" s="493"/>
      <c r="H132" s="493"/>
      <c r="I132" s="493"/>
      <c r="J132" s="493"/>
      <c r="K132" s="493"/>
      <c r="L132" s="493"/>
      <c r="M132" s="493"/>
    </row>
    <row r="133" spans="1:13" x14ac:dyDescent="0.25">
      <c r="A133" s="493"/>
      <c r="B133" s="493"/>
      <c r="C133" s="493"/>
      <c r="D133" s="493"/>
      <c r="E133" s="493"/>
      <c r="F133" s="493"/>
      <c r="G133" s="493"/>
      <c r="H133" s="493"/>
      <c r="I133" s="493"/>
      <c r="J133" s="493"/>
      <c r="K133" s="493"/>
      <c r="L133" s="493"/>
      <c r="M133" s="493"/>
    </row>
    <row r="134" spans="1:13" x14ac:dyDescent="0.25">
      <c r="A134" s="493"/>
      <c r="B134" s="493"/>
      <c r="C134" s="493"/>
      <c r="D134" s="493"/>
      <c r="E134" s="493"/>
      <c r="F134" s="493"/>
      <c r="G134" s="493"/>
      <c r="H134" s="493"/>
      <c r="I134" s="493"/>
      <c r="J134" s="493"/>
      <c r="K134" s="493"/>
      <c r="L134" s="493"/>
      <c r="M134" s="493"/>
    </row>
    <row r="135" spans="1:13" x14ac:dyDescent="0.25">
      <c r="A135" s="493"/>
      <c r="B135" s="493"/>
      <c r="C135" s="493"/>
      <c r="D135" s="493"/>
      <c r="E135" s="493"/>
      <c r="F135" s="493"/>
      <c r="G135" s="493"/>
      <c r="H135" s="493"/>
      <c r="I135" s="493"/>
      <c r="J135" s="493"/>
      <c r="K135" s="493"/>
      <c r="L135" s="493"/>
      <c r="M135" s="493"/>
    </row>
    <row r="136" spans="1:13" x14ac:dyDescent="0.25">
      <c r="A136" s="493"/>
      <c r="B136" s="493"/>
      <c r="C136" s="493"/>
      <c r="D136" s="493"/>
      <c r="E136" s="493"/>
      <c r="F136" s="493"/>
      <c r="G136" s="493"/>
      <c r="H136" s="493"/>
      <c r="I136" s="493"/>
      <c r="J136" s="493"/>
      <c r="K136" s="493"/>
      <c r="L136" s="493"/>
      <c r="M136" s="493"/>
    </row>
    <row r="137" spans="1:13" x14ac:dyDescent="0.25">
      <c r="A137" s="493"/>
      <c r="B137" s="493"/>
      <c r="C137" s="493"/>
      <c r="D137" s="493"/>
      <c r="E137" s="493"/>
      <c r="F137" s="493"/>
      <c r="G137" s="493"/>
      <c r="H137" s="493"/>
      <c r="I137" s="493"/>
      <c r="J137" s="493"/>
      <c r="K137" s="493"/>
      <c r="L137" s="493"/>
      <c r="M137" s="493"/>
    </row>
    <row r="138" spans="1:13" x14ac:dyDescent="0.25">
      <c r="A138" s="493"/>
      <c r="B138" s="493"/>
      <c r="C138" s="493"/>
      <c r="D138" s="493"/>
      <c r="E138" s="493"/>
      <c r="F138" s="493"/>
      <c r="G138" s="493"/>
      <c r="H138" s="493"/>
      <c r="I138" s="493"/>
      <c r="J138" s="493"/>
      <c r="K138" s="493"/>
      <c r="L138" s="493"/>
      <c r="M138" s="493"/>
    </row>
    <row r="139" spans="1:13" x14ac:dyDescent="0.25">
      <c r="A139" s="493"/>
      <c r="B139" s="493"/>
      <c r="C139" s="493"/>
      <c r="D139" s="493"/>
      <c r="E139" s="493"/>
      <c r="F139" s="493"/>
      <c r="G139" s="493"/>
      <c r="H139" s="493"/>
      <c r="I139" s="493"/>
      <c r="J139" s="493"/>
      <c r="K139" s="493"/>
      <c r="L139" s="493"/>
      <c r="M139" s="493"/>
    </row>
    <row r="140" spans="1:13" x14ac:dyDescent="0.25">
      <c r="A140" s="493"/>
      <c r="B140" s="493"/>
      <c r="C140" s="493"/>
      <c r="D140" s="493"/>
      <c r="E140" s="493"/>
      <c r="F140" s="493"/>
      <c r="G140" s="493"/>
      <c r="H140" s="493"/>
      <c r="I140" s="493"/>
      <c r="J140" s="493"/>
      <c r="K140" s="493"/>
      <c r="L140" s="493"/>
      <c r="M140" s="493"/>
    </row>
    <row r="141" spans="1:13" x14ac:dyDescent="0.25">
      <c r="A141" s="493"/>
      <c r="B141" s="493"/>
      <c r="C141" s="493"/>
      <c r="D141" s="493"/>
      <c r="E141" s="493"/>
      <c r="F141" s="493"/>
      <c r="G141" s="493"/>
      <c r="H141" s="493"/>
      <c r="I141" s="493"/>
      <c r="J141" s="493"/>
      <c r="K141" s="493"/>
      <c r="L141" s="493"/>
      <c r="M141" s="493"/>
    </row>
    <row r="142" spans="1:13" x14ac:dyDescent="0.25">
      <c r="A142" s="493"/>
      <c r="B142" s="493"/>
      <c r="C142" s="493"/>
      <c r="D142" s="493"/>
      <c r="E142" s="493"/>
      <c r="F142" s="493"/>
      <c r="G142" s="493"/>
      <c r="H142" s="493"/>
      <c r="I142" s="493"/>
      <c r="J142" s="493"/>
      <c r="K142" s="493"/>
      <c r="L142" s="493"/>
      <c r="M142" s="493"/>
    </row>
    <row r="143" spans="1:13" x14ac:dyDescent="0.25">
      <c r="A143" s="493"/>
      <c r="B143" s="493"/>
      <c r="C143" s="493"/>
      <c r="D143" s="493"/>
      <c r="E143" s="493"/>
      <c r="F143" s="493"/>
      <c r="G143" s="493"/>
      <c r="H143" s="493"/>
      <c r="I143" s="493"/>
      <c r="J143" s="493"/>
      <c r="K143" s="493"/>
      <c r="L143" s="493"/>
      <c r="M143" s="493"/>
    </row>
    <row r="144" spans="1:13" x14ac:dyDescent="0.25">
      <c r="A144" s="493"/>
      <c r="B144" s="493"/>
      <c r="C144" s="493"/>
      <c r="D144" s="493"/>
      <c r="E144" s="493"/>
      <c r="F144" s="493"/>
      <c r="G144" s="493"/>
      <c r="H144" s="493"/>
      <c r="I144" s="493"/>
      <c r="J144" s="493"/>
      <c r="K144" s="493"/>
      <c r="L144" s="493"/>
      <c r="M144" s="493"/>
    </row>
    <row r="145" spans="1:13" x14ac:dyDescent="0.25">
      <c r="A145" s="493"/>
      <c r="B145" s="493"/>
      <c r="C145" s="493"/>
      <c r="D145" s="493"/>
      <c r="E145" s="493"/>
      <c r="F145" s="493"/>
      <c r="G145" s="493"/>
      <c r="H145" s="493"/>
      <c r="I145" s="493"/>
      <c r="J145" s="493"/>
      <c r="K145" s="493"/>
      <c r="L145" s="493"/>
      <c r="M145" s="493"/>
    </row>
    <row r="146" spans="1:13" x14ac:dyDescent="0.25">
      <c r="A146" s="493"/>
      <c r="B146" s="493"/>
      <c r="C146" s="493"/>
      <c r="D146" s="493"/>
      <c r="E146" s="493"/>
      <c r="F146" s="493"/>
      <c r="G146" s="493"/>
      <c r="H146" s="493"/>
      <c r="I146" s="493"/>
      <c r="J146" s="493"/>
      <c r="K146" s="493"/>
      <c r="L146" s="493"/>
      <c r="M146" s="493"/>
    </row>
    <row r="147" spans="1:13" x14ac:dyDescent="0.25">
      <c r="A147" s="493"/>
      <c r="B147" s="493"/>
      <c r="C147" s="493"/>
      <c r="D147" s="493"/>
      <c r="E147" s="493"/>
      <c r="F147" s="493"/>
      <c r="G147" s="493"/>
      <c r="H147" s="493"/>
      <c r="I147" s="493"/>
      <c r="J147" s="493"/>
      <c r="K147" s="493"/>
      <c r="L147" s="493"/>
      <c r="M147" s="493"/>
    </row>
    <row r="148" spans="1:13" x14ac:dyDescent="0.25">
      <c r="A148" s="493"/>
      <c r="B148" s="493"/>
      <c r="C148" s="493"/>
      <c r="D148" s="493"/>
      <c r="E148" s="493"/>
      <c r="F148" s="493"/>
      <c r="G148" s="493"/>
      <c r="H148" s="493"/>
      <c r="I148" s="493"/>
      <c r="J148" s="493"/>
      <c r="K148" s="493"/>
      <c r="L148" s="493"/>
      <c r="M148" s="493"/>
    </row>
    <row r="149" spans="1:13" x14ac:dyDescent="0.25">
      <c r="A149" s="493"/>
      <c r="B149" s="493"/>
      <c r="C149" s="493"/>
      <c r="D149" s="493"/>
      <c r="E149" s="493"/>
      <c r="F149" s="493"/>
      <c r="G149" s="493"/>
      <c r="H149" s="493"/>
      <c r="I149" s="493"/>
      <c r="J149" s="493"/>
      <c r="K149" s="493"/>
      <c r="L149" s="493"/>
      <c r="M149" s="493"/>
    </row>
    <row r="150" spans="1:13" x14ac:dyDescent="0.25">
      <c r="A150" s="493"/>
      <c r="B150" s="493"/>
      <c r="C150" s="493"/>
      <c r="D150" s="493"/>
      <c r="E150" s="493"/>
      <c r="F150" s="493"/>
      <c r="G150" s="493"/>
      <c r="H150" s="493"/>
      <c r="I150" s="493"/>
      <c r="J150" s="493"/>
      <c r="K150" s="493"/>
      <c r="L150" s="493"/>
      <c r="M150" s="493"/>
    </row>
    <row r="151" spans="1:13" x14ac:dyDescent="0.25">
      <c r="A151" s="493"/>
      <c r="B151" s="493"/>
      <c r="C151" s="493"/>
      <c r="D151" s="493"/>
      <c r="E151" s="493"/>
      <c r="F151" s="493"/>
      <c r="G151" s="493"/>
      <c r="H151" s="493"/>
      <c r="I151" s="493"/>
      <c r="J151" s="493"/>
      <c r="K151" s="493"/>
      <c r="L151" s="493"/>
      <c r="M151" s="493"/>
    </row>
    <row r="152" spans="1:13" x14ac:dyDescent="0.25">
      <c r="A152" s="493"/>
      <c r="B152" s="493"/>
      <c r="C152" s="493"/>
      <c r="D152" s="493"/>
      <c r="E152" s="493"/>
      <c r="F152" s="493"/>
      <c r="G152" s="493"/>
      <c r="H152" s="493"/>
      <c r="I152" s="493"/>
      <c r="J152" s="493"/>
      <c r="K152" s="493"/>
      <c r="L152" s="493"/>
      <c r="M152" s="493"/>
    </row>
    <row r="153" spans="1:13" x14ac:dyDescent="0.25">
      <c r="A153" s="493"/>
      <c r="B153" s="493"/>
      <c r="C153" s="493"/>
      <c r="D153" s="493"/>
      <c r="E153" s="493"/>
      <c r="F153" s="493"/>
      <c r="G153" s="493"/>
      <c r="H153" s="493"/>
      <c r="I153" s="493"/>
      <c r="J153" s="493"/>
      <c r="K153" s="493"/>
      <c r="L153" s="493"/>
      <c r="M153" s="493"/>
    </row>
    <row r="154" spans="1:13" x14ac:dyDescent="0.25">
      <c r="A154" s="493"/>
      <c r="B154" s="493"/>
      <c r="C154" s="493"/>
      <c r="D154" s="493"/>
      <c r="E154" s="493"/>
      <c r="F154" s="493"/>
      <c r="G154" s="493"/>
      <c r="H154" s="493"/>
      <c r="I154" s="493"/>
      <c r="J154" s="493"/>
      <c r="K154" s="493"/>
      <c r="L154" s="493"/>
      <c r="M154" s="493"/>
    </row>
    <row r="155" spans="1:13" x14ac:dyDescent="0.25">
      <c r="A155" s="493"/>
      <c r="B155" s="493"/>
      <c r="C155" s="493"/>
      <c r="D155" s="493"/>
      <c r="E155" s="493"/>
      <c r="F155" s="493"/>
      <c r="G155" s="493"/>
      <c r="H155" s="493"/>
      <c r="I155" s="493"/>
      <c r="J155" s="493"/>
      <c r="K155" s="493"/>
      <c r="L155" s="493"/>
      <c r="M155" s="493"/>
    </row>
    <row r="156" spans="1:13" x14ac:dyDescent="0.25">
      <c r="A156" s="493"/>
      <c r="B156" s="493"/>
      <c r="C156" s="493"/>
      <c r="D156" s="493"/>
      <c r="E156" s="493"/>
      <c r="F156" s="493"/>
      <c r="G156" s="493"/>
      <c r="H156" s="493"/>
      <c r="I156" s="493"/>
      <c r="J156" s="493"/>
      <c r="K156" s="493"/>
      <c r="L156" s="493"/>
      <c r="M156" s="493"/>
    </row>
    <row r="157" spans="1:13" x14ac:dyDescent="0.25">
      <c r="A157" s="493"/>
      <c r="B157" s="493"/>
      <c r="C157" s="493"/>
      <c r="D157" s="493"/>
      <c r="E157" s="493"/>
      <c r="F157" s="493"/>
      <c r="G157" s="493"/>
      <c r="H157" s="493"/>
      <c r="I157" s="493"/>
      <c r="J157" s="493"/>
      <c r="K157" s="493"/>
      <c r="L157" s="493"/>
      <c r="M157" s="493"/>
    </row>
    <row r="158" spans="1:13" x14ac:dyDescent="0.25">
      <c r="A158" s="493"/>
      <c r="B158" s="493"/>
      <c r="C158" s="493"/>
      <c r="D158" s="493"/>
      <c r="E158" s="493"/>
      <c r="F158" s="493"/>
      <c r="G158" s="493"/>
      <c r="H158" s="493"/>
      <c r="I158" s="493"/>
      <c r="J158" s="493"/>
      <c r="K158" s="493"/>
      <c r="L158" s="493"/>
      <c r="M158" s="493"/>
    </row>
    <row r="159" spans="1:13" x14ac:dyDescent="0.25">
      <c r="A159" s="493"/>
      <c r="B159" s="493"/>
      <c r="C159" s="493"/>
      <c r="D159" s="493"/>
      <c r="E159" s="493"/>
      <c r="F159" s="493"/>
      <c r="G159" s="493"/>
      <c r="H159" s="493"/>
      <c r="I159" s="493"/>
      <c r="J159" s="493"/>
      <c r="K159" s="493"/>
      <c r="L159" s="493"/>
      <c r="M159" s="493"/>
    </row>
    <row r="160" spans="1:13" x14ac:dyDescent="0.25">
      <c r="A160" s="493"/>
      <c r="B160" s="493"/>
      <c r="C160" s="493"/>
      <c r="D160" s="493"/>
      <c r="E160" s="493"/>
      <c r="F160" s="493"/>
      <c r="G160" s="493"/>
      <c r="H160" s="493"/>
      <c r="I160" s="493"/>
      <c r="J160" s="493"/>
      <c r="K160" s="493"/>
      <c r="L160" s="493"/>
      <c r="M160" s="493"/>
    </row>
    <row r="161" spans="1:13" x14ac:dyDescent="0.25">
      <c r="A161" s="493"/>
      <c r="B161" s="493"/>
      <c r="C161" s="493"/>
      <c r="D161" s="493"/>
      <c r="E161" s="493"/>
      <c r="F161" s="493"/>
      <c r="G161" s="493"/>
      <c r="H161" s="493"/>
      <c r="I161" s="493"/>
      <c r="J161" s="493"/>
      <c r="K161" s="493"/>
      <c r="L161" s="493"/>
      <c r="M161" s="493"/>
    </row>
    <row r="162" spans="1:13" x14ac:dyDescent="0.25">
      <c r="A162" s="493"/>
      <c r="B162" s="493"/>
      <c r="C162" s="493"/>
      <c r="D162" s="493"/>
      <c r="E162" s="493"/>
      <c r="F162" s="493"/>
      <c r="G162" s="493"/>
      <c r="H162" s="493"/>
      <c r="I162" s="493"/>
      <c r="J162" s="493"/>
      <c r="K162" s="493"/>
      <c r="L162" s="493"/>
      <c r="M162" s="493"/>
    </row>
    <row r="163" spans="1:13" x14ac:dyDescent="0.25">
      <c r="A163" s="493"/>
      <c r="B163" s="493"/>
      <c r="C163" s="493"/>
      <c r="D163" s="493"/>
      <c r="E163" s="493"/>
      <c r="F163" s="493"/>
      <c r="G163" s="493"/>
      <c r="H163" s="493"/>
      <c r="I163" s="493"/>
      <c r="J163" s="493"/>
      <c r="K163" s="493"/>
      <c r="L163" s="493"/>
      <c r="M163" s="493"/>
    </row>
    <row r="164" spans="1:13" x14ac:dyDescent="0.25">
      <c r="A164" s="493"/>
      <c r="B164" s="493"/>
      <c r="C164" s="493"/>
      <c r="D164" s="493"/>
      <c r="E164" s="493"/>
      <c r="F164" s="493"/>
      <c r="G164" s="493"/>
      <c r="H164" s="493"/>
      <c r="I164" s="493"/>
      <c r="J164" s="493"/>
      <c r="K164" s="493"/>
      <c r="L164" s="493"/>
      <c r="M164" s="493"/>
    </row>
    <row r="165" spans="1:13" x14ac:dyDescent="0.25">
      <c r="A165" s="493"/>
      <c r="B165" s="493"/>
      <c r="C165" s="493"/>
      <c r="D165" s="493"/>
      <c r="E165" s="493"/>
      <c r="F165" s="493"/>
      <c r="G165" s="493"/>
      <c r="H165" s="493"/>
      <c r="I165" s="493"/>
      <c r="J165" s="493"/>
      <c r="K165" s="493"/>
      <c r="L165" s="493"/>
      <c r="M165" s="493"/>
    </row>
    <row r="166" spans="1:13" x14ac:dyDescent="0.25">
      <c r="A166" s="493"/>
      <c r="B166" s="493"/>
      <c r="C166" s="493"/>
      <c r="D166" s="493"/>
      <c r="E166" s="493"/>
      <c r="F166" s="493"/>
      <c r="G166" s="493"/>
      <c r="H166" s="493"/>
      <c r="I166" s="493"/>
      <c r="J166" s="493"/>
      <c r="K166" s="493"/>
      <c r="L166" s="493"/>
      <c r="M166" s="493"/>
    </row>
    <row r="167" spans="1:13" x14ac:dyDescent="0.25">
      <c r="A167" s="493"/>
      <c r="B167" s="493"/>
      <c r="C167" s="493"/>
      <c r="D167" s="493"/>
      <c r="E167" s="493"/>
      <c r="F167" s="493"/>
      <c r="G167" s="493"/>
      <c r="H167" s="493"/>
      <c r="I167" s="493"/>
      <c r="J167" s="493"/>
      <c r="K167" s="493"/>
      <c r="L167" s="493"/>
      <c r="M167" s="493"/>
    </row>
    <row r="168" spans="1:13" x14ac:dyDescent="0.25">
      <c r="A168" s="493"/>
      <c r="B168" s="493"/>
      <c r="C168" s="493"/>
      <c r="D168" s="493"/>
      <c r="E168" s="493"/>
      <c r="F168" s="493"/>
      <c r="G168" s="493"/>
      <c r="H168" s="493"/>
      <c r="I168" s="493"/>
      <c r="J168" s="493"/>
      <c r="K168" s="493"/>
      <c r="L168" s="493"/>
      <c r="M168" s="493"/>
    </row>
    <row r="169" spans="1:13" x14ac:dyDescent="0.25">
      <c r="A169" s="493"/>
      <c r="B169" s="493"/>
      <c r="C169" s="493"/>
      <c r="D169" s="493"/>
      <c r="E169" s="493"/>
      <c r="F169" s="493"/>
      <c r="G169" s="493"/>
      <c r="H169" s="493"/>
      <c r="I169" s="493"/>
      <c r="J169" s="493"/>
      <c r="K169" s="493"/>
      <c r="L169" s="493"/>
      <c r="M169" s="493"/>
    </row>
    <row r="170" spans="1:13" x14ac:dyDescent="0.25">
      <c r="A170" s="493"/>
      <c r="B170" s="493"/>
      <c r="C170" s="493"/>
      <c r="D170" s="493"/>
      <c r="E170" s="493"/>
      <c r="F170" s="493"/>
      <c r="G170" s="493"/>
      <c r="H170" s="493"/>
      <c r="I170" s="493"/>
      <c r="J170" s="493"/>
      <c r="K170" s="493"/>
      <c r="L170" s="493"/>
      <c r="M170" s="493"/>
    </row>
    <row r="171" spans="1:13" x14ac:dyDescent="0.25">
      <c r="A171" s="493"/>
      <c r="B171" s="493"/>
      <c r="C171" s="493"/>
      <c r="D171" s="493"/>
      <c r="E171" s="493"/>
      <c r="F171" s="493"/>
      <c r="G171" s="493"/>
      <c r="H171" s="493"/>
      <c r="I171" s="493"/>
      <c r="J171" s="493"/>
      <c r="K171" s="493"/>
      <c r="L171" s="493"/>
      <c r="M171" s="493"/>
    </row>
    <row r="172" spans="1:13" x14ac:dyDescent="0.25">
      <c r="A172" s="493"/>
      <c r="B172" s="493"/>
      <c r="C172" s="493"/>
      <c r="D172" s="493"/>
      <c r="E172" s="493"/>
      <c r="F172" s="493"/>
      <c r="G172" s="493"/>
      <c r="H172" s="493"/>
      <c r="I172" s="493"/>
      <c r="J172" s="493"/>
      <c r="K172" s="493"/>
      <c r="L172" s="493"/>
      <c r="M172" s="493"/>
    </row>
    <row r="173" spans="1:13" x14ac:dyDescent="0.25">
      <c r="A173" s="493"/>
      <c r="B173" s="493"/>
      <c r="C173" s="493"/>
      <c r="D173" s="493"/>
      <c r="E173" s="493"/>
      <c r="F173" s="493"/>
      <c r="G173" s="493"/>
      <c r="H173" s="493"/>
      <c r="I173" s="493"/>
      <c r="J173" s="493"/>
      <c r="K173" s="493"/>
      <c r="L173" s="493"/>
      <c r="M173" s="493"/>
    </row>
    <row r="174" spans="1:13" x14ac:dyDescent="0.25">
      <c r="A174" s="493"/>
      <c r="B174" s="493"/>
      <c r="C174" s="493"/>
      <c r="D174" s="493"/>
      <c r="E174" s="493"/>
      <c r="F174" s="493"/>
      <c r="G174" s="493"/>
      <c r="H174" s="493"/>
      <c r="I174" s="493"/>
      <c r="J174" s="493"/>
      <c r="K174" s="493"/>
      <c r="L174" s="493"/>
      <c r="M174" s="493"/>
    </row>
    <row r="175" spans="1:13" x14ac:dyDescent="0.25">
      <c r="A175" s="493"/>
      <c r="B175" s="493"/>
      <c r="C175" s="493"/>
      <c r="D175" s="493"/>
      <c r="E175" s="493"/>
      <c r="F175" s="493"/>
      <c r="G175" s="493"/>
      <c r="H175" s="493"/>
      <c r="I175" s="493"/>
      <c r="J175" s="493"/>
      <c r="K175" s="493"/>
      <c r="L175" s="493"/>
      <c r="M175" s="493"/>
    </row>
    <row r="176" spans="1:13" x14ac:dyDescent="0.25">
      <c r="A176" s="493"/>
      <c r="B176" s="493"/>
      <c r="C176" s="493"/>
      <c r="D176" s="493"/>
      <c r="E176" s="493"/>
      <c r="F176" s="493"/>
      <c r="G176" s="493"/>
      <c r="H176" s="493"/>
      <c r="I176" s="493"/>
      <c r="J176" s="493"/>
      <c r="K176" s="493"/>
      <c r="L176" s="493"/>
      <c r="M176" s="493"/>
    </row>
    <row r="177" spans="1:13" x14ac:dyDescent="0.25">
      <c r="A177" s="493"/>
      <c r="B177" s="493"/>
      <c r="C177" s="493"/>
      <c r="D177" s="493"/>
      <c r="E177" s="493"/>
      <c r="F177" s="493"/>
      <c r="G177" s="493"/>
      <c r="H177" s="493"/>
      <c r="I177" s="493"/>
      <c r="J177" s="493"/>
      <c r="K177" s="493"/>
      <c r="L177" s="493"/>
      <c r="M177" s="493"/>
    </row>
    <row r="178" spans="1:13" x14ac:dyDescent="0.25">
      <c r="A178" s="493"/>
      <c r="B178" s="493"/>
      <c r="C178" s="493"/>
      <c r="D178" s="493"/>
      <c r="E178" s="493"/>
      <c r="F178" s="493"/>
      <c r="G178" s="493"/>
      <c r="H178" s="493"/>
      <c r="I178" s="493"/>
      <c r="J178" s="493"/>
      <c r="K178" s="493"/>
      <c r="L178" s="493"/>
      <c r="M178" s="493"/>
    </row>
    <row r="179" spans="1:13" x14ac:dyDescent="0.25">
      <c r="A179" s="493"/>
      <c r="B179" s="493"/>
      <c r="C179" s="493"/>
      <c r="D179" s="493"/>
      <c r="E179" s="493"/>
      <c r="F179" s="493"/>
      <c r="G179" s="493"/>
      <c r="H179" s="493"/>
      <c r="I179" s="493"/>
      <c r="J179" s="493"/>
      <c r="K179" s="493"/>
      <c r="L179" s="493"/>
      <c r="M179" s="493"/>
    </row>
    <row r="180" spans="1:13" x14ac:dyDescent="0.25">
      <c r="A180" s="493"/>
      <c r="B180" s="493"/>
      <c r="C180" s="493"/>
      <c r="D180" s="493"/>
      <c r="E180" s="493"/>
      <c r="F180" s="493"/>
      <c r="G180" s="493"/>
      <c r="H180" s="493"/>
      <c r="I180" s="493"/>
      <c r="J180" s="493"/>
      <c r="K180" s="493"/>
      <c r="L180" s="493"/>
      <c r="M180" s="493"/>
    </row>
    <row r="181" spans="1:13" x14ac:dyDescent="0.25">
      <c r="A181" s="493"/>
      <c r="B181" s="493"/>
      <c r="C181" s="493"/>
      <c r="D181" s="493"/>
      <c r="E181" s="493"/>
      <c r="F181" s="493"/>
      <c r="G181" s="493"/>
      <c r="H181" s="493"/>
      <c r="I181" s="493"/>
      <c r="J181" s="493"/>
      <c r="K181" s="493"/>
      <c r="L181" s="493"/>
      <c r="M181" s="493"/>
    </row>
    <row r="182" spans="1:13" x14ac:dyDescent="0.25">
      <c r="A182" s="493"/>
      <c r="B182" s="493"/>
      <c r="C182" s="493"/>
      <c r="D182" s="493"/>
      <c r="E182" s="493"/>
      <c r="F182" s="493"/>
      <c r="G182" s="493"/>
      <c r="H182" s="493"/>
      <c r="I182" s="493"/>
      <c r="J182" s="493"/>
      <c r="K182" s="493"/>
      <c r="L182" s="493"/>
      <c r="M182" s="493"/>
    </row>
    <row r="183" spans="1:13" x14ac:dyDescent="0.25">
      <c r="A183" s="493"/>
      <c r="B183" s="493"/>
      <c r="C183" s="493"/>
      <c r="D183" s="493"/>
      <c r="E183" s="493"/>
      <c r="F183" s="493"/>
      <c r="G183" s="493"/>
      <c r="H183" s="493"/>
      <c r="I183" s="493"/>
      <c r="J183" s="493"/>
      <c r="K183" s="493"/>
      <c r="L183" s="493"/>
      <c r="M183" s="493"/>
    </row>
    <row r="184" spans="1:13" x14ac:dyDescent="0.25">
      <c r="A184" s="493"/>
      <c r="B184" s="493"/>
      <c r="C184" s="493"/>
      <c r="D184" s="493"/>
      <c r="E184" s="493"/>
      <c r="F184" s="493"/>
      <c r="G184" s="493"/>
      <c r="H184" s="493"/>
      <c r="I184" s="493"/>
      <c r="J184" s="493"/>
      <c r="K184" s="493"/>
      <c r="L184" s="493"/>
      <c r="M184" s="493"/>
    </row>
    <row r="185" spans="1:13" x14ac:dyDescent="0.25">
      <c r="A185" s="493"/>
      <c r="B185" s="493"/>
      <c r="C185" s="493"/>
      <c r="D185" s="493"/>
      <c r="E185" s="493"/>
      <c r="F185" s="493"/>
      <c r="G185" s="493"/>
      <c r="H185" s="493"/>
      <c r="I185" s="493"/>
      <c r="J185" s="493"/>
      <c r="K185" s="493"/>
      <c r="L185" s="493"/>
      <c r="M185" s="493"/>
    </row>
    <row r="186" spans="1:13" x14ac:dyDescent="0.25">
      <c r="A186" s="493"/>
      <c r="B186" s="493"/>
      <c r="C186" s="493"/>
      <c r="D186" s="493"/>
      <c r="E186" s="493"/>
      <c r="F186" s="493"/>
      <c r="G186" s="493"/>
      <c r="H186" s="493"/>
      <c r="I186" s="493"/>
      <c r="J186" s="493"/>
      <c r="K186" s="493"/>
      <c r="L186" s="493"/>
      <c r="M186" s="493"/>
    </row>
    <row r="187" spans="1:13" x14ac:dyDescent="0.25">
      <c r="A187" s="493"/>
      <c r="B187" s="493"/>
      <c r="C187" s="493"/>
      <c r="D187" s="493"/>
      <c r="E187" s="493"/>
      <c r="F187" s="493"/>
      <c r="G187" s="493"/>
      <c r="H187" s="493"/>
      <c r="I187" s="493"/>
      <c r="J187" s="493"/>
      <c r="K187" s="493"/>
      <c r="L187" s="493"/>
      <c r="M187" s="493"/>
    </row>
  </sheetData>
  <mergeCells count="12">
    <mergeCell ref="B5:C5"/>
    <mergeCell ref="I5:K5"/>
    <mergeCell ref="N5:O5"/>
    <mergeCell ref="S5:U5"/>
    <mergeCell ref="Y5:AA5"/>
    <mergeCell ref="A1:W1"/>
    <mergeCell ref="Y1:AB1"/>
    <mergeCell ref="A2:V2"/>
    <mergeCell ref="Y2:AB2"/>
    <mergeCell ref="B4:L4"/>
    <mergeCell ref="N4:V4"/>
    <mergeCell ref="Y4:AB4"/>
  </mergeCells>
  <pageMargins left="0.75" right="0.75" top="1" bottom="1" header="0.5" footer="0.5"/>
  <pageSetup paperSize="5" scale="76" orientation="landscape" r:id="rId1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46">
    <pageSetUpPr fitToPage="1"/>
  </sheetPr>
  <dimension ref="A1:AD186"/>
  <sheetViews>
    <sheetView zoomScaleNormal="100" workbookViewId="0">
      <selection activeCell="B9" sqref="B9"/>
    </sheetView>
  </sheetViews>
  <sheetFormatPr defaultColWidth="9.1796875" defaultRowHeight="12.5" x14ac:dyDescent="0.25"/>
  <cols>
    <col min="1" max="1" width="13" style="492" customWidth="1"/>
    <col min="2" max="2" width="7.54296875" style="492" customWidth="1"/>
    <col min="3" max="3" width="4.81640625" style="492" hidden="1" customWidth="1"/>
    <col min="4" max="4" width="8.54296875" style="492" bestFit="1" customWidth="1"/>
    <col min="5" max="5" width="12" style="492" bestFit="1" customWidth="1"/>
    <col min="6" max="6" width="11.1796875" style="492" customWidth="1"/>
    <col min="7" max="7" width="12" style="492" bestFit="1" customWidth="1"/>
    <col min="8" max="8" width="11.1796875" style="492" customWidth="1"/>
    <col min="9" max="9" width="11.54296875" style="492" hidden="1" customWidth="1"/>
    <col min="10" max="10" width="10.7265625" style="492" bestFit="1" customWidth="1"/>
    <col min="11" max="11" width="4.81640625" style="492" hidden="1" customWidth="1"/>
    <col min="12" max="12" width="12.54296875" style="492" customWidth="1"/>
    <col min="13" max="13" width="2.54296875" style="492" customWidth="1"/>
    <col min="14" max="14" width="7" style="492" customWidth="1"/>
    <col min="15" max="15" width="4.81640625" style="492" hidden="1" customWidth="1"/>
    <col min="16" max="16" width="8.54296875" style="492" bestFit="1" customWidth="1"/>
    <col min="17" max="17" width="11.7265625" style="492" bestFit="1" customWidth="1"/>
    <col min="18" max="18" width="9.81640625" style="492" bestFit="1" customWidth="1"/>
    <col min="19" max="19" width="10.7265625" style="492" hidden="1" customWidth="1"/>
    <col min="20" max="20" width="9.81640625" style="492" bestFit="1" customWidth="1"/>
    <col min="21" max="21" width="4.81640625" style="492" hidden="1" customWidth="1"/>
    <col min="22" max="22" width="10.7265625" style="492" bestFit="1" customWidth="1"/>
    <col min="23" max="23" width="2.7265625" style="492" customWidth="1"/>
    <col min="24" max="24" width="13.81640625" style="492" bestFit="1" customWidth="1"/>
    <col min="25" max="25" width="12.81640625" style="492" hidden="1" customWidth="1"/>
    <col min="26" max="26" width="10.7265625" style="492" bestFit="1" customWidth="1"/>
    <col min="27" max="27" width="4.81640625" style="492" hidden="1" customWidth="1"/>
    <col min="28" max="28" width="11.26953125" style="492" bestFit="1" customWidth="1"/>
    <col min="29" max="29" width="11.81640625" style="492" customWidth="1"/>
    <col min="30" max="30" width="9.7265625" style="492" bestFit="1" customWidth="1"/>
    <col min="31" max="16384" width="9.1796875" style="492"/>
  </cols>
  <sheetData>
    <row r="1" spans="1:30" ht="13" x14ac:dyDescent="0.3">
      <c r="A1" s="813" t="s">
        <v>497</v>
      </c>
      <c r="B1" s="813"/>
      <c r="C1" s="813"/>
      <c r="D1" s="813"/>
      <c r="E1" s="813"/>
      <c r="F1" s="813"/>
      <c r="G1" s="813"/>
      <c r="H1" s="813"/>
      <c r="I1" s="813"/>
      <c r="J1" s="813"/>
      <c r="K1" s="813"/>
      <c r="L1" s="813"/>
      <c r="M1" s="813"/>
      <c r="N1" s="813"/>
      <c r="O1" s="813"/>
      <c r="P1" s="813"/>
      <c r="Q1" s="813"/>
      <c r="R1" s="813"/>
      <c r="S1" s="813"/>
      <c r="T1" s="813"/>
      <c r="U1" s="813"/>
      <c r="V1" s="813"/>
      <c r="W1" s="813"/>
      <c r="X1" s="491"/>
      <c r="Y1" s="823"/>
      <c r="Z1" s="823"/>
      <c r="AA1" s="823"/>
      <c r="AB1" s="823"/>
    </row>
    <row r="2" spans="1:30" ht="13" x14ac:dyDescent="0.3">
      <c r="A2" s="815">
        <f>'[100]Sales Forecast'!J6</f>
        <v>43831</v>
      </c>
      <c r="B2" s="815"/>
      <c r="C2" s="815"/>
      <c r="D2" s="815"/>
      <c r="E2" s="815"/>
      <c r="F2" s="815"/>
      <c r="G2" s="815"/>
      <c r="H2" s="815"/>
      <c r="I2" s="815"/>
      <c r="J2" s="815"/>
      <c r="K2" s="815"/>
      <c r="L2" s="815"/>
      <c r="M2" s="815"/>
      <c r="N2" s="815"/>
      <c r="O2" s="815"/>
      <c r="P2" s="815"/>
      <c r="Q2" s="815"/>
      <c r="R2" s="815"/>
      <c r="S2" s="815"/>
      <c r="T2" s="815"/>
      <c r="U2" s="815"/>
      <c r="V2" s="815"/>
      <c r="Y2" s="824"/>
      <c r="Z2" s="824"/>
      <c r="AA2" s="824"/>
      <c r="AB2" s="824"/>
    </row>
    <row r="3" spans="1:30" ht="13" thickBot="1" x14ac:dyDescent="0.3">
      <c r="A3" s="493"/>
      <c r="B3" s="493"/>
      <c r="C3" s="493"/>
      <c r="D3" s="493"/>
      <c r="E3" s="493"/>
      <c r="F3" s="493"/>
      <c r="G3" s="493"/>
      <c r="H3" s="493"/>
      <c r="I3" s="493"/>
      <c r="J3" s="493"/>
      <c r="K3" s="493"/>
      <c r="L3" s="493"/>
      <c r="M3" s="493"/>
    </row>
    <row r="4" spans="1:30" ht="13.5" thickBot="1" x14ac:dyDescent="0.35">
      <c r="A4" s="493"/>
      <c r="B4" s="825" t="s">
        <v>498</v>
      </c>
      <c r="C4" s="826"/>
      <c r="D4" s="826"/>
      <c r="E4" s="826"/>
      <c r="F4" s="826"/>
      <c r="G4" s="826"/>
      <c r="H4" s="826"/>
      <c r="I4" s="826"/>
      <c r="J4" s="826"/>
      <c r="K4" s="826"/>
      <c r="L4" s="826"/>
      <c r="M4" s="493"/>
      <c r="N4" s="825" t="s">
        <v>499</v>
      </c>
      <c r="O4" s="826"/>
      <c r="P4" s="826"/>
      <c r="Q4" s="826"/>
      <c r="R4" s="826"/>
      <c r="S4" s="826"/>
      <c r="T4" s="826"/>
      <c r="U4" s="826"/>
      <c r="V4" s="826"/>
      <c r="Y4" s="827" t="s">
        <v>500</v>
      </c>
      <c r="Z4" s="828"/>
      <c r="AA4" s="828"/>
      <c r="AB4" s="828"/>
      <c r="AC4" s="494"/>
    </row>
    <row r="5" spans="1:30" x14ac:dyDescent="0.25">
      <c r="A5" s="493"/>
      <c r="B5" s="829" t="s">
        <v>501</v>
      </c>
      <c r="C5" s="829"/>
      <c r="D5" s="495" t="s">
        <v>284</v>
      </c>
      <c r="E5" s="495" t="s">
        <v>162</v>
      </c>
      <c r="F5" s="495" t="s">
        <v>162</v>
      </c>
      <c r="G5" s="495" t="s">
        <v>283</v>
      </c>
      <c r="H5" s="495" t="s">
        <v>283</v>
      </c>
      <c r="I5" s="829" t="s">
        <v>502</v>
      </c>
      <c r="J5" s="829"/>
      <c r="K5" s="829"/>
      <c r="L5" s="496" t="s">
        <v>503</v>
      </c>
      <c r="M5" s="493"/>
      <c r="N5" s="829" t="s">
        <v>501</v>
      </c>
      <c r="O5" s="829"/>
      <c r="P5" s="495" t="str">
        <f>D5</f>
        <v>Capacity</v>
      </c>
      <c r="Q5" s="495" t="s">
        <v>260</v>
      </c>
      <c r="R5" s="495" t="s">
        <v>260</v>
      </c>
      <c r="S5" s="829" t="s">
        <v>504</v>
      </c>
      <c r="T5" s="829"/>
      <c r="U5" s="829"/>
      <c r="V5" s="496" t="s">
        <v>505</v>
      </c>
      <c r="Y5" s="830" t="s">
        <v>506</v>
      </c>
      <c r="Z5" s="830"/>
      <c r="AA5" s="830"/>
      <c r="AB5" s="496" t="s">
        <v>507</v>
      </c>
      <c r="AC5" s="497"/>
    </row>
    <row r="6" spans="1:30" x14ac:dyDescent="0.25">
      <c r="A6" s="493" t="s">
        <v>508</v>
      </c>
      <c r="B6" s="498" t="s">
        <v>368</v>
      </c>
      <c r="C6" s="498" t="s">
        <v>366</v>
      </c>
      <c r="D6" s="498" t="s">
        <v>366</v>
      </c>
      <c r="E6" s="498" t="s">
        <v>509</v>
      </c>
      <c r="F6" s="498" t="s">
        <v>135</v>
      </c>
      <c r="G6" s="498" t="s">
        <v>509</v>
      </c>
      <c r="H6" s="498" t="s">
        <v>135</v>
      </c>
      <c r="I6" s="498" t="s">
        <v>510</v>
      </c>
      <c r="J6" s="498" t="str">
        <f>D5</f>
        <v>Capacity</v>
      </c>
      <c r="K6" s="498" t="s">
        <v>162</v>
      </c>
      <c r="L6" s="498" t="s">
        <v>162</v>
      </c>
      <c r="M6" s="499"/>
      <c r="N6" s="498" t="s">
        <v>368</v>
      </c>
      <c r="O6" s="498" t="s">
        <v>366</v>
      </c>
      <c r="P6" s="498" t="s">
        <v>366</v>
      </c>
      <c r="Q6" s="498" t="s">
        <v>509</v>
      </c>
      <c r="R6" s="498" t="s">
        <v>135</v>
      </c>
      <c r="S6" s="498" t="s">
        <v>510</v>
      </c>
      <c r="T6" s="498" t="str">
        <f>J6</f>
        <v>Capacity</v>
      </c>
      <c r="U6" s="498" t="s">
        <v>162</v>
      </c>
      <c r="V6" s="498" t="s">
        <v>162</v>
      </c>
      <c r="X6" s="498" t="s">
        <v>508</v>
      </c>
      <c r="Y6" s="498" t="s">
        <v>510</v>
      </c>
      <c r="Z6" s="498" t="str">
        <f>T6</f>
        <v>Capacity</v>
      </c>
      <c r="AA6" s="498" t="s">
        <v>162</v>
      </c>
      <c r="AB6" s="498" t="s">
        <v>162</v>
      </c>
      <c r="AC6" s="498"/>
    </row>
    <row r="7" spans="1:30" x14ac:dyDescent="0.25">
      <c r="A7" s="493"/>
      <c r="B7" s="493"/>
      <c r="C7" s="493"/>
      <c r="D7" s="493"/>
      <c r="E7" s="493"/>
      <c r="F7" s="493"/>
      <c r="G7" s="493"/>
      <c r="H7" s="493"/>
      <c r="I7" s="493"/>
      <c r="J7" s="493"/>
      <c r="K7" s="493"/>
      <c r="L7" s="493"/>
      <c r="M7" s="493"/>
      <c r="N7" s="493"/>
      <c r="O7" s="493"/>
      <c r="P7" s="493"/>
      <c r="Q7" s="493"/>
      <c r="R7" s="493"/>
      <c r="S7" s="493"/>
      <c r="T7" s="493"/>
      <c r="U7" s="493"/>
      <c r="V7" s="493"/>
    </row>
    <row r="8" spans="1:30" x14ac:dyDescent="0.25">
      <c r="A8" s="500">
        <v>1</v>
      </c>
      <c r="B8" s="501">
        <f>'Forecast MAC Total'!R26</f>
        <v>2.7599999999999999E-3</v>
      </c>
      <c r="C8" s="493" t="e">
        <f>#REF!</f>
        <v>#REF!</v>
      </c>
      <c r="D8" s="508">
        <f>'Nov Price Out'!D8</f>
        <v>8.5000000000000006E-3</v>
      </c>
      <c r="E8" s="502">
        <f>'[100]Adj Sales Forecast'!J8</f>
        <v>1073029893</v>
      </c>
      <c r="F8" s="493">
        <v>0</v>
      </c>
      <c r="G8" s="8">
        <f>ROUND(E8*0.88,0)</f>
        <v>944266306</v>
      </c>
      <c r="H8" s="8">
        <f>ROUND(F8*0.88,0)</f>
        <v>0</v>
      </c>
      <c r="I8" s="169" t="e">
        <f>ROUND(C8*G8,0)</f>
        <v>#REF!</v>
      </c>
      <c r="J8" s="169">
        <f>ROUND(D8*G8,0)</f>
        <v>8026264</v>
      </c>
      <c r="K8" s="169" t="e">
        <f t="shared" ref="K8:K19" si="0">I8+J8</f>
        <v>#REF!</v>
      </c>
      <c r="L8" s="169">
        <f t="shared" ref="L8:L19" si="1">ROUND(B8*G8,0)</f>
        <v>2606175</v>
      </c>
      <c r="M8" s="493"/>
      <c r="N8" s="501">
        <f>B8</f>
        <v>2.7599999999999999E-3</v>
      </c>
      <c r="O8" s="493" t="e">
        <f>#REF!</f>
        <v>#REF!</v>
      </c>
      <c r="P8" s="508">
        <f>'Nov Price Out'!P8</f>
        <v>3.0100000000000001E-3</v>
      </c>
      <c r="Q8" s="502">
        <f>E8-G8</f>
        <v>128763587</v>
      </c>
      <c r="R8" s="502">
        <f>F8-H8</f>
        <v>0</v>
      </c>
      <c r="S8" s="169" t="e">
        <f t="shared" ref="S8:S19" si="2">ROUND(O8*Q8,0)</f>
        <v>#REF!</v>
      </c>
      <c r="T8" s="169">
        <f>ROUND(P8*Q8,0)</f>
        <v>387578</v>
      </c>
      <c r="U8" s="169" t="e">
        <f t="shared" ref="U8:U19" si="3">S8+T8</f>
        <v>#REF!</v>
      </c>
      <c r="V8" s="169">
        <f t="shared" ref="V8:V19" si="4">ROUND(N8*Q8,0)</f>
        <v>355388</v>
      </c>
      <c r="X8" s="500">
        <v>1</v>
      </c>
      <c r="Y8" s="503" t="e">
        <f t="shared" ref="Y8:Z19" si="5">I8+S8</f>
        <v>#REF!</v>
      </c>
      <c r="Z8" s="503">
        <f t="shared" si="5"/>
        <v>8413842</v>
      </c>
      <c r="AA8" s="503" t="e">
        <f t="shared" ref="AA8:AA19" si="6">Y8+Z8</f>
        <v>#REF!</v>
      </c>
      <c r="AB8" s="503">
        <f t="shared" ref="AB8:AB19" si="7">L8+V8</f>
        <v>2961563</v>
      </c>
    </row>
    <row r="9" spans="1:30" x14ac:dyDescent="0.25">
      <c r="A9" s="500" t="s">
        <v>511</v>
      </c>
      <c r="B9" s="501">
        <f>$B$8</f>
        <v>2.7599999999999999E-3</v>
      </c>
      <c r="C9" s="493" t="e">
        <f>#REF!</f>
        <v>#REF!</v>
      </c>
      <c r="D9" s="509">
        <f>'Nov Price Out'!D9</f>
        <v>3.2199999999999999E-2</v>
      </c>
      <c r="E9" s="502">
        <f>'[100]Adj Sales Forecast'!J37</f>
        <v>2325034</v>
      </c>
      <c r="F9" s="493">
        <v>0</v>
      </c>
      <c r="G9" s="8">
        <f>ROUND(E9*0.88,0)</f>
        <v>2046030</v>
      </c>
      <c r="H9" s="8">
        <f>ROUND(F9*0.88,0)</f>
        <v>0</v>
      </c>
      <c r="I9" s="169" t="e">
        <f t="shared" ref="I9:I19" si="8">ROUND(C9*G9,0)</f>
        <v>#REF!</v>
      </c>
      <c r="J9" s="169">
        <f t="shared" ref="J9:J19" si="9">ROUND(D9*G9,0)</f>
        <v>65882</v>
      </c>
      <c r="K9" s="169" t="e">
        <f t="shared" si="0"/>
        <v>#REF!</v>
      </c>
      <c r="L9" s="169">
        <f t="shared" si="1"/>
        <v>5647</v>
      </c>
      <c r="M9" s="493"/>
      <c r="N9" s="493">
        <f>B9</f>
        <v>2.7599999999999999E-3</v>
      </c>
      <c r="O9" s="493" t="e">
        <f>#REF!</f>
        <v>#REF!</v>
      </c>
      <c r="P9" s="509">
        <f>'Nov Price Out'!P9</f>
        <v>6.6E-3</v>
      </c>
      <c r="Q9" s="502">
        <f>E9-G9</f>
        <v>279004</v>
      </c>
      <c r="R9" s="502">
        <f>F9-H9</f>
        <v>0</v>
      </c>
      <c r="S9" s="169" t="e">
        <f t="shared" si="2"/>
        <v>#REF!</v>
      </c>
      <c r="T9" s="169">
        <f t="shared" ref="T9:T19" si="10">ROUND(P9*Q9,0)</f>
        <v>1841</v>
      </c>
      <c r="U9" s="169" t="e">
        <f t="shared" si="3"/>
        <v>#REF!</v>
      </c>
      <c r="V9" s="169">
        <f t="shared" si="4"/>
        <v>770</v>
      </c>
      <c r="X9" s="500" t="s">
        <v>511</v>
      </c>
      <c r="Y9" s="503" t="e">
        <f t="shared" si="5"/>
        <v>#REF!</v>
      </c>
      <c r="Z9" s="503">
        <f t="shared" si="5"/>
        <v>67723</v>
      </c>
      <c r="AA9" s="503" t="e">
        <f t="shared" si="6"/>
        <v>#REF!</v>
      </c>
      <c r="AB9" s="503">
        <f t="shared" si="7"/>
        <v>6417</v>
      </c>
      <c r="AD9" s="503"/>
    </row>
    <row r="10" spans="1:30" x14ac:dyDescent="0.25">
      <c r="A10" s="500" t="s">
        <v>512</v>
      </c>
      <c r="B10" s="501">
        <f t="shared" ref="B10:B19" si="11">$B$8</f>
        <v>2.7599999999999999E-3</v>
      </c>
      <c r="C10" s="504" t="e">
        <f>#REF!</f>
        <v>#REF!</v>
      </c>
      <c r="D10" s="509">
        <f>'Nov Price Out'!D10</f>
        <v>0</v>
      </c>
      <c r="E10" s="502">
        <f>'[100]Adj Sales Forecast'!J38</f>
        <v>3645073</v>
      </c>
      <c r="F10" s="493">
        <v>0</v>
      </c>
      <c r="G10" s="8">
        <f t="shared" ref="G10:H19" si="12">ROUND(E10*0.88,0)</f>
        <v>3207664</v>
      </c>
      <c r="H10" s="8"/>
      <c r="I10" s="169" t="e">
        <f t="shared" si="8"/>
        <v>#REF!</v>
      </c>
      <c r="J10" s="169">
        <f t="shared" si="9"/>
        <v>0</v>
      </c>
      <c r="K10" s="169" t="e">
        <f t="shared" si="0"/>
        <v>#REF!</v>
      </c>
      <c r="L10" s="169">
        <f t="shared" si="1"/>
        <v>8853</v>
      </c>
      <c r="M10" s="493"/>
      <c r="N10" s="493">
        <f t="shared" ref="N10:N19" si="13">B10</f>
        <v>2.7599999999999999E-3</v>
      </c>
      <c r="O10" s="504" t="e">
        <f>#REF!</f>
        <v>#REF!</v>
      </c>
      <c r="P10" s="509">
        <f>'Nov Price Out'!P10</f>
        <v>0</v>
      </c>
      <c r="Q10" s="502">
        <f t="shared" ref="Q10:R19" si="14">E10-G10</f>
        <v>437409</v>
      </c>
      <c r="R10" s="502">
        <f>F10-H10</f>
        <v>0</v>
      </c>
      <c r="S10" s="169" t="e">
        <f t="shared" si="2"/>
        <v>#REF!</v>
      </c>
      <c r="T10" s="169">
        <f t="shared" si="10"/>
        <v>0</v>
      </c>
      <c r="U10" s="169" t="e">
        <f t="shared" si="3"/>
        <v>#REF!</v>
      </c>
      <c r="V10" s="169">
        <f t="shared" si="4"/>
        <v>1207</v>
      </c>
      <c r="X10" s="500" t="s">
        <v>512</v>
      </c>
      <c r="Y10" s="503" t="e">
        <f t="shared" si="5"/>
        <v>#REF!</v>
      </c>
      <c r="Z10" s="503">
        <f t="shared" si="5"/>
        <v>0</v>
      </c>
      <c r="AA10" s="503" t="e">
        <f t="shared" si="6"/>
        <v>#REF!</v>
      </c>
      <c r="AB10" s="503">
        <f t="shared" si="7"/>
        <v>10060</v>
      </c>
    </row>
    <row r="11" spans="1:30" x14ac:dyDescent="0.25">
      <c r="A11" s="500">
        <v>2</v>
      </c>
      <c r="B11" s="501">
        <f t="shared" si="11"/>
        <v>2.7599999999999999E-3</v>
      </c>
      <c r="C11" s="504" t="e">
        <f>#REF!</f>
        <v>#REF!</v>
      </c>
      <c r="D11" s="509">
        <f>'Nov Price Out'!D11</f>
        <v>1.29E-2</v>
      </c>
      <c r="E11" s="502">
        <f>'[100]Adj Sales Forecast'!J15</f>
        <v>219199200</v>
      </c>
      <c r="F11" s="493">
        <v>0</v>
      </c>
      <c r="G11" s="8">
        <f t="shared" si="12"/>
        <v>192895296</v>
      </c>
      <c r="H11" s="8">
        <f t="shared" si="12"/>
        <v>0</v>
      </c>
      <c r="I11" s="169" t="e">
        <f t="shared" si="8"/>
        <v>#REF!</v>
      </c>
      <c r="J11" s="169">
        <f t="shared" si="9"/>
        <v>2488349</v>
      </c>
      <c r="K11" s="169" t="e">
        <f t="shared" si="0"/>
        <v>#REF!</v>
      </c>
      <c r="L11" s="169">
        <f t="shared" si="1"/>
        <v>532391</v>
      </c>
      <c r="M11" s="493"/>
      <c r="N11" s="493">
        <f t="shared" si="13"/>
        <v>2.7599999999999999E-3</v>
      </c>
      <c r="O11" s="504" t="e">
        <f>#REF!</f>
        <v>#REF!</v>
      </c>
      <c r="P11" s="509">
        <f>'Nov Price Out'!P11</f>
        <v>2.5999999999999999E-3</v>
      </c>
      <c r="Q11" s="502">
        <f t="shared" si="14"/>
        <v>26303904</v>
      </c>
      <c r="R11" s="502">
        <f t="shared" si="14"/>
        <v>0</v>
      </c>
      <c r="S11" s="169" t="e">
        <f t="shared" si="2"/>
        <v>#REF!</v>
      </c>
      <c r="T11" s="169">
        <f t="shared" si="10"/>
        <v>68390</v>
      </c>
      <c r="U11" s="169" t="e">
        <f t="shared" si="3"/>
        <v>#REF!</v>
      </c>
      <c r="V11" s="169">
        <f t="shared" si="4"/>
        <v>72599</v>
      </c>
      <c r="X11" s="500">
        <v>2</v>
      </c>
      <c r="Y11" s="503" t="e">
        <f t="shared" si="5"/>
        <v>#REF!</v>
      </c>
      <c r="Z11" s="503">
        <f t="shared" si="5"/>
        <v>2556739</v>
      </c>
      <c r="AA11" s="503" t="e">
        <f t="shared" si="6"/>
        <v>#REF!</v>
      </c>
      <c r="AB11" s="503">
        <f t="shared" si="7"/>
        <v>604990</v>
      </c>
    </row>
    <row r="12" spans="1:30" x14ac:dyDescent="0.25">
      <c r="A12" s="500" t="s">
        <v>513</v>
      </c>
      <c r="B12" s="501">
        <f t="shared" si="11"/>
        <v>2.7599999999999999E-3</v>
      </c>
      <c r="C12" s="493" t="e">
        <f>#REF!</f>
        <v>#REF!</v>
      </c>
      <c r="D12" s="509">
        <f>'Nov Price Out'!D12</f>
        <v>2.4E-2</v>
      </c>
      <c r="E12" s="502">
        <f>'[100]Adj Sales Forecast'!J40</f>
        <v>319960</v>
      </c>
      <c r="F12" s="493">
        <v>0</v>
      </c>
      <c r="G12" s="8">
        <f t="shared" si="12"/>
        <v>281565</v>
      </c>
      <c r="H12" s="8">
        <f t="shared" si="12"/>
        <v>0</v>
      </c>
      <c r="I12" s="169" t="e">
        <f t="shared" si="8"/>
        <v>#REF!</v>
      </c>
      <c r="J12" s="169">
        <f t="shared" si="9"/>
        <v>6758</v>
      </c>
      <c r="K12" s="169" t="e">
        <f t="shared" si="0"/>
        <v>#REF!</v>
      </c>
      <c r="L12" s="169">
        <f t="shared" si="1"/>
        <v>777</v>
      </c>
      <c r="M12" s="493"/>
      <c r="N12" s="493">
        <f t="shared" si="13"/>
        <v>2.7599999999999999E-3</v>
      </c>
      <c r="O12" s="493" t="e">
        <f>#REF!</f>
        <v>#REF!</v>
      </c>
      <c r="P12" s="509">
        <f>'Nov Price Out'!P12</f>
        <v>4.8999999999999998E-3</v>
      </c>
      <c r="Q12" s="502">
        <f t="shared" si="14"/>
        <v>38395</v>
      </c>
      <c r="R12" s="502">
        <f t="shared" si="14"/>
        <v>0</v>
      </c>
      <c r="S12" s="169" t="e">
        <f t="shared" si="2"/>
        <v>#REF!</v>
      </c>
      <c r="T12" s="169">
        <f t="shared" si="10"/>
        <v>188</v>
      </c>
      <c r="U12" s="169" t="e">
        <f t="shared" si="3"/>
        <v>#REF!</v>
      </c>
      <c r="V12" s="169">
        <f t="shared" si="4"/>
        <v>106</v>
      </c>
      <c r="X12" s="500" t="s">
        <v>513</v>
      </c>
      <c r="Y12" s="503" t="e">
        <f t="shared" si="5"/>
        <v>#REF!</v>
      </c>
      <c r="Z12" s="503">
        <f t="shared" si="5"/>
        <v>6946</v>
      </c>
      <c r="AA12" s="503" t="e">
        <f t="shared" si="6"/>
        <v>#REF!</v>
      </c>
      <c r="AB12" s="503">
        <f t="shared" si="7"/>
        <v>883</v>
      </c>
    </row>
    <row r="13" spans="1:30" x14ac:dyDescent="0.25">
      <c r="A13" s="500" t="s">
        <v>514</v>
      </c>
      <c r="B13" s="501">
        <f t="shared" si="11"/>
        <v>2.7599999999999999E-3</v>
      </c>
      <c r="C13" s="504" t="e">
        <f>#REF!</f>
        <v>#REF!</v>
      </c>
      <c r="D13" s="509">
        <f>'Nov Price Out'!D13</f>
        <v>0</v>
      </c>
      <c r="E13" s="502">
        <f>'[100]Adj Sales Forecast'!J41</f>
        <v>480840</v>
      </c>
      <c r="F13" s="493">
        <v>0</v>
      </c>
      <c r="G13" s="8">
        <f t="shared" si="12"/>
        <v>423139</v>
      </c>
      <c r="H13" s="8">
        <f t="shared" si="12"/>
        <v>0</v>
      </c>
      <c r="I13" s="169" t="e">
        <f t="shared" si="8"/>
        <v>#REF!</v>
      </c>
      <c r="J13" s="169">
        <f t="shared" si="9"/>
        <v>0</v>
      </c>
      <c r="K13" s="169" t="e">
        <f t="shared" si="0"/>
        <v>#REF!</v>
      </c>
      <c r="L13" s="169">
        <f t="shared" si="1"/>
        <v>1168</v>
      </c>
      <c r="M13" s="493"/>
      <c r="N13" s="493">
        <f t="shared" si="13"/>
        <v>2.7599999999999999E-3</v>
      </c>
      <c r="O13" s="504" t="e">
        <f>#REF!</f>
        <v>#REF!</v>
      </c>
      <c r="P13" s="509">
        <f>'Nov Price Out'!P13</f>
        <v>0</v>
      </c>
      <c r="Q13" s="502">
        <f t="shared" si="14"/>
        <v>57701</v>
      </c>
      <c r="R13" s="502">
        <f t="shared" si="14"/>
        <v>0</v>
      </c>
      <c r="S13" s="169" t="e">
        <f t="shared" si="2"/>
        <v>#REF!</v>
      </c>
      <c r="T13" s="169">
        <f t="shared" si="10"/>
        <v>0</v>
      </c>
      <c r="U13" s="169" t="e">
        <f t="shared" si="3"/>
        <v>#REF!</v>
      </c>
      <c r="V13" s="169">
        <f t="shared" si="4"/>
        <v>159</v>
      </c>
      <c r="X13" s="500" t="s">
        <v>514</v>
      </c>
      <c r="Y13" s="503" t="e">
        <f t="shared" si="5"/>
        <v>#REF!</v>
      </c>
      <c r="Z13" s="503">
        <f t="shared" si="5"/>
        <v>0</v>
      </c>
      <c r="AA13" s="503" t="e">
        <f t="shared" si="6"/>
        <v>#REF!</v>
      </c>
      <c r="AB13" s="503">
        <f t="shared" si="7"/>
        <v>1327</v>
      </c>
    </row>
    <row r="14" spans="1:30" x14ac:dyDescent="0.25">
      <c r="A14" s="500">
        <v>6</v>
      </c>
      <c r="B14" s="501">
        <f t="shared" si="11"/>
        <v>2.7599999999999999E-3</v>
      </c>
      <c r="C14" s="493" t="e">
        <f>#REF!</f>
        <v>#REF!</v>
      </c>
      <c r="D14" s="509">
        <f>'Nov Price Out'!D14</f>
        <v>1E-4</v>
      </c>
      <c r="E14" s="502">
        <f>'[100]Adj Sales Forecast'!J18</f>
        <v>748787</v>
      </c>
      <c r="F14" s="493">
        <v>0</v>
      </c>
      <c r="G14" s="8">
        <f t="shared" si="12"/>
        <v>658933</v>
      </c>
      <c r="H14" s="8">
        <f t="shared" si="12"/>
        <v>0</v>
      </c>
      <c r="I14" s="169" t="e">
        <f t="shared" si="8"/>
        <v>#REF!</v>
      </c>
      <c r="J14" s="169">
        <f t="shared" si="9"/>
        <v>66</v>
      </c>
      <c r="K14" s="169" t="e">
        <f t="shared" si="0"/>
        <v>#REF!</v>
      </c>
      <c r="L14" s="169">
        <f t="shared" si="1"/>
        <v>1819</v>
      </c>
      <c r="M14" s="493"/>
      <c r="N14" s="493">
        <f t="shared" si="13"/>
        <v>2.7599999999999999E-3</v>
      </c>
      <c r="O14" s="493" t="e">
        <f>#REF!</f>
        <v>#REF!</v>
      </c>
      <c r="P14" s="509">
        <f>'Nov Price Out'!P14</f>
        <v>0</v>
      </c>
      <c r="Q14" s="502">
        <f t="shared" si="14"/>
        <v>89854</v>
      </c>
      <c r="R14" s="502">
        <f t="shared" si="14"/>
        <v>0</v>
      </c>
      <c r="S14" s="169" t="e">
        <f t="shared" si="2"/>
        <v>#REF!</v>
      </c>
      <c r="T14" s="169">
        <f t="shared" si="10"/>
        <v>0</v>
      </c>
      <c r="U14" s="169" t="e">
        <f t="shared" si="3"/>
        <v>#REF!</v>
      </c>
      <c r="V14" s="169">
        <f t="shared" si="4"/>
        <v>248</v>
      </c>
      <c r="X14" s="500">
        <v>6</v>
      </c>
      <c r="Y14" s="503" t="e">
        <f t="shared" si="5"/>
        <v>#REF!</v>
      </c>
      <c r="Z14" s="503">
        <f t="shared" si="5"/>
        <v>66</v>
      </c>
      <c r="AA14" s="503" t="e">
        <f t="shared" si="6"/>
        <v>#REF!</v>
      </c>
      <c r="AB14" s="503">
        <f t="shared" si="7"/>
        <v>2067</v>
      </c>
    </row>
    <row r="15" spans="1:30" hidden="1" x14ac:dyDescent="0.25">
      <c r="A15" s="500">
        <v>7</v>
      </c>
      <c r="B15" s="501">
        <f t="shared" si="11"/>
        <v>2.7599999999999999E-3</v>
      </c>
      <c r="C15" s="493" t="e">
        <f>#REF!</f>
        <v>#REF!</v>
      </c>
      <c r="D15" s="508"/>
      <c r="E15" s="502"/>
      <c r="F15" s="493"/>
      <c r="G15" s="8"/>
      <c r="H15" s="8"/>
      <c r="I15" s="169"/>
      <c r="J15" s="169"/>
      <c r="K15" s="169"/>
      <c r="L15" s="169"/>
      <c r="M15" s="493"/>
      <c r="N15" s="501">
        <f t="shared" si="13"/>
        <v>2.7599999999999999E-3</v>
      </c>
      <c r="O15" s="493" t="e">
        <f>#REF!</f>
        <v>#REF!</v>
      </c>
      <c r="P15" s="508" t="e">
        <f>'Nov Price Out'!P15</f>
        <v>#DIV/0!</v>
      </c>
      <c r="Q15" s="502">
        <f t="shared" si="14"/>
        <v>0</v>
      </c>
      <c r="R15" s="502">
        <f t="shared" si="14"/>
        <v>0</v>
      </c>
      <c r="S15" s="169" t="e">
        <f t="shared" si="2"/>
        <v>#REF!</v>
      </c>
      <c r="T15" s="169" t="e">
        <f t="shared" si="10"/>
        <v>#DIV/0!</v>
      </c>
      <c r="U15" s="169" t="e">
        <f t="shared" si="3"/>
        <v>#REF!</v>
      </c>
      <c r="V15" s="169">
        <f t="shared" si="4"/>
        <v>0</v>
      </c>
      <c r="X15" s="500">
        <v>7</v>
      </c>
      <c r="Y15" s="503" t="e">
        <f t="shared" si="5"/>
        <v>#REF!</v>
      </c>
      <c r="Z15" s="503" t="e">
        <f t="shared" si="5"/>
        <v>#DIV/0!</v>
      </c>
      <c r="AA15" s="503" t="e">
        <f t="shared" si="6"/>
        <v>#REF!</v>
      </c>
      <c r="AB15" s="503">
        <f t="shared" si="7"/>
        <v>0</v>
      </c>
    </row>
    <row r="16" spans="1:30" hidden="1" x14ac:dyDescent="0.25">
      <c r="A16" s="500" t="s">
        <v>515</v>
      </c>
      <c r="B16" s="501">
        <f t="shared" si="11"/>
        <v>2.7599999999999999E-3</v>
      </c>
      <c r="C16" s="493" t="e">
        <f>#REF!</f>
        <v>#REF!</v>
      </c>
      <c r="D16" s="509"/>
      <c r="E16" s="502"/>
      <c r="F16" s="493"/>
      <c r="G16" s="8"/>
      <c r="H16" s="8"/>
      <c r="I16" s="169"/>
      <c r="J16" s="169"/>
      <c r="K16" s="169"/>
      <c r="L16" s="169"/>
      <c r="M16" s="493"/>
      <c r="N16" s="493">
        <f t="shared" si="13"/>
        <v>2.7599999999999999E-3</v>
      </c>
      <c r="O16" s="493" t="e">
        <f>#REF!</f>
        <v>#REF!</v>
      </c>
      <c r="P16" s="509" t="e">
        <f>'Nov Price Out'!P16</f>
        <v>#DIV/0!</v>
      </c>
      <c r="Q16" s="502">
        <f t="shared" si="14"/>
        <v>0</v>
      </c>
      <c r="R16" s="502">
        <f t="shared" si="14"/>
        <v>0</v>
      </c>
      <c r="S16" s="169" t="e">
        <f t="shared" si="2"/>
        <v>#REF!</v>
      </c>
      <c r="T16" s="169" t="e">
        <f t="shared" si="10"/>
        <v>#DIV/0!</v>
      </c>
      <c r="U16" s="169" t="e">
        <f t="shared" si="3"/>
        <v>#REF!</v>
      </c>
      <c r="V16" s="169">
        <f t="shared" si="4"/>
        <v>0</v>
      </c>
      <c r="X16" s="500" t="s">
        <v>515</v>
      </c>
      <c r="Y16" s="503" t="e">
        <f t="shared" si="5"/>
        <v>#REF!</v>
      </c>
      <c r="Z16" s="503" t="e">
        <f t="shared" si="5"/>
        <v>#DIV/0!</v>
      </c>
      <c r="AA16" s="503" t="e">
        <f t="shared" si="6"/>
        <v>#REF!</v>
      </c>
      <c r="AB16" s="503">
        <f t="shared" si="7"/>
        <v>0</v>
      </c>
    </row>
    <row r="17" spans="1:28" hidden="1" x14ac:dyDescent="0.25">
      <c r="A17" s="500" t="s">
        <v>516</v>
      </c>
      <c r="B17" s="501">
        <f t="shared" si="11"/>
        <v>2.7599999999999999E-3</v>
      </c>
      <c r="C17" s="504" t="e">
        <f>#REF!</f>
        <v>#REF!</v>
      </c>
      <c r="D17" s="509"/>
      <c r="E17" s="502"/>
      <c r="F17" s="493"/>
      <c r="G17" s="8"/>
      <c r="H17" s="8"/>
      <c r="I17" s="169"/>
      <c r="J17" s="169"/>
      <c r="K17" s="169"/>
      <c r="L17" s="169"/>
      <c r="M17" s="493"/>
      <c r="N17" s="493">
        <f t="shared" si="13"/>
        <v>2.7599999999999999E-3</v>
      </c>
      <c r="O17" s="504" t="e">
        <f>#REF!</f>
        <v>#REF!</v>
      </c>
      <c r="P17" s="509">
        <f>'Nov Price Out'!P17</f>
        <v>0</v>
      </c>
      <c r="Q17" s="502">
        <f t="shared" si="14"/>
        <v>0</v>
      </c>
      <c r="R17" s="502">
        <f t="shared" si="14"/>
        <v>0</v>
      </c>
      <c r="S17" s="169" t="e">
        <f t="shared" si="2"/>
        <v>#REF!</v>
      </c>
      <c r="T17" s="169">
        <f t="shared" si="10"/>
        <v>0</v>
      </c>
      <c r="U17" s="169" t="e">
        <f t="shared" si="3"/>
        <v>#REF!</v>
      </c>
      <c r="V17" s="169">
        <f t="shared" si="4"/>
        <v>0</v>
      </c>
      <c r="X17" s="500" t="s">
        <v>516</v>
      </c>
      <c r="Y17" s="503" t="e">
        <f t="shared" si="5"/>
        <v>#REF!</v>
      </c>
      <c r="Z17" s="503">
        <f t="shared" si="5"/>
        <v>0</v>
      </c>
      <c r="AA17" s="503" t="e">
        <f t="shared" si="6"/>
        <v>#REF!</v>
      </c>
      <c r="AB17" s="503">
        <f t="shared" si="7"/>
        <v>0</v>
      </c>
    </row>
    <row r="18" spans="1:28" x14ac:dyDescent="0.25">
      <c r="A18" s="500" t="s">
        <v>56</v>
      </c>
      <c r="B18" s="501">
        <f t="shared" si="11"/>
        <v>2.7599999999999999E-3</v>
      </c>
      <c r="C18" s="493" t="e">
        <f>#REF!</f>
        <v>#REF!</v>
      </c>
      <c r="D18" s="509">
        <f>'Nov Price Out'!D18</f>
        <v>0</v>
      </c>
      <c r="E18" s="502">
        <f>'[100]Adj Sales Forecast'!J26</f>
        <v>614441</v>
      </c>
      <c r="F18" s="493">
        <v>0</v>
      </c>
      <c r="G18" s="8">
        <f t="shared" si="12"/>
        <v>540708</v>
      </c>
      <c r="H18" s="8">
        <f t="shared" si="12"/>
        <v>0</v>
      </c>
      <c r="I18" s="169" t="e">
        <f t="shared" si="8"/>
        <v>#REF!</v>
      </c>
      <c r="J18" s="169">
        <f t="shared" si="9"/>
        <v>0</v>
      </c>
      <c r="K18" s="169" t="e">
        <f t="shared" si="0"/>
        <v>#REF!</v>
      </c>
      <c r="L18" s="169">
        <f t="shared" si="1"/>
        <v>1492</v>
      </c>
      <c r="M18" s="493"/>
      <c r="N18" s="493">
        <f t="shared" si="13"/>
        <v>2.7599999999999999E-3</v>
      </c>
      <c r="O18" s="493" t="e">
        <f>#REF!</f>
        <v>#REF!</v>
      </c>
      <c r="P18" s="509">
        <f>'Nov Price Out'!P18</f>
        <v>0</v>
      </c>
      <c r="Q18" s="502">
        <f t="shared" si="14"/>
        <v>73733</v>
      </c>
      <c r="R18" s="502">
        <f t="shared" si="14"/>
        <v>0</v>
      </c>
      <c r="S18" s="169" t="e">
        <f t="shared" si="2"/>
        <v>#REF!</v>
      </c>
      <c r="T18" s="169">
        <f t="shared" si="10"/>
        <v>0</v>
      </c>
      <c r="U18" s="169" t="e">
        <f t="shared" si="3"/>
        <v>#REF!</v>
      </c>
      <c r="V18" s="169">
        <f t="shared" si="4"/>
        <v>204</v>
      </c>
      <c r="X18" s="500" t="s">
        <v>56</v>
      </c>
      <c r="Y18" s="503" t="e">
        <f t="shared" si="5"/>
        <v>#REF!</v>
      </c>
      <c r="Z18" s="503">
        <f t="shared" si="5"/>
        <v>0</v>
      </c>
      <c r="AA18" s="503" t="e">
        <f t="shared" si="6"/>
        <v>#REF!</v>
      </c>
      <c r="AB18" s="503">
        <f t="shared" si="7"/>
        <v>1696</v>
      </c>
    </row>
    <row r="19" spans="1:28" x14ac:dyDescent="0.25">
      <c r="A19" s="500" t="s">
        <v>517</v>
      </c>
      <c r="B19" s="501">
        <f t="shared" si="11"/>
        <v>2.7599999999999999E-3</v>
      </c>
      <c r="C19" s="493" t="e">
        <f>#REF!</f>
        <v>#REF!</v>
      </c>
      <c r="D19" s="509">
        <f>'Nov Price Out'!D19</f>
        <v>3.8999999999999998E-3</v>
      </c>
      <c r="E19" s="502">
        <f>'[100]Adj Sales Forecast'!J31</f>
        <v>186597</v>
      </c>
      <c r="F19" s="493">
        <v>0</v>
      </c>
      <c r="G19" s="8">
        <f t="shared" si="12"/>
        <v>164205</v>
      </c>
      <c r="H19" s="8">
        <f t="shared" si="12"/>
        <v>0</v>
      </c>
      <c r="I19" s="169" t="e">
        <f t="shared" si="8"/>
        <v>#REF!</v>
      </c>
      <c r="J19" s="169">
        <f t="shared" si="9"/>
        <v>640</v>
      </c>
      <c r="K19" s="169" t="e">
        <f t="shared" si="0"/>
        <v>#REF!</v>
      </c>
      <c r="L19" s="169">
        <f t="shared" si="1"/>
        <v>453</v>
      </c>
      <c r="M19" s="493"/>
      <c r="N19" s="493">
        <f t="shared" si="13"/>
        <v>2.7599999999999999E-3</v>
      </c>
      <c r="O19" s="493" t="e">
        <f>#REF!</f>
        <v>#REF!</v>
      </c>
      <c r="P19" s="509">
        <f>'Nov Price Out'!P19</f>
        <v>8.0000000000000004E-4</v>
      </c>
      <c r="Q19" s="502">
        <f t="shared" si="14"/>
        <v>22392</v>
      </c>
      <c r="R19" s="502">
        <f t="shared" si="14"/>
        <v>0</v>
      </c>
      <c r="S19" s="169" t="e">
        <f t="shared" si="2"/>
        <v>#REF!</v>
      </c>
      <c r="T19" s="169">
        <f t="shared" si="10"/>
        <v>18</v>
      </c>
      <c r="U19" s="169" t="e">
        <f t="shared" si="3"/>
        <v>#REF!</v>
      </c>
      <c r="V19" s="169">
        <f t="shared" si="4"/>
        <v>62</v>
      </c>
      <c r="X19" s="500" t="s">
        <v>517</v>
      </c>
      <c r="Y19" s="503" t="e">
        <f t="shared" si="5"/>
        <v>#REF!</v>
      </c>
      <c r="Z19" s="503">
        <f t="shared" si="5"/>
        <v>658</v>
      </c>
      <c r="AA19" s="503" t="e">
        <f t="shared" si="6"/>
        <v>#REF!</v>
      </c>
      <c r="AB19" s="503">
        <f t="shared" si="7"/>
        <v>515</v>
      </c>
    </row>
    <row r="20" spans="1:28" x14ac:dyDescent="0.25">
      <c r="A20" s="493"/>
      <c r="B20" s="493"/>
      <c r="C20" s="493"/>
      <c r="D20" s="493"/>
      <c r="E20" s="493"/>
      <c r="F20" s="493"/>
      <c r="G20" s="493"/>
      <c r="H20" s="493"/>
      <c r="I20" s="493"/>
      <c r="J20" s="493"/>
      <c r="K20" s="493"/>
      <c r="L20" s="493"/>
      <c r="M20" s="493"/>
      <c r="N20" s="493"/>
      <c r="O20" s="493"/>
      <c r="P20" s="493"/>
      <c r="Q20" s="493"/>
      <c r="R20" s="493"/>
      <c r="S20" s="493"/>
      <c r="T20" s="493"/>
      <c r="U20" s="493"/>
      <c r="V20" s="493"/>
      <c r="X20" s="493"/>
      <c r="Y20" s="503"/>
      <c r="Z20" s="503"/>
      <c r="AA20" s="503"/>
      <c r="AB20" s="503"/>
    </row>
    <row r="21" spans="1:28" x14ac:dyDescent="0.25">
      <c r="A21" s="493" t="s">
        <v>518</v>
      </c>
      <c r="B21" s="501">
        <f>$B$8</f>
        <v>2.7599999999999999E-3</v>
      </c>
      <c r="C21" s="493" t="e">
        <f>#REF!</f>
        <v>#REF!</v>
      </c>
      <c r="D21" s="505">
        <f>'Nov Price Out'!D21</f>
        <v>2.93</v>
      </c>
      <c r="E21" s="502">
        <f>'[100]Adj Sales Forecast'!J16</f>
        <v>93000</v>
      </c>
      <c r="F21" s="8">
        <f>'[100]Adj Demand Forecast '!J6</f>
        <v>187</v>
      </c>
      <c r="G21" s="8">
        <f t="shared" ref="G21:H24" si="15">ROUND(E21*0.88,0)</f>
        <v>81840</v>
      </c>
      <c r="H21" s="8">
        <f t="shared" si="15"/>
        <v>165</v>
      </c>
      <c r="I21" s="169" t="e">
        <f t="shared" ref="I21:J24" si="16">ROUND(C21*G21,0)</f>
        <v>#REF!</v>
      </c>
      <c r="J21" s="169">
        <f t="shared" si="16"/>
        <v>483</v>
      </c>
      <c r="K21" s="169" t="e">
        <f>I21+J21</f>
        <v>#REF!</v>
      </c>
      <c r="L21" s="169">
        <f>ROUND(B21*G21,0)</f>
        <v>226</v>
      </c>
      <c r="M21" s="493"/>
      <c r="N21" s="493">
        <f>B21</f>
        <v>2.7599999999999999E-3</v>
      </c>
      <c r="O21" s="493" t="e">
        <f>#REF!</f>
        <v>#REF!</v>
      </c>
      <c r="P21" s="505">
        <f>'Nov Price Out'!P21</f>
        <v>0.6</v>
      </c>
      <c r="Q21" s="502">
        <f t="shared" ref="Q21:R24" si="17">E21-G21</f>
        <v>11160</v>
      </c>
      <c r="R21" s="502">
        <f t="shared" si="17"/>
        <v>22</v>
      </c>
      <c r="S21" s="169" t="e">
        <f t="shared" ref="S21:T24" si="18">ROUND(O21*Q21,0)</f>
        <v>#REF!</v>
      </c>
      <c r="T21" s="169">
        <f t="shared" si="18"/>
        <v>13</v>
      </c>
      <c r="U21" s="169" t="e">
        <f>S21+T21</f>
        <v>#REF!</v>
      </c>
      <c r="V21" s="169">
        <f>ROUND(N21*Q21,0)</f>
        <v>31</v>
      </c>
      <c r="X21" s="493" t="s">
        <v>518</v>
      </c>
      <c r="Y21" s="503" t="e">
        <f t="shared" ref="Y21:Z24" si="19">I21+S21</f>
        <v>#REF!</v>
      </c>
      <c r="Z21" s="503">
        <f t="shared" si="19"/>
        <v>496</v>
      </c>
      <c r="AA21" s="503" t="e">
        <f>Y21+Z21</f>
        <v>#REF!</v>
      </c>
      <c r="AB21" s="503">
        <f>L21+V21</f>
        <v>257</v>
      </c>
    </row>
    <row r="22" spans="1:28" x14ac:dyDescent="0.25">
      <c r="A22" s="493" t="s">
        <v>303</v>
      </c>
      <c r="B22" s="501">
        <f>$B$8</f>
        <v>2.7599999999999999E-3</v>
      </c>
      <c r="C22" s="493" t="e">
        <f>#REF!</f>
        <v>#REF!</v>
      </c>
      <c r="D22" s="505">
        <f>'Nov Price Out'!D22</f>
        <v>5.14</v>
      </c>
      <c r="E22" s="502">
        <f>'[100]Adj Sales Forecast'!J22</f>
        <v>116000000</v>
      </c>
      <c r="F22" s="8">
        <f>'[100]Adj Demand Forecast '!J8</f>
        <v>242040</v>
      </c>
      <c r="G22" s="8">
        <f t="shared" si="15"/>
        <v>102080000</v>
      </c>
      <c r="H22" s="8">
        <f t="shared" si="15"/>
        <v>212995</v>
      </c>
      <c r="I22" s="169" t="e">
        <f t="shared" si="16"/>
        <v>#REF!</v>
      </c>
      <c r="J22" s="169">
        <f t="shared" si="16"/>
        <v>1094794</v>
      </c>
      <c r="K22" s="169" t="e">
        <f>I22+J22</f>
        <v>#REF!</v>
      </c>
      <c r="L22" s="169">
        <f>ROUND(B22*G22,0)</f>
        <v>281741</v>
      </c>
      <c r="M22" s="493"/>
      <c r="N22" s="493">
        <f>B22</f>
        <v>2.7599999999999999E-3</v>
      </c>
      <c r="O22" s="493" t="e">
        <f>#REF!</f>
        <v>#REF!</v>
      </c>
      <c r="P22" s="505">
        <f>'Nov Price Out'!P22</f>
        <v>1.05</v>
      </c>
      <c r="Q22" s="502">
        <f t="shared" si="17"/>
        <v>13920000</v>
      </c>
      <c r="R22" s="502">
        <f t="shared" si="17"/>
        <v>29045</v>
      </c>
      <c r="S22" s="169" t="e">
        <f t="shared" si="18"/>
        <v>#REF!</v>
      </c>
      <c r="T22" s="169">
        <f t="shared" si="18"/>
        <v>30497</v>
      </c>
      <c r="U22" s="169" t="e">
        <f>S22+T22</f>
        <v>#REF!</v>
      </c>
      <c r="V22" s="169">
        <f>ROUND(N22*Q22,0)</f>
        <v>38419</v>
      </c>
      <c r="X22" s="493" t="s">
        <v>303</v>
      </c>
      <c r="Y22" s="503" t="e">
        <f t="shared" si="19"/>
        <v>#REF!</v>
      </c>
      <c r="Z22" s="503">
        <f t="shared" si="19"/>
        <v>1125291</v>
      </c>
      <c r="AA22" s="503" t="e">
        <f>Y22+Z22</f>
        <v>#REF!</v>
      </c>
      <c r="AB22" s="503">
        <f>L22+V22</f>
        <v>320160</v>
      </c>
    </row>
    <row r="23" spans="1:28" x14ac:dyDescent="0.25">
      <c r="A23" s="493" t="s">
        <v>305</v>
      </c>
      <c r="B23" s="501">
        <f>$B$8</f>
        <v>2.7599999999999999E-3</v>
      </c>
      <c r="C23" s="493" t="e">
        <f>#REF!</f>
        <v>#REF!</v>
      </c>
      <c r="D23" s="505">
        <f>'Nov Price Out'!D23</f>
        <v>3.45</v>
      </c>
      <c r="E23" s="502">
        <f>'[100]Adj Sales Forecast'!J27</f>
        <v>1386385559</v>
      </c>
      <c r="F23" s="8">
        <f>'[100]Adj Demand Forecast '!J14</f>
        <v>3706627.1999999997</v>
      </c>
      <c r="G23" s="8">
        <f t="shared" si="15"/>
        <v>1220019292</v>
      </c>
      <c r="H23" s="8">
        <f t="shared" si="15"/>
        <v>3261832</v>
      </c>
      <c r="I23" s="169" t="e">
        <f t="shared" si="16"/>
        <v>#REF!</v>
      </c>
      <c r="J23" s="169">
        <f t="shared" si="16"/>
        <v>11253320</v>
      </c>
      <c r="K23" s="169" t="e">
        <f>I23+J23</f>
        <v>#REF!</v>
      </c>
      <c r="L23" s="169">
        <f>ROUND(B23*G23,0)</f>
        <v>3367253</v>
      </c>
      <c r="M23" s="493"/>
      <c r="N23" s="493">
        <f>B23</f>
        <v>2.7599999999999999E-3</v>
      </c>
      <c r="O23" s="493" t="e">
        <f>#REF!</f>
        <v>#REF!</v>
      </c>
      <c r="P23" s="505">
        <f>'Nov Price Out'!P23</f>
        <v>0.7</v>
      </c>
      <c r="Q23" s="502">
        <f t="shared" si="17"/>
        <v>166366267</v>
      </c>
      <c r="R23" s="502">
        <f t="shared" si="17"/>
        <v>444795.19999999972</v>
      </c>
      <c r="S23" s="169" t="e">
        <f t="shared" si="18"/>
        <v>#REF!</v>
      </c>
      <c r="T23" s="169">
        <f t="shared" si="18"/>
        <v>311357</v>
      </c>
      <c r="U23" s="169" t="e">
        <f>S23+T23</f>
        <v>#REF!</v>
      </c>
      <c r="V23" s="169">
        <f>ROUND(N23*Q23,0)</f>
        <v>459171</v>
      </c>
      <c r="X23" s="493" t="s">
        <v>305</v>
      </c>
      <c r="Y23" s="503" t="e">
        <f t="shared" si="19"/>
        <v>#REF!</v>
      </c>
      <c r="Z23" s="503">
        <f t="shared" si="19"/>
        <v>11564677</v>
      </c>
      <c r="AA23" s="503" t="e">
        <f>Y23+Z23</f>
        <v>#REF!</v>
      </c>
      <c r="AB23" s="503">
        <f>L23+V23</f>
        <v>3826424</v>
      </c>
    </row>
    <row r="24" spans="1:28" x14ac:dyDescent="0.25">
      <c r="A24" s="493" t="s">
        <v>310</v>
      </c>
      <c r="B24" s="501">
        <f>$B$8</f>
        <v>2.7599999999999999E-3</v>
      </c>
      <c r="C24" s="493" t="e">
        <f>#REF!</f>
        <v>#REF!</v>
      </c>
      <c r="D24" s="505">
        <f>'Nov Price Out'!D24</f>
        <v>1.75</v>
      </c>
      <c r="E24" s="502">
        <f>'[100]Adj Sales Forecast'!J32</f>
        <v>26813403</v>
      </c>
      <c r="F24" s="8">
        <f>'[100]Adj Demand Forecast '!J20</f>
        <v>59000</v>
      </c>
      <c r="G24" s="8">
        <f t="shared" si="15"/>
        <v>23595795</v>
      </c>
      <c r="H24" s="8">
        <f t="shared" si="15"/>
        <v>51920</v>
      </c>
      <c r="I24" s="169" t="e">
        <f t="shared" si="16"/>
        <v>#REF!</v>
      </c>
      <c r="J24" s="169">
        <f t="shared" si="16"/>
        <v>90860</v>
      </c>
      <c r="K24" s="169" t="e">
        <f>I24+J24</f>
        <v>#REF!</v>
      </c>
      <c r="L24" s="169">
        <f>ROUND(B24*G24,0)</f>
        <v>65124</v>
      </c>
      <c r="M24" s="493"/>
      <c r="N24" s="493">
        <f>B24</f>
        <v>2.7599999999999999E-3</v>
      </c>
      <c r="O24" s="493" t="e">
        <f>#REF!</f>
        <v>#REF!</v>
      </c>
      <c r="P24" s="505">
        <f>'Nov Price Out'!P24</f>
        <v>0.36</v>
      </c>
      <c r="Q24" s="502">
        <f t="shared" si="17"/>
        <v>3217608</v>
      </c>
      <c r="R24" s="502">
        <f t="shared" si="17"/>
        <v>7080</v>
      </c>
      <c r="S24" s="169" t="e">
        <f t="shared" si="18"/>
        <v>#REF!</v>
      </c>
      <c r="T24" s="169">
        <f t="shared" si="18"/>
        <v>2549</v>
      </c>
      <c r="U24" s="169" t="e">
        <f>S24+T24</f>
        <v>#REF!</v>
      </c>
      <c r="V24" s="169">
        <f>ROUND(N24*Q24,0)</f>
        <v>8881</v>
      </c>
      <c r="X24" s="493" t="s">
        <v>310</v>
      </c>
      <c r="Y24" s="503" t="e">
        <f t="shared" si="19"/>
        <v>#REF!</v>
      </c>
      <c r="Z24" s="503">
        <f t="shared" si="19"/>
        <v>93409</v>
      </c>
      <c r="AA24" s="503" t="e">
        <f>Y24+Z24</f>
        <v>#REF!</v>
      </c>
      <c r="AB24" s="503">
        <f>L24+V24</f>
        <v>74005</v>
      </c>
    </row>
    <row r="25" spans="1:28" x14ac:dyDescent="0.25">
      <c r="A25" s="493"/>
      <c r="B25" s="493"/>
      <c r="C25" s="493"/>
      <c r="D25" s="493"/>
      <c r="E25" s="493"/>
      <c r="F25" s="8"/>
      <c r="G25" s="8"/>
      <c r="H25" s="8"/>
      <c r="I25" s="493"/>
      <c r="J25" s="493"/>
      <c r="K25" s="493"/>
      <c r="L25" s="493"/>
      <c r="M25" s="493"/>
      <c r="N25" s="493"/>
      <c r="O25" s="493"/>
      <c r="P25" s="493"/>
      <c r="Q25" s="493"/>
      <c r="R25" s="8"/>
      <c r="S25" s="169"/>
      <c r="T25" s="169"/>
      <c r="U25" s="169"/>
      <c r="V25" s="169"/>
      <c r="X25" s="493"/>
      <c r="Y25" s="503"/>
      <c r="Z25" s="503"/>
      <c r="AA25" s="503"/>
      <c r="AB25" s="503"/>
    </row>
    <row r="26" spans="1:28" x14ac:dyDescent="0.25">
      <c r="A26" s="493" t="s">
        <v>519</v>
      </c>
      <c r="B26" s="501">
        <f t="shared" ref="B26:B31" si="20">$B$8</f>
        <v>2.7599999999999999E-3</v>
      </c>
      <c r="C26" s="504" t="e">
        <f>#REF!</f>
        <v>#REF!</v>
      </c>
      <c r="D26" s="505">
        <f>'Nov Price Out'!D26</f>
        <v>5.22</v>
      </c>
      <c r="E26" s="8">
        <f>'[100]Forecasted TOD kWh by Period'!J54</f>
        <v>4862000</v>
      </c>
      <c r="F26" s="8">
        <f>'[100]Forecasted TOD kW by Period'!C26</f>
        <v>20733</v>
      </c>
      <c r="G26" s="8">
        <f t="shared" ref="G26:G31" si="21">ROUND(E26*0.88,0)</f>
        <v>4278560</v>
      </c>
      <c r="H26" s="8">
        <f>ROUND(F26*0.88,0)</f>
        <v>18245</v>
      </c>
      <c r="I26" s="169" t="e">
        <f t="shared" ref="I26:J31" si="22">ROUND(C26*G26,0)</f>
        <v>#REF!</v>
      </c>
      <c r="J26" s="169">
        <f t="shared" si="22"/>
        <v>95239</v>
      </c>
      <c r="K26" s="169" t="e">
        <f>I26+J26</f>
        <v>#REF!</v>
      </c>
      <c r="L26" s="169">
        <f>ROUND(B26*G26,0)</f>
        <v>11809</v>
      </c>
      <c r="M26" s="493"/>
      <c r="N26" s="493">
        <f t="shared" ref="N26:N31" si="23">B26</f>
        <v>2.7599999999999999E-3</v>
      </c>
      <c r="O26" s="504" t="e">
        <f>#REF!</f>
        <v>#REF!</v>
      </c>
      <c r="P26" s="505">
        <f>'Nov Price Out'!P26</f>
        <v>1.07</v>
      </c>
      <c r="Q26" s="502">
        <f>E26-G26</f>
        <v>583440</v>
      </c>
      <c r="R26" s="502">
        <f>F26-H26</f>
        <v>2488</v>
      </c>
      <c r="S26" s="169" t="e">
        <f t="shared" ref="S26:T31" si="24">ROUND(O26*Q26,0)</f>
        <v>#REF!</v>
      </c>
      <c r="T26" s="169">
        <f t="shared" si="24"/>
        <v>2662</v>
      </c>
      <c r="U26" s="169" t="e">
        <f t="shared" ref="U26:U31" si="25">S26+T26</f>
        <v>#REF!</v>
      </c>
      <c r="V26" s="169">
        <f t="shared" ref="V26:V31" si="26">ROUND(N26*Q26,0)</f>
        <v>1610</v>
      </c>
      <c r="X26" s="493" t="s">
        <v>519</v>
      </c>
      <c r="Y26" s="503" t="e">
        <f t="shared" ref="Y26:Z31" si="27">I26+S26</f>
        <v>#REF!</v>
      </c>
      <c r="Z26" s="503">
        <f t="shared" si="27"/>
        <v>97901</v>
      </c>
      <c r="AA26" s="503" t="e">
        <f t="shared" ref="AA26:AA31" si="28">Y26+Z26</f>
        <v>#REF!</v>
      </c>
      <c r="AB26" s="503">
        <f t="shared" ref="AB26:AB31" si="29">L26+V26</f>
        <v>13419</v>
      </c>
    </row>
    <row r="27" spans="1:28" x14ac:dyDescent="0.25">
      <c r="A27" s="493" t="s">
        <v>520</v>
      </c>
      <c r="B27" s="501">
        <f t="shared" si="20"/>
        <v>2.7599999999999999E-3</v>
      </c>
      <c r="C27" s="504" t="e">
        <f>#REF!</f>
        <v>#REF!</v>
      </c>
      <c r="D27" s="493">
        <f>'Nov Price Out'!D27</f>
        <v>0</v>
      </c>
      <c r="E27" s="8">
        <f>'[100]Forecasted TOD kWh by Period'!J55</f>
        <v>6138000</v>
      </c>
      <c r="F27" s="8"/>
      <c r="G27" s="8">
        <f t="shared" si="21"/>
        <v>5401440</v>
      </c>
      <c r="H27" s="8"/>
      <c r="I27" s="169" t="e">
        <f t="shared" si="22"/>
        <v>#REF!</v>
      </c>
      <c r="J27" s="169">
        <f t="shared" si="22"/>
        <v>0</v>
      </c>
      <c r="K27" s="169" t="e">
        <f>I27+J27</f>
        <v>#REF!</v>
      </c>
      <c r="L27" s="169">
        <f>ROUND(B27*G27,0)</f>
        <v>14908</v>
      </c>
      <c r="M27" s="493"/>
      <c r="N27" s="493">
        <f t="shared" si="23"/>
        <v>2.7599999999999999E-3</v>
      </c>
      <c r="O27" s="504" t="e">
        <f>#REF!</f>
        <v>#REF!</v>
      </c>
      <c r="P27" s="493">
        <f>'Nov Price Out'!P27</f>
        <v>0</v>
      </c>
      <c r="Q27" s="502">
        <f>E27-G27</f>
        <v>736560</v>
      </c>
      <c r="R27" s="502"/>
      <c r="S27" s="169" t="e">
        <f t="shared" si="24"/>
        <v>#REF!</v>
      </c>
      <c r="T27" s="169">
        <f t="shared" si="24"/>
        <v>0</v>
      </c>
      <c r="U27" s="169" t="e">
        <f t="shared" si="25"/>
        <v>#REF!</v>
      </c>
      <c r="V27" s="169">
        <f t="shared" si="26"/>
        <v>2033</v>
      </c>
      <c r="X27" s="493" t="s">
        <v>520</v>
      </c>
      <c r="Y27" s="503" t="e">
        <f t="shared" si="27"/>
        <v>#REF!</v>
      </c>
      <c r="Z27" s="503">
        <f t="shared" si="27"/>
        <v>0</v>
      </c>
      <c r="AA27" s="503" t="e">
        <f t="shared" si="28"/>
        <v>#REF!</v>
      </c>
      <c r="AB27" s="503">
        <f t="shared" si="29"/>
        <v>16941</v>
      </c>
    </row>
    <row r="28" spans="1:28" x14ac:dyDescent="0.25">
      <c r="A28" s="493" t="s">
        <v>521</v>
      </c>
      <c r="B28" s="501">
        <f t="shared" si="20"/>
        <v>2.7599999999999999E-3</v>
      </c>
      <c r="C28" s="504" t="e">
        <f>#REF!</f>
        <v>#REF!</v>
      </c>
      <c r="D28" s="505">
        <f>'Nov Price Out'!D28</f>
        <v>3.49</v>
      </c>
      <c r="E28" s="502">
        <f>'[100]Forecasted TOD kWh by Period'!J58</f>
        <v>57650100</v>
      </c>
      <c r="F28" s="8">
        <f>'[100]Forecasted TOD kW by Period'!C30</f>
        <v>215492</v>
      </c>
      <c r="G28" s="8">
        <f t="shared" si="21"/>
        <v>50732088</v>
      </c>
      <c r="H28" s="8">
        <f>ROUND(F28*0.88,0)</f>
        <v>189633</v>
      </c>
      <c r="I28" s="169" t="e">
        <f t="shared" si="22"/>
        <v>#REF!</v>
      </c>
      <c r="J28" s="169">
        <f t="shared" si="22"/>
        <v>661819</v>
      </c>
      <c r="K28" s="169" t="e">
        <f>I28+J28</f>
        <v>#REF!</v>
      </c>
      <c r="L28" s="169">
        <f>ROUND(B28*G28,0)</f>
        <v>140021</v>
      </c>
      <c r="M28" s="493"/>
      <c r="N28" s="493">
        <f t="shared" si="23"/>
        <v>2.7599999999999999E-3</v>
      </c>
      <c r="O28" s="504" t="e">
        <f>#REF!</f>
        <v>#REF!</v>
      </c>
      <c r="P28" s="505">
        <f>'Nov Price Out'!P28</f>
        <v>0.71</v>
      </c>
      <c r="Q28" s="502">
        <f>E28-G28</f>
        <v>6918012</v>
      </c>
      <c r="R28" s="502">
        <f>F28-H28</f>
        <v>25859</v>
      </c>
      <c r="S28" s="169" t="e">
        <f t="shared" si="24"/>
        <v>#REF!</v>
      </c>
      <c r="T28" s="169">
        <f t="shared" si="24"/>
        <v>18360</v>
      </c>
      <c r="U28" s="169" t="e">
        <f t="shared" si="25"/>
        <v>#REF!</v>
      </c>
      <c r="V28" s="169">
        <f t="shared" si="26"/>
        <v>19094</v>
      </c>
      <c r="X28" s="493" t="s">
        <v>521</v>
      </c>
      <c r="Y28" s="503" t="e">
        <f t="shared" si="27"/>
        <v>#REF!</v>
      </c>
      <c r="Z28" s="503">
        <f t="shared" si="27"/>
        <v>680179</v>
      </c>
      <c r="AA28" s="503" t="e">
        <f t="shared" si="28"/>
        <v>#REF!</v>
      </c>
      <c r="AB28" s="503">
        <f t="shared" si="29"/>
        <v>159115</v>
      </c>
    </row>
    <row r="29" spans="1:28" x14ac:dyDescent="0.25">
      <c r="A29" s="493" t="s">
        <v>522</v>
      </c>
      <c r="B29" s="501">
        <f t="shared" si="20"/>
        <v>2.7599999999999999E-3</v>
      </c>
      <c r="C29" s="504" t="e">
        <f>#REF!</f>
        <v>#REF!</v>
      </c>
      <c r="D29" s="493">
        <f>'Nov Price Out'!D29</f>
        <v>0</v>
      </c>
      <c r="E29" s="502">
        <f>'[100]Forecasted TOD kWh by Period'!J59</f>
        <v>71349900</v>
      </c>
      <c r="F29" s="8"/>
      <c r="G29" s="8">
        <f t="shared" si="21"/>
        <v>62787912</v>
      </c>
      <c r="H29" s="8"/>
      <c r="I29" s="169" t="e">
        <f t="shared" si="22"/>
        <v>#REF!</v>
      </c>
      <c r="J29" s="169">
        <f t="shared" si="22"/>
        <v>0</v>
      </c>
      <c r="K29" s="169" t="e">
        <f>I29+J29</f>
        <v>#REF!</v>
      </c>
      <c r="L29" s="169">
        <f>ROUND(B29*G29,0)</f>
        <v>173295</v>
      </c>
      <c r="M29" s="493"/>
      <c r="N29" s="493">
        <f t="shared" si="23"/>
        <v>2.7599999999999999E-3</v>
      </c>
      <c r="O29" s="504" t="e">
        <f>#REF!</f>
        <v>#REF!</v>
      </c>
      <c r="P29" s="493">
        <f>'Nov Price Out'!P29</f>
        <v>0</v>
      </c>
      <c r="Q29" s="502">
        <f>E29-G29</f>
        <v>8561988</v>
      </c>
      <c r="R29" s="502"/>
      <c r="S29" s="169" t="e">
        <f t="shared" si="24"/>
        <v>#REF!</v>
      </c>
      <c r="T29" s="169">
        <f t="shared" si="24"/>
        <v>0</v>
      </c>
      <c r="U29" s="169" t="e">
        <f t="shared" si="25"/>
        <v>#REF!</v>
      </c>
      <c r="V29" s="169">
        <f t="shared" si="26"/>
        <v>23631</v>
      </c>
      <c r="X29" s="493" t="s">
        <v>522</v>
      </c>
      <c r="Y29" s="503" t="e">
        <f t="shared" si="27"/>
        <v>#REF!</v>
      </c>
      <c r="Z29" s="503">
        <f t="shared" si="27"/>
        <v>0</v>
      </c>
      <c r="AA29" s="503" t="e">
        <f t="shared" si="28"/>
        <v>#REF!</v>
      </c>
      <c r="AB29" s="503">
        <f t="shared" si="29"/>
        <v>196926</v>
      </c>
    </row>
    <row r="30" spans="1:28" x14ac:dyDescent="0.25">
      <c r="A30" s="493" t="s">
        <v>523</v>
      </c>
      <c r="B30" s="501">
        <f t="shared" si="20"/>
        <v>2.7599999999999999E-3</v>
      </c>
      <c r="C30" s="504" t="e">
        <f>#REF!</f>
        <v>#REF!</v>
      </c>
      <c r="D30" s="505">
        <f>'Nov Price Out'!D30</f>
        <v>1.77</v>
      </c>
      <c r="E30" s="8">
        <f>'[100]Adj Sales Forecast'!J33</f>
        <v>0</v>
      </c>
      <c r="F30" s="8">
        <f>'[100]Adj Demand Forecast '!B21</f>
        <v>0</v>
      </c>
      <c r="G30" s="8">
        <f t="shared" si="21"/>
        <v>0</v>
      </c>
      <c r="H30" s="8">
        <f>ROUND(F30*0.88,0)</f>
        <v>0</v>
      </c>
      <c r="I30" s="169" t="e">
        <f t="shared" si="22"/>
        <v>#REF!</v>
      </c>
      <c r="J30" s="169">
        <f t="shared" si="22"/>
        <v>0</v>
      </c>
      <c r="K30" s="169" t="e">
        <f>I30+J30</f>
        <v>#REF!</v>
      </c>
      <c r="L30" s="169">
        <f>ROUND(B30*G30,0)</f>
        <v>0</v>
      </c>
      <c r="M30" s="493"/>
      <c r="N30" s="493">
        <f t="shared" si="23"/>
        <v>2.7599999999999999E-3</v>
      </c>
      <c r="O30" s="504" t="e">
        <f>#REF!</f>
        <v>#REF!</v>
      </c>
      <c r="P30" s="505">
        <f>'Nov Price Out'!P30</f>
        <v>0.36</v>
      </c>
      <c r="Q30" s="65">
        <f>E30-G30</f>
        <v>0</v>
      </c>
      <c r="R30" s="65">
        <f>F30-H30</f>
        <v>0</v>
      </c>
      <c r="S30" s="169" t="e">
        <f t="shared" si="24"/>
        <v>#REF!</v>
      </c>
      <c r="T30" s="169">
        <f t="shared" si="24"/>
        <v>0</v>
      </c>
      <c r="U30" s="169" t="e">
        <f t="shared" si="25"/>
        <v>#REF!</v>
      </c>
      <c r="V30" s="169">
        <f t="shared" si="26"/>
        <v>0</v>
      </c>
      <c r="X30" s="493" t="s">
        <v>523</v>
      </c>
      <c r="Y30" s="503" t="e">
        <f t="shared" si="27"/>
        <v>#REF!</v>
      </c>
      <c r="Z30" s="503">
        <f t="shared" si="27"/>
        <v>0</v>
      </c>
      <c r="AA30" s="503" t="e">
        <f t="shared" si="28"/>
        <v>#REF!</v>
      </c>
      <c r="AB30" s="503">
        <f t="shared" si="29"/>
        <v>0</v>
      </c>
    </row>
    <row r="31" spans="1:28" x14ac:dyDescent="0.25">
      <c r="A31" s="493" t="s">
        <v>524</v>
      </c>
      <c r="B31" s="501">
        <f t="shared" si="20"/>
        <v>2.7599999999999999E-3</v>
      </c>
      <c r="C31" s="504" t="e">
        <f>#REF!</f>
        <v>#REF!</v>
      </c>
      <c r="D31" s="493">
        <f>'Nov Price Out'!D31</f>
        <v>0</v>
      </c>
      <c r="E31" s="65">
        <v>0</v>
      </c>
      <c r="F31" s="8"/>
      <c r="G31" s="8">
        <f t="shared" si="21"/>
        <v>0</v>
      </c>
      <c r="H31" s="8"/>
      <c r="I31" s="169" t="e">
        <f t="shared" si="22"/>
        <v>#REF!</v>
      </c>
      <c r="J31" s="169">
        <f t="shared" si="22"/>
        <v>0</v>
      </c>
      <c r="K31" s="169" t="e">
        <f>ROUND(D31*I31,0)</f>
        <v>#REF!</v>
      </c>
      <c r="L31" s="169">
        <f>ROUND(E31*J31,0)</f>
        <v>0</v>
      </c>
      <c r="M31" s="493"/>
      <c r="N31" s="493">
        <f t="shared" si="23"/>
        <v>2.7599999999999999E-3</v>
      </c>
      <c r="O31" s="504" t="e">
        <f>#REF!</f>
        <v>#REF!</v>
      </c>
      <c r="P31" s="493">
        <f>'Nov Price Out'!P31</f>
        <v>0</v>
      </c>
      <c r="Q31" s="65">
        <v>0</v>
      </c>
      <c r="R31" s="65">
        <v>0</v>
      </c>
      <c r="S31" s="169" t="e">
        <f t="shared" si="24"/>
        <v>#REF!</v>
      </c>
      <c r="T31" s="169">
        <f t="shared" si="24"/>
        <v>0</v>
      </c>
      <c r="U31" s="169" t="e">
        <f t="shared" si="25"/>
        <v>#REF!</v>
      </c>
      <c r="V31" s="169">
        <f t="shared" si="26"/>
        <v>0</v>
      </c>
      <c r="X31" s="493" t="s">
        <v>524</v>
      </c>
      <c r="Y31" s="503" t="e">
        <f t="shared" si="27"/>
        <v>#REF!</v>
      </c>
      <c r="Z31" s="503">
        <f t="shared" si="27"/>
        <v>0</v>
      </c>
      <c r="AA31" s="503" t="e">
        <f t="shared" si="28"/>
        <v>#REF!</v>
      </c>
      <c r="AB31" s="503">
        <f t="shared" si="29"/>
        <v>0</v>
      </c>
    </row>
    <row r="32" spans="1:28" x14ac:dyDescent="0.25">
      <c r="A32" s="493"/>
      <c r="B32" s="504"/>
      <c r="C32" s="504"/>
      <c r="D32" s="493"/>
      <c r="E32" s="493"/>
      <c r="F32" s="8"/>
      <c r="G32" s="8"/>
      <c r="H32" s="8"/>
      <c r="I32" s="493"/>
      <c r="J32" s="493"/>
      <c r="K32" s="493"/>
      <c r="L32" s="493"/>
      <c r="M32" s="493"/>
      <c r="N32" s="493"/>
      <c r="O32" s="504"/>
      <c r="P32" s="493"/>
      <c r="Q32" s="493"/>
      <c r="R32" s="8"/>
      <c r="S32" s="493"/>
      <c r="T32" s="493"/>
      <c r="U32" s="493"/>
      <c r="V32" s="493"/>
      <c r="X32" s="493"/>
      <c r="Y32" s="503"/>
      <c r="Z32" s="503"/>
      <c r="AA32" s="503"/>
      <c r="AB32" s="503"/>
    </row>
    <row r="33" spans="1:28" x14ac:dyDescent="0.25">
      <c r="A33" s="493" t="s">
        <v>525</v>
      </c>
      <c r="B33" s="501">
        <f t="shared" ref="B33:B42" si="30">$B$8</f>
        <v>2.7599999999999999E-3</v>
      </c>
      <c r="C33" s="504" t="e">
        <f>#REF!</f>
        <v>#REF!</v>
      </c>
      <c r="D33" s="505">
        <f>'Nov Price Out'!D33</f>
        <v>2.93</v>
      </c>
      <c r="E33" s="502">
        <f>'[100]Forecasted TOD kWh by Period'!J8</f>
        <v>3939300</v>
      </c>
      <c r="F33" s="8">
        <f>'[100]Forecasted TOD kW by Period'!C6</f>
        <v>16046</v>
      </c>
      <c r="G33" s="8">
        <f t="shared" ref="G33:G42" si="31">ROUND(E33*0.88,0)</f>
        <v>3466584</v>
      </c>
      <c r="H33" s="8">
        <f>ROUND(F33*0.88,0)</f>
        <v>14120</v>
      </c>
      <c r="I33" s="169" t="e">
        <f t="shared" ref="I33:J42" si="32">ROUND(C33*G33,0)</f>
        <v>#REF!</v>
      </c>
      <c r="J33" s="169">
        <f t="shared" si="32"/>
        <v>41372</v>
      </c>
      <c r="K33" s="169" t="e">
        <f t="shared" ref="K33:K42" si="33">I33+J33</f>
        <v>#REF!</v>
      </c>
      <c r="L33" s="169">
        <f t="shared" ref="L33:L42" si="34">ROUND(B33*G33,0)</f>
        <v>9568</v>
      </c>
      <c r="M33" s="493"/>
      <c r="N33" s="493">
        <f t="shared" ref="N33:N42" si="35">B33</f>
        <v>2.7599999999999999E-3</v>
      </c>
      <c r="O33" s="504" t="e">
        <f>#REF!</f>
        <v>#REF!</v>
      </c>
      <c r="P33" s="505">
        <f>'Nov Price Out'!P33</f>
        <v>0.6</v>
      </c>
      <c r="Q33" s="502">
        <f t="shared" ref="Q33:Q42" si="36">E33-G33</f>
        <v>472716</v>
      </c>
      <c r="R33" s="502">
        <f>F33-H33</f>
        <v>1926</v>
      </c>
      <c r="S33" s="169" t="e">
        <f t="shared" ref="S33:T42" si="37">ROUND(O33*Q33,0)</f>
        <v>#REF!</v>
      </c>
      <c r="T33" s="169">
        <f t="shared" si="37"/>
        <v>1156</v>
      </c>
      <c r="U33" s="169" t="e">
        <f t="shared" ref="U33:U42" si="38">S33+T33</f>
        <v>#REF!</v>
      </c>
      <c r="V33" s="169">
        <f t="shared" ref="V33:V42" si="39">ROUND(N33*Q33,0)</f>
        <v>1305</v>
      </c>
      <c r="X33" s="493" t="s">
        <v>525</v>
      </c>
      <c r="Y33" s="503" t="e">
        <f t="shared" ref="Y33:Z42" si="40">I33+S33</f>
        <v>#REF!</v>
      </c>
      <c r="Z33" s="503">
        <f t="shared" si="40"/>
        <v>42528</v>
      </c>
      <c r="AA33" s="503" t="e">
        <f t="shared" ref="AA33:AA42" si="41">Y33+Z33</f>
        <v>#REF!</v>
      </c>
      <c r="AB33" s="503">
        <f t="shared" ref="AB33:AB42" si="42">L33+V33</f>
        <v>10873</v>
      </c>
    </row>
    <row r="34" spans="1:28" x14ac:dyDescent="0.25">
      <c r="A34" s="493" t="s">
        <v>526</v>
      </c>
      <c r="B34" s="501">
        <f t="shared" si="30"/>
        <v>2.7599999999999999E-3</v>
      </c>
      <c r="C34" s="504" t="e">
        <f>#REF!</f>
        <v>#REF!</v>
      </c>
      <c r="D34" s="493">
        <f>'Nov Price Out'!D34</f>
        <v>0</v>
      </c>
      <c r="E34" s="502">
        <f>'[100]Forecasted TOD kWh by Period'!J9</f>
        <v>5060700</v>
      </c>
      <c r="F34" s="8"/>
      <c r="G34" s="8">
        <f t="shared" si="31"/>
        <v>4453416</v>
      </c>
      <c r="H34" s="8"/>
      <c r="I34" s="169" t="e">
        <f t="shared" si="32"/>
        <v>#REF!</v>
      </c>
      <c r="J34" s="169">
        <f t="shared" si="32"/>
        <v>0</v>
      </c>
      <c r="K34" s="169" t="e">
        <f t="shared" si="33"/>
        <v>#REF!</v>
      </c>
      <c r="L34" s="169">
        <f t="shared" si="34"/>
        <v>12291</v>
      </c>
      <c r="M34" s="493"/>
      <c r="N34" s="493">
        <f t="shared" si="35"/>
        <v>2.7599999999999999E-3</v>
      </c>
      <c r="O34" s="504" t="e">
        <f>#REF!</f>
        <v>#REF!</v>
      </c>
      <c r="P34" s="493">
        <f>'Nov Price Out'!P34</f>
        <v>0</v>
      </c>
      <c r="Q34" s="502">
        <f t="shared" si="36"/>
        <v>607284</v>
      </c>
      <c r="R34" s="502"/>
      <c r="S34" s="169" t="e">
        <f t="shared" si="37"/>
        <v>#REF!</v>
      </c>
      <c r="T34" s="169">
        <f t="shared" si="37"/>
        <v>0</v>
      </c>
      <c r="U34" s="169" t="e">
        <f t="shared" si="38"/>
        <v>#REF!</v>
      </c>
      <c r="V34" s="169">
        <f t="shared" si="39"/>
        <v>1676</v>
      </c>
      <c r="X34" s="493" t="s">
        <v>526</v>
      </c>
      <c r="Y34" s="503" t="e">
        <f t="shared" si="40"/>
        <v>#REF!</v>
      </c>
      <c r="Z34" s="503">
        <f t="shared" si="40"/>
        <v>0</v>
      </c>
      <c r="AA34" s="503" t="e">
        <f t="shared" si="41"/>
        <v>#REF!</v>
      </c>
      <c r="AB34" s="503">
        <f t="shared" si="42"/>
        <v>13967</v>
      </c>
    </row>
    <row r="35" spans="1:28" x14ac:dyDescent="0.25">
      <c r="A35" s="493" t="s">
        <v>527</v>
      </c>
      <c r="B35" s="501">
        <f t="shared" si="30"/>
        <v>2.7599999999999999E-3</v>
      </c>
      <c r="C35" s="504" t="e">
        <f>#REF!</f>
        <v>#REF!</v>
      </c>
      <c r="D35" s="505">
        <f>'Nov Price Out'!D35</f>
        <v>5.99</v>
      </c>
      <c r="E35" s="502">
        <f>'[100]Forecasted TOD kWh by Period'!J12</f>
        <v>5445600</v>
      </c>
      <c r="F35" s="8">
        <f>'[100]Forecasted TOD kW by Period'!C10</f>
        <v>21938</v>
      </c>
      <c r="G35" s="8">
        <f t="shared" si="31"/>
        <v>4792128</v>
      </c>
      <c r="H35" s="8">
        <f>ROUND(F35*0.88,0)</f>
        <v>19305</v>
      </c>
      <c r="I35" s="169" t="e">
        <f t="shared" si="32"/>
        <v>#REF!</v>
      </c>
      <c r="J35" s="169">
        <f t="shared" si="32"/>
        <v>115637</v>
      </c>
      <c r="K35" s="169" t="e">
        <f t="shared" si="33"/>
        <v>#REF!</v>
      </c>
      <c r="L35" s="169">
        <f t="shared" si="34"/>
        <v>13226</v>
      </c>
      <c r="M35" s="493"/>
      <c r="N35" s="493">
        <f t="shared" si="35"/>
        <v>2.7599999999999999E-3</v>
      </c>
      <c r="O35" s="504" t="e">
        <f>#REF!</f>
        <v>#REF!</v>
      </c>
      <c r="P35" s="505">
        <f>'Nov Price Out'!P35</f>
        <v>1.22</v>
      </c>
      <c r="Q35" s="502">
        <f t="shared" si="36"/>
        <v>653472</v>
      </c>
      <c r="R35" s="502">
        <f>F35-H35</f>
        <v>2633</v>
      </c>
      <c r="S35" s="169" t="e">
        <f t="shared" si="37"/>
        <v>#REF!</v>
      </c>
      <c r="T35" s="169">
        <f t="shared" si="37"/>
        <v>3212</v>
      </c>
      <c r="U35" s="169" t="e">
        <f t="shared" si="38"/>
        <v>#REF!</v>
      </c>
      <c r="V35" s="169">
        <f t="shared" si="39"/>
        <v>1804</v>
      </c>
      <c r="X35" s="493" t="s">
        <v>527</v>
      </c>
      <c r="Y35" s="503" t="e">
        <f t="shared" si="40"/>
        <v>#REF!</v>
      </c>
      <c r="Z35" s="503">
        <f t="shared" si="40"/>
        <v>118849</v>
      </c>
      <c r="AA35" s="503" t="e">
        <f t="shared" si="41"/>
        <v>#REF!</v>
      </c>
      <c r="AB35" s="503">
        <f t="shared" si="42"/>
        <v>15030</v>
      </c>
    </row>
    <row r="36" spans="1:28" x14ac:dyDescent="0.25">
      <c r="A36" s="493" t="s">
        <v>528</v>
      </c>
      <c r="B36" s="501">
        <f t="shared" si="30"/>
        <v>2.7599999999999999E-3</v>
      </c>
      <c r="C36" s="504" t="e">
        <f>#REF!</f>
        <v>#REF!</v>
      </c>
      <c r="D36" s="493">
        <f>'Nov Price Out'!D36</f>
        <v>0</v>
      </c>
      <c r="E36" s="502">
        <f>'[100]Forecasted TOD kWh by Period'!J13</f>
        <v>6554400</v>
      </c>
      <c r="F36" s="8"/>
      <c r="G36" s="8">
        <f t="shared" si="31"/>
        <v>5767872</v>
      </c>
      <c r="H36" s="8"/>
      <c r="I36" s="169" t="e">
        <f t="shared" si="32"/>
        <v>#REF!</v>
      </c>
      <c r="J36" s="169">
        <f t="shared" si="32"/>
        <v>0</v>
      </c>
      <c r="K36" s="169" t="e">
        <f t="shared" si="33"/>
        <v>#REF!</v>
      </c>
      <c r="L36" s="169">
        <f t="shared" si="34"/>
        <v>15919</v>
      </c>
      <c r="M36" s="493"/>
      <c r="N36" s="493">
        <f t="shared" si="35"/>
        <v>2.7599999999999999E-3</v>
      </c>
      <c r="O36" s="504" t="e">
        <f>#REF!</f>
        <v>#REF!</v>
      </c>
      <c r="P36" s="493">
        <f>'Nov Price Out'!P36</f>
        <v>0</v>
      </c>
      <c r="Q36" s="502">
        <f t="shared" si="36"/>
        <v>786528</v>
      </c>
      <c r="R36" s="502"/>
      <c r="S36" s="169" t="e">
        <f t="shared" si="37"/>
        <v>#REF!</v>
      </c>
      <c r="T36" s="169">
        <f t="shared" si="37"/>
        <v>0</v>
      </c>
      <c r="U36" s="169" t="e">
        <f t="shared" si="38"/>
        <v>#REF!</v>
      </c>
      <c r="V36" s="169">
        <f t="shared" si="39"/>
        <v>2171</v>
      </c>
      <c r="X36" s="493" t="s">
        <v>528</v>
      </c>
      <c r="Y36" s="503" t="e">
        <f t="shared" si="40"/>
        <v>#REF!</v>
      </c>
      <c r="Z36" s="503">
        <f t="shared" si="40"/>
        <v>0</v>
      </c>
      <c r="AA36" s="503" t="e">
        <f t="shared" si="41"/>
        <v>#REF!</v>
      </c>
      <c r="AB36" s="503">
        <f t="shared" si="42"/>
        <v>18090</v>
      </c>
    </row>
    <row r="37" spans="1:28" x14ac:dyDescent="0.25">
      <c r="A37" s="493" t="s">
        <v>529</v>
      </c>
      <c r="B37" s="501">
        <f t="shared" si="30"/>
        <v>2.7599999999999999E-3</v>
      </c>
      <c r="C37" s="504" t="e">
        <f>#REF!</f>
        <v>#REF!</v>
      </c>
      <c r="D37" s="505">
        <f>'Nov Price Out'!D37</f>
        <v>5.05</v>
      </c>
      <c r="E37" s="502">
        <f>'[100]Forecasted TOD kWh by Period'!J16</f>
        <v>283461000</v>
      </c>
      <c r="F37" s="8">
        <f>'[100]Forecasted TOD kW by Period'!C14</f>
        <v>1210271</v>
      </c>
      <c r="G37" s="8">
        <f t="shared" si="31"/>
        <v>249445680</v>
      </c>
      <c r="H37" s="8">
        <f>ROUND(F37*0.88,0)</f>
        <v>1065038</v>
      </c>
      <c r="I37" s="169" t="e">
        <f t="shared" si="32"/>
        <v>#REF!</v>
      </c>
      <c r="J37" s="169">
        <f t="shared" si="32"/>
        <v>5378442</v>
      </c>
      <c r="K37" s="169" t="e">
        <f t="shared" si="33"/>
        <v>#REF!</v>
      </c>
      <c r="L37" s="169">
        <f t="shared" si="34"/>
        <v>688470</v>
      </c>
      <c r="M37" s="493"/>
      <c r="N37" s="493">
        <f t="shared" si="35"/>
        <v>2.7599999999999999E-3</v>
      </c>
      <c r="O37" s="504" t="e">
        <f>#REF!</f>
        <v>#REF!</v>
      </c>
      <c r="P37" s="505">
        <f>'Nov Price Out'!P37</f>
        <v>1.03</v>
      </c>
      <c r="Q37" s="502">
        <f t="shared" si="36"/>
        <v>34015320</v>
      </c>
      <c r="R37" s="502">
        <f>F37-H37</f>
        <v>145233</v>
      </c>
      <c r="S37" s="169" t="e">
        <f t="shared" si="37"/>
        <v>#REF!</v>
      </c>
      <c r="T37" s="169">
        <f t="shared" si="37"/>
        <v>149590</v>
      </c>
      <c r="U37" s="169" t="e">
        <f t="shared" si="38"/>
        <v>#REF!</v>
      </c>
      <c r="V37" s="169">
        <f t="shared" si="39"/>
        <v>93882</v>
      </c>
      <c r="X37" s="493" t="s">
        <v>529</v>
      </c>
      <c r="Y37" s="503" t="e">
        <f t="shared" si="40"/>
        <v>#REF!</v>
      </c>
      <c r="Z37" s="503">
        <f t="shared" si="40"/>
        <v>5528032</v>
      </c>
      <c r="AA37" s="503" t="e">
        <f t="shared" si="41"/>
        <v>#REF!</v>
      </c>
      <c r="AB37" s="503">
        <f t="shared" si="42"/>
        <v>782352</v>
      </c>
    </row>
    <row r="38" spans="1:28" x14ac:dyDescent="0.25">
      <c r="A38" s="493" t="s">
        <v>530</v>
      </c>
      <c r="B38" s="501">
        <f t="shared" si="30"/>
        <v>2.7599999999999999E-3</v>
      </c>
      <c r="C38" s="504" t="e">
        <f>#REF!</f>
        <v>#REF!</v>
      </c>
      <c r="D38" s="493">
        <f>'Nov Price Out'!D38</f>
        <v>0</v>
      </c>
      <c r="E38" s="502">
        <f>'[100]Forecasted TOD kWh by Period'!J17</f>
        <v>286539000</v>
      </c>
      <c r="F38" s="8"/>
      <c r="G38" s="8">
        <f t="shared" si="31"/>
        <v>252154320</v>
      </c>
      <c r="H38" s="8"/>
      <c r="I38" s="169" t="e">
        <f t="shared" si="32"/>
        <v>#REF!</v>
      </c>
      <c r="J38" s="169">
        <f t="shared" si="32"/>
        <v>0</v>
      </c>
      <c r="K38" s="169" t="e">
        <f t="shared" si="33"/>
        <v>#REF!</v>
      </c>
      <c r="L38" s="169">
        <f t="shared" si="34"/>
        <v>695946</v>
      </c>
      <c r="M38" s="493"/>
      <c r="N38" s="493">
        <f t="shared" si="35"/>
        <v>2.7599999999999999E-3</v>
      </c>
      <c r="O38" s="504" t="e">
        <f>#REF!</f>
        <v>#REF!</v>
      </c>
      <c r="P38" s="493">
        <f>'Nov Price Out'!P38</f>
        <v>0</v>
      </c>
      <c r="Q38" s="502">
        <f t="shared" si="36"/>
        <v>34384680</v>
      </c>
      <c r="R38" s="502"/>
      <c r="S38" s="169" t="e">
        <f t="shared" si="37"/>
        <v>#REF!</v>
      </c>
      <c r="T38" s="169">
        <f t="shared" si="37"/>
        <v>0</v>
      </c>
      <c r="U38" s="169" t="e">
        <f t="shared" si="38"/>
        <v>#REF!</v>
      </c>
      <c r="V38" s="169">
        <f t="shared" si="39"/>
        <v>94902</v>
      </c>
      <c r="X38" s="493" t="s">
        <v>530</v>
      </c>
      <c r="Y38" s="503" t="e">
        <f t="shared" si="40"/>
        <v>#REF!</v>
      </c>
      <c r="Z38" s="503">
        <f t="shared" si="40"/>
        <v>0</v>
      </c>
      <c r="AA38" s="503" t="e">
        <f t="shared" si="41"/>
        <v>#REF!</v>
      </c>
      <c r="AB38" s="503">
        <f t="shared" si="42"/>
        <v>790848</v>
      </c>
    </row>
    <row r="39" spans="1:28" x14ac:dyDescent="0.25">
      <c r="A39" s="493" t="s">
        <v>531</v>
      </c>
      <c r="B39" s="501">
        <f t="shared" si="30"/>
        <v>2.7599999999999999E-3</v>
      </c>
      <c r="C39" s="504" t="e">
        <f>#REF!</f>
        <v>#REF!</v>
      </c>
      <c r="D39" s="505">
        <f>'Nov Price Out'!D39</f>
        <v>2.69</v>
      </c>
      <c r="E39" s="502">
        <f>'[100]Forecasted TOD kWh by Period'!J20</f>
        <v>7883100</v>
      </c>
      <c r="F39" s="8">
        <f>'[100]Forecasted TOD kW by Period'!C18</f>
        <v>40820</v>
      </c>
      <c r="G39" s="8">
        <f t="shared" si="31"/>
        <v>6937128</v>
      </c>
      <c r="H39" s="8">
        <f>ROUND(F39*0.88,0)</f>
        <v>35922</v>
      </c>
      <c r="I39" s="169" t="e">
        <f t="shared" si="32"/>
        <v>#REF!</v>
      </c>
      <c r="J39" s="169">
        <f t="shared" si="32"/>
        <v>96630</v>
      </c>
      <c r="K39" s="169" t="e">
        <f t="shared" si="33"/>
        <v>#REF!</v>
      </c>
      <c r="L39" s="169">
        <f t="shared" si="34"/>
        <v>19146</v>
      </c>
      <c r="M39" s="493"/>
      <c r="N39" s="493">
        <f t="shared" si="35"/>
        <v>2.7599999999999999E-3</v>
      </c>
      <c r="O39" s="504" t="e">
        <f>#REF!</f>
        <v>#REF!</v>
      </c>
      <c r="P39" s="505">
        <f>'Nov Price Out'!P39</f>
        <v>0.55000000000000004</v>
      </c>
      <c r="Q39" s="502">
        <f t="shared" si="36"/>
        <v>945972</v>
      </c>
      <c r="R39" s="502">
        <f>F39-H39</f>
        <v>4898</v>
      </c>
      <c r="S39" s="169" t="e">
        <f t="shared" si="37"/>
        <v>#REF!</v>
      </c>
      <c r="T39" s="169">
        <f t="shared" si="37"/>
        <v>2694</v>
      </c>
      <c r="U39" s="169" t="e">
        <f t="shared" si="38"/>
        <v>#REF!</v>
      </c>
      <c r="V39" s="169">
        <f t="shared" si="39"/>
        <v>2611</v>
      </c>
      <c r="X39" s="493" t="s">
        <v>531</v>
      </c>
      <c r="Y39" s="503" t="e">
        <f t="shared" si="40"/>
        <v>#REF!</v>
      </c>
      <c r="Z39" s="503">
        <f t="shared" si="40"/>
        <v>99324</v>
      </c>
      <c r="AA39" s="503" t="e">
        <f t="shared" si="41"/>
        <v>#REF!</v>
      </c>
      <c r="AB39" s="503">
        <f t="shared" si="42"/>
        <v>21757</v>
      </c>
    </row>
    <row r="40" spans="1:28" x14ac:dyDescent="0.25">
      <c r="A40" s="493" t="s">
        <v>532</v>
      </c>
      <c r="B40" s="501">
        <f t="shared" si="30"/>
        <v>2.7599999999999999E-3</v>
      </c>
      <c r="C40" s="504" t="e">
        <f>#REF!</f>
        <v>#REF!</v>
      </c>
      <c r="D40" s="493">
        <f>'Nov Price Out'!D40</f>
        <v>0</v>
      </c>
      <c r="E40" s="502">
        <f>'[100]Forecasted TOD kWh by Period'!J21</f>
        <v>11116900</v>
      </c>
      <c r="F40" s="8"/>
      <c r="G40" s="8">
        <f t="shared" si="31"/>
        <v>9782872</v>
      </c>
      <c r="H40" s="8"/>
      <c r="I40" s="169" t="e">
        <f t="shared" si="32"/>
        <v>#REF!</v>
      </c>
      <c r="J40" s="169">
        <f t="shared" si="32"/>
        <v>0</v>
      </c>
      <c r="K40" s="169" t="e">
        <f t="shared" si="33"/>
        <v>#REF!</v>
      </c>
      <c r="L40" s="169">
        <f t="shared" si="34"/>
        <v>27001</v>
      </c>
      <c r="M40" s="493"/>
      <c r="N40" s="493">
        <f t="shared" si="35"/>
        <v>2.7599999999999999E-3</v>
      </c>
      <c r="O40" s="504" t="e">
        <f>#REF!</f>
        <v>#REF!</v>
      </c>
      <c r="P40" s="493">
        <f>'Nov Price Out'!P40</f>
        <v>0</v>
      </c>
      <c r="Q40" s="502">
        <f t="shared" si="36"/>
        <v>1334028</v>
      </c>
      <c r="R40" s="502"/>
      <c r="S40" s="169" t="e">
        <f t="shared" si="37"/>
        <v>#REF!</v>
      </c>
      <c r="T40" s="169">
        <f t="shared" si="37"/>
        <v>0</v>
      </c>
      <c r="U40" s="169" t="e">
        <f t="shared" si="38"/>
        <v>#REF!</v>
      </c>
      <c r="V40" s="169">
        <f t="shared" si="39"/>
        <v>3682</v>
      </c>
      <c r="X40" s="493" t="s">
        <v>532</v>
      </c>
      <c r="Y40" s="503" t="e">
        <f t="shared" si="40"/>
        <v>#REF!</v>
      </c>
      <c r="Z40" s="503">
        <f t="shared" si="40"/>
        <v>0</v>
      </c>
      <c r="AA40" s="503" t="e">
        <f t="shared" si="41"/>
        <v>#REF!</v>
      </c>
      <c r="AB40" s="503">
        <f t="shared" si="42"/>
        <v>30683</v>
      </c>
    </row>
    <row r="41" spans="1:28" x14ac:dyDescent="0.25">
      <c r="A41" s="493" t="s">
        <v>533</v>
      </c>
      <c r="B41" s="501">
        <f t="shared" si="30"/>
        <v>2.7599999999999999E-3</v>
      </c>
      <c r="C41" s="504" t="e">
        <f>#REF!</f>
        <v>#REF!</v>
      </c>
      <c r="D41" s="505">
        <f>'Nov Price Out'!D41</f>
        <v>0</v>
      </c>
      <c r="E41" s="502">
        <f>'[100]Forecasted TOD kWh by Period'!J24</f>
        <v>580878</v>
      </c>
      <c r="F41" s="8">
        <f>'[100]Forecasted TOD kW by Period'!C22</f>
        <v>13155</v>
      </c>
      <c r="G41" s="8">
        <f t="shared" si="31"/>
        <v>511173</v>
      </c>
      <c r="H41" s="8">
        <f>ROUND(F41*0.88,0)</f>
        <v>11576</v>
      </c>
      <c r="I41" s="169" t="e">
        <f t="shared" si="32"/>
        <v>#REF!</v>
      </c>
      <c r="J41" s="169">
        <f t="shared" si="32"/>
        <v>0</v>
      </c>
      <c r="K41" s="169" t="e">
        <f t="shared" si="33"/>
        <v>#REF!</v>
      </c>
      <c r="L41" s="169">
        <f t="shared" si="34"/>
        <v>1411</v>
      </c>
      <c r="M41" s="493"/>
      <c r="N41" s="493">
        <f t="shared" si="35"/>
        <v>2.7599999999999999E-3</v>
      </c>
      <c r="O41" s="504" t="e">
        <f>#REF!</f>
        <v>#REF!</v>
      </c>
      <c r="P41" s="505">
        <f>'Nov Price Out'!P41</f>
        <v>0</v>
      </c>
      <c r="Q41" s="502">
        <f t="shared" si="36"/>
        <v>69705</v>
      </c>
      <c r="R41" s="502">
        <f>F41-H41</f>
        <v>1579</v>
      </c>
      <c r="S41" s="169" t="e">
        <f t="shared" si="37"/>
        <v>#REF!</v>
      </c>
      <c r="T41" s="169">
        <f t="shared" si="37"/>
        <v>0</v>
      </c>
      <c r="U41" s="169" t="e">
        <f t="shared" si="38"/>
        <v>#REF!</v>
      </c>
      <c r="V41" s="169">
        <f t="shared" si="39"/>
        <v>192</v>
      </c>
      <c r="X41" s="493" t="s">
        <v>533</v>
      </c>
      <c r="Y41" s="503" t="e">
        <f t="shared" si="40"/>
        <v>#REF!</v>
      </c>
      <c r="Z41" s="503">
        <f t="shared" si="40"/>
        <v>0</v>
      </c>
      <c r="AA41" s="503" t="e">
        <f t="shared" si="41"/>
        <v>#REF!</v>
      </c>
      <c r="AB41" s="503">
        <f t="shared" si="42"/>
        <v>1603</v>
      </c>
    </row>
    <row r="42" spans="1:28" x14ac:dyDescent="0.25">
      <c r="A42" s="493" t="s">
        <v>534</v>
      </c>
      <c r="B42" s="501">
        <f t="shared" si="30"/>
        <v>2.7599999999999999E-3</v>
      </c>
      <c r="C42" s="504" t="e">
        <f>#REF!</f>
        <v>#REF!</v>
      </c>
      <c r="D42" s="493">
        <f>'Nov Price Out'!D42</f>
        <v>0</v>
      </c>
      <c r="E42" s="502">
        <f>'[100]Forecasted TOD kWh by Period'!J25</f>
        <v>538347</v>
      </c>
      <c r="F42" s="493"/>
      <c r="G42" s="8">
        <f t="shared" si="31"/>
        <v>473745</v>
      </c>
      <c r="H42" s="8"/>
      <c r="I42" s="169" t="e">
        <f t="shared" si="32"/>
        <v>#REF!</v>
      </c>
      <c r="J42" s="169">
        <f t="shared" si="32"/>
        <v>0</v>
      </c>
      <c r="K42" s="169" t="e">
        <f t="shared" si="33"/>
        <v>#REF!</v>
      </c>
      <c r="L42" s="169">
        <f t="shared" si="34"/>
        <v>1308</v>
      </c>
      <c r="M42" s="493"/>
      <c r="N42" s="493">
        <f t="shared" si="35"/>
        <v>2.7599999999999999E-3</v>
      </c>
      <c r="O42" s="504" t="e">
        <f>#REF!</f>
        <v>#REF!</v>
      </c>
      <c r="P42" s="492">
        <f>'Nov Price Out'!P42</f>
        <v>0</v>
      </c>
      <c r="Q42" s="502">
        <f t="shared" si="36"/>
        <v>64602</v>
      </c>
      <c r="R42" s="502"/>
      <c r="S42" s="169" t="e">
        <f t="shared" si="37"/>
        <v>#REF!</v>
      </c>
      <c r="T42" s="169">
        <f t="shared" si="37"/>
        <v>0</v>
      </c>
      <c r="U42" s="169" t="e">
        <f t="shared" si="38"/>
        <v>#REF!</v>
      </c>
      <c r="V42" s="169">
        <f t="shared" si="39"/>
        <v>178</v>
      </c>
      <c r="X42" s="493" t="s">
        <v>534</v>
      </c>
      <c r="Y42" s="503" t="e">
        <f t="shared" si="40"/>
        <v>#REF!</v>
      </c>
      <c r="Z42" s="503">
        <f t="shared" si="40"/>
        <v>0</v>
      </c>
      <c r="AA42" s="503" t="e">
        <f t="shared" si="41"/>
        <v>#REF!</v>
      </c>
      <c r="AB42" s="503">
        <f t="shared" si="42"/>
        <v>1486</v>
      </c>
    </row>
    <row r="43" spans="1:28" x14ac:dyDescent="0.25">
      <c r="A43" s="493"/>
      <c r="B43" s="493"/>
      <c r="C43" s="493"/>
      <c r="D43" s="493"/>
      <c r="E43" s="493"/>
      <c r="F43" s="493"/>
      <c r="G43" s="493"/>
      <c r="H43" s="493"/>
      <c r="I43" s="493"/>
      <c r="J43" s="493"/>
      <c r="K43" s="493"/>
      <c r="L43" s="493"/>
      <c r="M43" s="493"/>
      <c r="O43" s="493"/>
      <c r="S43" s="493"/>
      <c r="T43" s="493"/>
      <c r="U43" s="493"/>
      <c r="V43" s="493"/>
      <c r="X43" s="493"/>
      <c r="Y43" s="503"/>
      <c r="Z43" s="503"/>
      <c r="AA43" s="503"/>
      <c r="AB43" s="503"/>
    </row>
    <row r="44" spans="1:28" x14ac:dyDescent="0.25">
      <c r="A44" s="493" t="s">
        <v>162</v>
      </c>
      <c r="B44" s="493"/>
      <c r="C44" s="493"/>
      <c r="D44" s="493"/>
      <c r="E44" s="507">
        <f>SUM(E8:E19)+SUM(E21:E24)+SUM(E26:E31)+SUM(E33:E42)</f>
        <v>3580961012</v>
      </c>
      <c r="F44" s="493"/>
      <c r="G44" s="507">
        <f>SUM(G8:G19)+SUM(G21:G24)+SUM(G26:G31)+SUM(G33:G42)</f>
        <v>3151245691</v>
      </c>
      <c r="H44" s="493"/>
      <c r="I44" s="503" t="e">
        <f>SUM(I8:I43)</f>
        <v>#REF!</v>
      </c>
      <c r="J44" s="169">
        <f>SUM(J8:J19)+SUM(J21:J24)+SUM(J26:J31)+SUM(J33:J42)</f>
        <v>29416555</v>
      </c>
      <c r="K44" s="503" t="e">
        <f>SUM(K8:K43)</f>
        <v>#REF!</v>
      </c>
      <c r="L44" s="169">
        <f>SUM(L8:L19)+SUM(L21:L24)+SUM(L26:L31)+SUM(L33:L42)</f>
        <v>8697438</v>
      </c>
      <c r="M44" s="493"/>
      <c r="Q44" s="507">
        <f>SUM(Q8:Q19)+SUM(Q21:Q24)+SUM(Q26:Q31)+SUM(Q33:Q42)</f>
        <v>429715321</v>
      </c>
      <c r="S44" s="503" t="e">
        <f>SUM(S8:S43)</f>
        <v>#REF!</v>
      </c>
      <c r="T44" s="169" t="e">
        <f>SUM(T8:T19)+SUM(T21:T24)+SUM(T26:T31)+SUM(T33:T42)</f>
        <v>#DIV/0!</v>
      </c>
      <c r="U44" s="503" t="e">
        <f>SUM(U8:U43)</f>
        <v>#REF!</v>
      </c>
      <c r="V44" s="169">
        <f>SUM(V8:V19)+SUM(V21:V24)+SUM(V26:V31)+SUM(V33:V42)</f>
        <v>1186016</v>
      </c>
      <c r="X44" s="493" t="s">
        <v>162</v>
      </c>
      <c r="Y44" s="503" t="e">
        <f>I44+S44</f>
        <v>#REF!</v>
      </c>
      <c r="Z44" s="503" t="e">
        <f>J44+T44</f>
        <v>#DIV/0!</v>
      </c>
      <c r="AA44" s="503" t="e">
        <f>Y44+Z44</f>
        <v>#REF!</v>
      </c>
      <c r="AB44" s="503">
        <f>L44+V44</f>
        <v>9883454</v>
      </c>
    </row>
    <row r="45" spans="1:28" x14ac:dyDescent="0.25">
      <c r="A45" s="493"/>
      <c r="B45" s="493"/>
      <c r="C45" s="493"/>
      <c r="D45" s="493"/>
      <c r="E45" s="493"/>
      <c r="F45" s="493"/>
      <c r="G45" s="493"/>
      <c r="H45" s="493"/>
      <c r="I45" s="503"/>
      <c r="J45" s="503"/>
      <c r="K45" s="503"/>
      <c r="L45" s="493"/>
      <c r="M45" s="493"/>
      <c r="Q45" s="516"/>
      <c r="S45" s="503"/>
      <c r="T45" s="503"/>
      <c r="U45" s="503"/>
    </row>
    <row r="46" spans="1:28" x14ac:dyDescent="0.25">
      <c r="A46" s="493"/>
      <c r="B46" s="493"/>
      <c r="C46" s="493"/>
      <c r="D46" s="493"/>
      <c r="E46" s="493"/>
      <c r="F46" s="493"/>
      <c r="G46" s="493"/>
      <c r="H46" s="493"/>
      <c r="I46" s="493"/>
      <c r="J46" s="493"/>
      <c r="K46" s="493"/>
      <c r="L46" s="493"/>
    </row>
    <row r="47" spans="1:28" x14ac:dyDescent="0.25">
      <c r="A47" s="493"/>
      <c r="B47" s="493"/>
      <c r="C47" s="493"/>
      <c r="D47" s="493"/>
      <c r="E47" s="493"/>
      <c r="F47" s="493"/>
      <c r="G47" s="493"/>
      <c r="H47" s="493"/>
      <c r="I47" s="493"/>
      <c r="J47" s="493"/>
      <c r="K47" s="493"/>
      <c r="L47" s="493"/>
    </row>
    <row r="48" spans="1:28" x14ac:dyDescent="0.25">
      <c r="A48" s="493"/>
      <c r="B48" s="493"/>
      <c r="C48" s="493"/>
      <c r="D48" s="493"/>
      <c r="E48" s="493"/>
      <c r="F48" s="493"/>
      <c r="G48" s="493"/>
      <c r="H48" s="493"/>
      <c r="I48" s="493"/>
      <c r="J48" s="493"/>
      <c r="K48" s="493"/>
      <c r="L48" s="493"/>
    </row>
    <row r="49" spans="1:13" x14ac:dyDescent="0.25">
      <c r="A49" s="493"/>
      <c r="B49" s="493"/>
      <c r="C49" s="493"/>
      <c r="D49" s="493"/>
      <c r="E49" s="493"/>
      <c r="F49" s="493"/>
      <c r="G49" s="493"/>
      <c r="H49" s="493"/>
      <c r="I49" s="493"/>
      <c r="J49" s="493"/>
      <c r="K49" s="493"/>
      <c r="L49" s="493"/>
    </row>
    <row r="50" spans="1:13" x14ac:dyDescent="0.25">
      <c r="A50" s="493"/>
      <c r="B50" s="493"/>
      <c r="C50" s="493"/>
      <c r="D50" s="493"/>
      <c r="E50" s="493"/>
      <c r="F50" s="493"/>
      <c r="G50" s="493"/>
      <c r="H50" s="493"/>
      <c r="I50" s="493"/>
      <c r="J50" s="493"/>
      <c r="K50" s="493"/>
      <c r="L50" s="493"/>
      <c r="M50" s="493"/>
    </row>
    <row r="51" spans="1:13" x14ac:dyDescent="0.25">
      <c r="A51" s="493"/>
      <c r="B51" s="493"/>
      <c r="C51" s="493"/>
      <c r="D51" s="493"/>
      <c r="E51" s="493"/>
      <c r="F51" s="493"/>
      <c r="G51" s="493"/>
      <c r="H51" s="493"/>
      <c r="I51" s="493"/>
      <c r="J51" s="493"/>
      <c r="K51" s="493"/>
      <c r="L51" s="493"/>
      <c r="M51" s="493"/>
    </row>
    <row r="52" spans="1:13" x14ac:dyDescent="0.25">
      <c r="A52" s="493"/>
      <c r="B52" s="493"/>
      <c r="C52" s="493"/>
      <c r="D52" s="493"/>
      <c r="E52" s="493"/>
      <c r="F52" s="493"/>
      <c r="G52" s="493"/>
      <c r="H52" s="493"/>
      <c r="I52" s="493"/>
      <c r="J52" s="493"/>
      <c r="K52" s="493"/>
      <c r="L52" s="493"/>
      <c r="M52" s="493"/>
    </row>
    <row r="53" spans="1:13" x14ac:dyDescent="0.25">
      <c r="A53" s="493"/>
      <c r="B53" s="493"/>
      <c r="C53" s="493"/>
      <c r="D53" s="493"/>
      <c r="E53" s="493"/>
      <c r="F53" s="493"/>
      <c r="G53" s="493"/>
      <c r="H53" s="493"/>
      <c r="I53" s="493"/>
      <c r="J53" s="493"/>
      <c r="K53" s="493"/>
      <c r="L53" s="493"/>
      <c r="M53" s="493"/>
    </row>
    <row r="54" spans="1:13" x14ac:dyDescent="0.25">
      <c r="A54" s="493"/>
      <c r="B54" s="493"/>
      <c r="C54" s="493"/>
      <c r="D54" s="493"/>
      <c r="E54" s="493"/>
      <c r="F54" s="493"/>
      <c r="G54" s="493"/>
      <c r="H54" s="493"/>
      <c r="I54" s="493"/>
      <c r="J54" s="493"/>
      <c r="K54" s="493"/>
      <c r="L54" s="493"/>
      <c r="M54" s="493"/>
    </row>
    <row r="55" spans="1:13" x14ac:dyDescent="0.25">
      <c r="A55" s="493"/>
      <c r="B55" s="493"/>
      <c r="C55" s="493"/>
      <c r="D55" s="493"/>
      <c r="E55" s="493"/>
      <c r="F55" s="493"/>
      <c r="G55" s="493"/>
      <c r="H55" s="493"/>
      <c r="I55" s="493"/>
      <c r="J55" s="493"/>
      <c r="K55" s="493"/>
      <c r="L55" s="493"/>
      <c r="M55" s="493"/>
    </row>
    <row r="56" spans="1:13" x14ac:dyDescent="0.25">
      <c r="A56" s="493"/>
      <c r="B56" s="493"/>
      <c r="C56" s="493"/>
      <c r="D56" s="493"/>
      <c r="E56" s="493"/>
      <c r="F56" s="493"/>
      <c r="G56" s="493"/>
      <c r="H56" s="493"/>
      <c r="I56" s="493"/>
      <c r="J56" s="493"/>
      <c r="K56" s="493"/>
      <c r="L56" s="493"/>
      <c r="M56" s="493"/>
    </row>
    <row r="57" spans="1:13" x14ac:dyDescent="0.25">
      <c r="A57" s="493"/>
      <c r="B57" s="493"/>
      <c r="C57" s="493"/>
      <c r="D57" s="493"/>
      <c r="E57" s="493"/>
      <c r="F57" s="493"/>
      <c r="G57" s="493"/>
      <c r="H57" s="493"/>
      <c r="I57" s="493"/>
      <c r="J57" s="493"/>
      <c r="K57" s="493"/>
      <c r="L57" s="493"/>
      <c r="M57" s="493"/>
    </row>
    <row r="58" spans="1:13" x14ac:dyDescent="0.25">
      <c r="A58" s="493"/>
      <c r="B58" s="493"/>
      <c r="C58" s="493"/>
      <c r="D58" s="493"/>
      <c r="E58" s="493"/>
      <c r="F58" s="493"/>
      <c r="G58" s="493"/>
      <c r="H58" s="493"/>
      <c r="I58" s="493"/>
      <c r="J58" s="493"/>
      <c r="K58" s="493"/>
      <c r="L58" s="493"/>
      <c r="M58" s="493"/>
    </row>
    <row r="59" spans="1:13" x14ac:dyDescent="0.25">
      <c r="A59" s="493"/>
      <c r="B59" s="493"/>
      <c r="C59" s="493"/>
      <c r="D59" s="493"/>
      <c r="E59" s="493"/>
      <c r="F59" s="493"/>
      <c r="G59" s="493"/>
      <c r="H59" s="493"/>
      <c r="I59" s="493"/>
      <c r="J59" s="493"/>
      <c r="K59" s="493"/>
      <c r="L59" s="493"/>
      <c r="M59" s="493"/>
    </row>
    <row r="60" spans="1:13" x14ac:dyDescent="0.25">
      <c r="A60" s="493"/>
      <c r="B60" s="493"/>
      <c r="C60" s="493"/>
      <c r="D60" s="493"/>
      <c r="E60" s="493"/>
      <c r="F60" s="493"/>
      <c r="G60" s="493"/>
      <c r="H60" s="493"/>
      <c r="I60" s="493"/>
      <c r="J60" s="493"/>
      <c r="K60" s="493"/>
      <c r="L60" s="493"/>
      <c r="M60" s="493"/>
    </row>
    <row r="61" spans="1:13" x14ac:dyDescent="0.25">
      <c r="A61" s="493"/>
      <c r="B61" s="493"/>
      <c r="C61" s="493"/>
      <c r="D61" s="493"/>
      <c r="E61" s="493"/>
      <c r="F61" s="493"/>
      <c r="G61" s="493"/>
      <c r="H61" s="493"/>
      <c r="I61" s="493"/>
      <c r="J61" s="493"/>
      <c r="K61" s="493"/>
      <c r="L61" s="493"/>
      <c r="M61" s="493"/>
    </row>
    <row r="62" spans="1:13" x14ac:dyDescent="0.25">
      <c r="A62" s="493"/>
      <c r="B62" s="493"/>
      <c r="C62" s="493"/>
      <c r="D62" s="493"/>
      <c r="E62" s="493"/>
      <c r="F62" s="493"/>
      <c r="G62" s="493"/>
      <c r="H62" s="493"/>
      <c r="I62" s="493"/>
      <c r="J62" s="493"/>
      <c r="K62" s="493"/>
      <c r="L62" s="493"/>
      <c r="M62" s="493"/>
    </row>
    <row r="63" spans="1:13" x14ac:dyDescent="0.25">
      <c r="A63" s="493"/>
      <c r="B63" s="493"/>
      <c r="C63" s="493"/>
      <c r="D63" s="493"/>
      <c r="E63" s="493"/>
      <c r="F63" s="493"/>
      <c r="G63" s="493"/>
      <c r="H63" s="493"/>
      <c r="I63" s="493"/>
      <c r="J63" s="493"/>
      <c r="K63" s="493"/>
      <c r="L63" s="493"/>
      <c r="M63" s="493"/>
    </row>
    <row r="64" spans="1:13" x14ac:dyDescent="0.25">
      <c r="A64" s="493"/>
      <c r="B64" s="493"/>
      <c r="C64" s="493"/>
      <c r="D64" s="493"/>
      <c r="E64" s="493"/>
      <c r="F64" s="493"/>
      <c r="G64" s="493"/>
      <c r="H64" s="493"/>
      <c r="I64" s="493"/>
      <c r="J64" s="493"/>
      <c r="K64" s="493"/>
      <c r="L64" s="493"/>
      <c r="M64" s="493"/>
    </row>
    <row r="65" spans="1:14" x14ac:dyDescent="0.25">
      <c r="A65" s="493"/>
      <c r="B65" s="493"/>
      <c r="C65" s="493"/>
      <c r="D65" s="493"/>
      <c r="E65" s="493"/>
      <c r="F65" s="493"/>
      <c r="G65" s="493"/>
      <c r="H65" s="493"/>
      <c r="I65" s="493"/>
      <c r="J65" s="493"/>
      <c r="K65" s="493"/>
      <c r="L65" s="493"/>
      <c r="M65" s="493"/>
      <c r="N65" s="493"/>
    </row>
    <row r="66" spans="1:14" x14ac:dyDescent="0.25">
      <c r="A66" s="493"/>
      <c r="B66" s="493"/>
      <c r="C66" s="493"/>
      <c r="D66" s="493"/>
      <c r="E66" s="493"/>
      <c r="F66" s="493"/>
      <c r="G66" s="493"/>
      <c r="H66" s="493"/>
      <c r="I66" s="493"/>
      <c r="J66" s="493"/>
      <c r="K66" s="493"/>
      <c r="L66" s="493"/>
      <c r="M66" s="493"/>
      <c r="N66" s="493"/>
    </row>
    <row r="67" spans="1:14" x14ac:dyDescent="0.25">
      <c r="A67" s="493"/>
      <c r="B67" s="493"/>
      <c r="C67" s="493"/>
      <c r="D67" s="493"/>
      <c r="E67" s="493"/>
      <c r="F67" s="493"/>
      <c r="G67" s="493"/>
      <c r="H67" s="493"/>
      <c r="I67" s="493"/>
      <c r="J67" s="493"/>
      <c r="K67" s="493"/>
      <c r="L67" s="493"/>
      <c r="M67" s="493"/>
      <c r="N67" s="493"/>
    </row>
    <row r="68" spans="1:14" x14ac:dyDescent="0.25">
      <c r="A68" s="493"/>
      <c r="B68" s="493"/>
      <c r="C68" s="493"/>
      <c r="D68" s="493"/>
      <c r="E68" s="493"/>
      <c r="F68" s="493"/>
      <c r="G68" s="493"/>
      <c r="H68" s="493"/>
      <c r="I68" s="493"/>
      <c r="J68" s="493"/>
      <c r="K68" s="493"/>
      <c r="L68" s="493"/>
      <c r="M68" s="493"/>
    </row>
    <row r="69" spans="1:14" x14ac:dyDescent="0.25">
      <c r="A69" s="493"/>
      <c r="B69" s="493"/>
      <c r="C69" s="493"/>
      <c r="D69" s="493"/>
      <c r="E69" s="493"/>
      <c r="F69" s="493"/>
      <c r="G69" s="493"/>
      <c r="H69" s="493"/>
      <c r="I69" s="493"/>
      <c r="J69" s="493"/>
      <c r="K69" s="493"/>
      <c r="L69" s="493"/>
      <c r="M69" s="493"/>
    </row>
    <row r="70" spans="1:14" x14ac:dyDescent="0.25">
      <c r="A70" s="493"/>
      <c r="B70" s="493"/>
      <c r="C70" s="493"/>
      <c r="D70" s="493"/>
      <c r="E70" s="493"/>
      <c r="F70" s="493"/>
      <c r="G70" s="493"/>
      <c r="H70" s="493"/>
      <c r="I70" s="493"/>
      <c r="J70" s="493"/>
      <c r="K70" s="493"/>
      <c r="L70" s="493"/>
      <c r="M70" s="493"/>
    </row>
    <row r="71" spans="1:14" x14ac:dyDescent="0.25">
      <c r="A71" s="493"/>
      <c r="B71" s="493"/>
      <c r="C71" s="493"/>
      <c r="D71" s="493"/>
      <c r="E71" s="493"/>
      <c r="F71" s="493"/>
      <c r="G71" s="493"/>
      <c r="H71" s="493"/>
      <c r="I71" s="493"/>
      <c r="J71" s="493"/>
      <c r="K71" s="493"/>
      <c r="L71" s="493"/>
      <c r="M71" s="493"/>
    </row>
    <row r="72" spans="1:14" x14ac:dyDescent="0.25">
      <c r="A72" s="493"/>
      <c r="B72" s="493"/>
      <c r="C72" s="493"/>
      <c r="D72" s="493"/>
      <c r="E72" s="493"/>
      <c r="F72" s="493"/>
      <c r="G72" s="493"/>
      <c r="H72" s="493"/>
      <c r="I72" s="493"/>
      <c r="J72" s="493"/>
      <c r="K72" s="493"/>
      <c r="L72" s="493"/>
      <c r="M72" s="493"/>
    </row>
    <row r="73" spans="1:14" x14ac:dyDescent="0.25">
      <c r="A73" s="493"/>
      <c r="B73" s="493"/>
      <c r="C73" s="493"/>
      <c r="D73" s="493"/>
      <c r="E73" s="493"/>
      <c r="F73" s="493"/>
      <c r="G73" s="493"/>
      <c r="H73" s="493"/>
      <c r="I73" s="493"/>
      <c r="J73" s="493"/>
      <c r="K73" s="493"/>
      <c r="L73" s="493"/>
      <c r="M73" s="493"/>
    </row>
    <row r="74" spans="1:14" x14ac:dyDescent="0.25">
      <c r="A74" s="493"/>
      <c r="B74" s="493"/>
      <c r="C74" s="493"/>
      <c r="D74" s="493"/>
      <c r="E74" s="493"/>
      <c r="F74" s="493"/>
      <c r="G74" s="493"/>
      <c r="H74" s="493"/>
      <c r="I74" s="493"/>
      <c r="J74" s="493"/>
      <c r="K74" s="493"/>
      <c r="L74" s="493"/>
      <c r="M74" s="493"/>
    </row>
    <row r="75" spans="1:14" x14ac:dyDescent="0.25">
      <c r="A75" s="493"/>
      <c r="B75" s="493"/>
      <c r="C75" s="493"/>
      <c r="D75" s="493"/>
      <c r="E75" s="493"/>
      <c r="F75" s="493"/>
      <c r="G75" s="493"/>
      <c r="H75" s="493"/>
      <c r="I75" s="493"/>
      <c r="J75" s="493"/>
      <c r="K75" s="493"/>
      <c r="L75" s="493"/>
      <c r="M75" s="493"/>
    </row>
    <row r="76" spans="1:14" x14ac:dyDescent="0.25">
      <c r="A76" s="493"/>
      <c r="B76" s="493"/>
      <c r="C76" s="493"/>
      <c r="D76" s="493"/>
      <c r="E76" s="493"/>
      <c r="F76" s="493"/>
      <c r="G76" s="493"/>
      <c r="H76" s="493"/>
      <c r="I76" s="493"/>
      <c r="J76" s="493"/>
      <c r="K76" s="493"/>
      <c r="L76" s="493"/>
      <c r="M76" s="493"/>
    </row>
    <row r="77" spans="1:14" x14ac:dyDescent="0.25">
      <c r="A77" s="493"/>
      <c r="B77" s="493"/>
      <c r="C77" s="493"/>
      <c r="D77" s="493"/>
      <c r="E77" s="493"/>
      <c r="F77" s="493"/>
      <c r="G77" s="493"/>
      <c r="H77" s="493"/>
      <c r="I77" s="493"/>
      <c r="J77" s="493"/>
      <c r="K77" s="493"/>
      <c r="L77" s="493"/>
      <c r="M77" s="493"/>
    </row>
    <row r="78" spans="1:14" x14ac:dyDescent="0.25">
      <c r="A78" s="493"/>
      <c r="B78" s="493"/>
      <c r="C78" s="493"/>
      <c r="D78" s="493"/>
      <c r="E78" s="493"/>
      <c r="F78" s="493"/>
      <c r="G78" s="493"/>
      <c r="H78" s="493"/>
      <c r="I78" s="493"/>
      <c r="J78" s="493"/>
      <c r="K78" s="493"/>
      <c r="L78" s="493"/>
      <c r="M78" s="493"/>
    </row>
    <row r="79" spans="1:14" x14ac:dyDescent="0.25">
      <c r="A79" s="493"/>
      <c r="B79" s="493"/>
      <c r="C79" s="493"/>
      <c r="D79" s="493"/>
      <c r="E79" s="493"/>
      <c r="F79" s="493"/>
      <c r="G79" s="493"/>
      <c r="H79" s="493"/>
      <c r="I79" s="493"/>
      <c r="J79" s="493"/>
      <c r="K79" s="493"/>
      <c r="L79" s="493"/>
      <c r="M79" s="493"/>
    </row>
    <row r="80" spans="1:14" x14ac:dyDescent="0.25">
      <c r="A80" s="493"/>
      <c r="B80" s="493"/>
      <c r="C80" s="493"/>
      <c r="D80" s="493"/>
      <c r="E80" s="493"/>
      <c r="F80" s="493"/>
      <c r="G80" s="493"/>
      <c r="H80" s="493"/>
      <c r="I80" s="493"/>
      <c r="J80" s="493"/>
      <c r="K80" s="493"/>
      <c r="L80" s="493"/>
      <c r="M80" s="493"/>
    </row>
    <row r="81" spans="1:14" x14ac:dyDescent="0.25">
      <c r="A81" s="493"/>
      <c r="B81" s="493"/>
      <c r="C81" s="493"/>
      <c r="D81" s="493"/>
      <c r="E81" s="493"/>
      <c r="F81" s="493"/>
      <c r="G81" s="493"/>
      <c r="H81" s="493"/>
      <c r="I81" s="493"/>
      <c r="J81" s="493"/>
      <c r="K81" s="493"/>
      <c r="L81" s="493"/>
      <c r="M81" s="493"/>
    </row>
    <row r="82" spans="1:14" x14ac:dyDescent="0.25">
      <c r="A82" s="493"/>
      <c r="B82" s="493"/>
      <c r="C82" s="493"/>
      <c r="D82" s="493"/>
      <c r="E82" s="493"/>
      <c r="F82" s="493"/>
      <c r="G82" s="493"/>
      <c r="H82" s="493"/>
      <c r="I82" s="493"/>
      <c r="J82" s="493"/>
      <c r="K82" s="493"/>
      <c r="L82" s="493"/>
      <c r="M82" s="493"/>
    </row>
    <row r="83" spans="1:14" x14ac:dyDescent="0.25">
      <c r="A83" s="493"/>
      <c r="B83" s="493"/>
      <c r="C83" s="493"/>
      <c r="D83" s="493"/>
      <c r="E83" s="493"/>
      <c r="F83" s="493"/>
      <c r="G83" s="493"/>
      <c r="H83" s="493"/>
      <c r="I83" s="493"/>
      <c r="J83" s="493"/>
      <c r="K83" s="493"/>
      <c r="L83" s="493"/>
      <c r="M83" s="493"/>
    </row>
    <row r="84" spans="1:14" x14ac:dyDescent="0.25">
      <c r="A84" s="493"/>
      <c r="B84" s="493"/>
      <c r="C84" s="493"/>
      <c r="D84" s="493"/>
      <c r="E84" s="493"/>
      <c r="F84" s="493"/>
      <c r="G84" s="493"/>
      <c r="H84" s="493"/>
      <c r="I84" s="493"/>
      <c r="J84" s="493"/>
      <c r="K84" s="493"/>
      <c r="L84" s="493"/>
      <c r="M84" s="493"/>
    </row>
    <row r="85" spans="1:14" x14ac:dyDescent="0.25">
      <c r="A85" s="493"/>
      <c r="B85" s="493"/>
      <c r="C85" s="493"/>
      <c r="D85" s="493"/>
      <c r="E85" s="493"/>
      <c r="F85" s="493"/>
      <c r="G85" s="493"/>
      <c r="H85" s="493"/>
      <c r="I85" s="493"/>
      <c r="J85" s="493"/>
      <c r="K85" s="493"/>
      <c r="L85" s="493"/>
      <c r="M85" s="493"/>
      <c r="N85" s="493"/>
    </row>
    <row r="86" spans="1:14" x14ac:dyDescent="0.25">
      <c r="A86" s="493"/>
      <c r="B86" s="493"/>
      <c r="C86" s="493"/>
      <c r="D86" s="493"/>
      <c r="E86" s="493"/>
      <c r="F86" s="493"/>
      <c r="G86" s="493"/>
      <c r="H86" s="493"/>
      <c r="I86" s="493"/>
      <c r="J86" s="493"/>
      <c r="K86" s="493"/>
      <c r="L86" s="493"/>
      <c r="M86" s="493"/>
      <c r="N86" s="493"/>
    </row>
    <row r="87" spans="1:14" x14ac:dyDescent="0.25">
      <c r="A87" s="493"/>
      <c r="B87" s="493"/>
      <c r="C87" s="493"/>
      <c r="D87" s="493"/>
      <c r="E87" s="493"/>
      <c r="F87" s="493"/>
      <c r="G87" s="493"/>
      <c r="H87" s="493"/>
      <c r="I87" s="493"/>
      <c r="J87" s="493"/>
      <c r="K87" s="493"/>
      <c r="L87" s="493"/>
      <c r="M87" s="493"/>
      <c r="N87" s="493"/>
    </row>
    <row r="88" spans="1:14" x14ac:dyDescent="0.25">
      <c r="A88" s="493"/>
      <c r="B88" s="493"/>
      <c r="C88" s="493"/>
      <c r="D88" s="493"/>
      <c r="E88" s="493"/>
      <c r="F88" s="493"/>
      <c r="G88" s="493"/>
      <c r="H88" s="493"/>
      <c r="I88" s="493"/>
      <c r="J88" s="493"/>
      <c r="K88" s="493"/>
      <c r="L88" s="493"/>
      <c r="M88" s="493"/>
      <c r="N88" s="493"/>
    </row>
    <row r="89" spans="1:14" x14ac:dyDescent="0.25">
      <c r="A89" s="493"/>
      <c r="B89" s="493"/>
      <c r="C89" s="493"/>
      <c r="D89" s="493"/>
      <c r="E89" s="493"/>
      <c r="F89" s="493"/>
      <c r="G89" s="493"/>
      <c r="H89" s="493"/>
      <c r="I89" s="493"/>
      <c r="J89" s="493"/>
      <c r="K89" s="493"/>
      <c r="L89" s="493"/>
      <c r="M89" s="493"/>
    </row>
    <row r="90" spans="1:14" x14ac:dyDescent="0.25">
      <c r="A90" s="493"/>
      <c r="B90" s="493"/>
      <c r="C90" s="493"/>
      <c r="D90" s="493"/>
      <c r="E90" s="493"/>
      <c r="F90" s="493"/>
      <c r="G90" s="493"/>
      <c r="H90" s="493"/>
      <c r="I90" s="493"/>
      <c r="J90" s="493"/>
      <c r="K90" s="493"/>
      <c r="L90" s="493"/>
      <c r="M90" s="493"/>
    </row>
    <row r="91" spans="1:14" x14ac:dyDescent="0.25">
      <c r="A91" s="493"/>
      <c r="B91" s="493"/>
      <c r="C91" s="493"/>
      <c r="D91" s="493"/>
      <c r="E91" s="493"/>
      <c r="F91" s="493"/>
      <c r="G91" s="493"/>
      <c r="H91" s="493"/>
      <c r="I91" s="493"/>
      <c r="J91" s="493"/>
      <c r="K91" s="493"/>
      <c r="L91" s="493"/>
      <c r="M91" s="493"/>
    </row>
    <row r="92" spans="1:14" x14ac:dyDescent="0.25">
      <c r="A92" s="493"/>
      <c r="B92" s="493"/>
      <c r="C92" s="493"/>
      <c r="D92" s="493"/>
      <c r="E92" s="493"/>
      <c r="F92" s="493"/>
      <c r="G92" s="493"/>
      <c r="H92" s="493"/>
      <c r="I92" s="493"/>
      <c r="J92" s="493"/>
      <c r="K92" s="493"/>
      <c r="L92" s="493"/>
      <c r="M92" s="493"/>
    </row>
    <row r="93" spans="1:14" x14ac:dyDescent="0.25">
      <c r="A93" s="493"/>
      <c r="B93" s="493"/>
      <c r="C93" s="493"/>
      <c r="D93" s="493"/>
      <c r="E93" s="493"/>
      <c r="F93" s="493"/>
      <c r="G93" s="493"/>
      <c r="H93" s="493"/>
      <c r="I93" s="493"/>
      <c r="J93" s="493"/>
      <c r="K93" s="493"/>
      <c r="L93" s="493"/>
      <c r="M93" s="493"/>
    </row>
    <row r="94" spans="1:14" x14ac:dyDescent="0.25">
      <c r="A94" s="493"/>
      <c r="B94" s="493"/>
      <c r="C94" s="493"/>
      <c r="D94" s="493"/>
      <c r="E94" s="493"/>
      <c r="F94" s="493"/>
      <c r="G94" s="493"/>
      <c r="H94" s="493"/>
      <c r="I94" s="493"/>
      <c r="J94" s="493"/>
      <c r="K94" s="493"/>
      <c r="L94" s="493"/>
      <c r="M94" s="493"/>
    </row>
    <row r="95" spans="1:14" x14ac:dyDescent="0.25">
      <c r="A95" s="493"/>
      <c r="B95" s="493"/>
      <c r="C95" s="493"/>
      <c r="D95" s="493"/>
      <c r="E95" s="493"/>
      <c r="F95" s="493"/>
      <c r="G95" s="493"/>
      <c r="H95" s="493"/>
      <c r="I95" s="493"/>
      <c r="J95" s="493"/>
      <c r="K95" s="493"/>
      <c r="L95" s="493"/>
      <c r="M95" s="493"/>
    </row>
    <row r="96" spans="1:14" x14ac:dyDescent="0.25">
      <c r="A96" s="493"/>
      <c r="B96" s="493"/>
      <c r="C96" s="493"/>
      <c r="D96" s="493"/>
      <c r="E96" s="493"/>
      <c r="F96" s="493"/>
      <c r="G96" s="493"/>
      <c r="H96" s="493"/>
      <c r="I96" s="493"/>
      <c r="J96" s="493"/>
      <c r="K96" s="493"/>
      <c r="L96" s="493"/>
      <c r="M96" s="493"/>
    </row>
    <row r="97" spans="1:13" x14ac:dyDescent="0.25">
      <c r="A97" s="493"/>
      <c r="B97" s="493"/>
      <c r="C97" s="493"/>
      <c r="D97" s="493"/>
      <c r="E97" s="493"/>
      <c r="F97" s="493"/>
      <c r="G97" s="493"/>
      <c r="H97" s="493"/>
      <c r="I97" s="493"/>
      <c r="J97" s="493"/>
      <c r="K97" s="493"/>
      <c r="L97" s="493"/>
      <c r="M97" s="493"/>
    </row>
    <row r="98" spans="1:13" x14ac:dyDescent="0.25">
      <c r="A98" s="493"/>
      <c r="B98" s="493"/>
      <c r="C98" s="493"/>
      <c r="D98" s="493"/>
      <c r="E98" s="493"/>
      <c r="F98" s="493"/>
      <c r="G98" s="493"/>
      <c r="H98" s="493"/>
      <c r="I98" s="493"/>
      <c r="J98" s="493"/>
      <c r="K98" s="493"/>
      <c r="L98" s="493"/>
      <c r="M98" s="493"/>
    </row>
    <row r="99" spans="1:13" x14ac:dyDescent="0.25">
      <c r="A99" s="493"/>
      <c r="B99" s="493"/>
      <c r="C99" s="493"/>
      <c r="D99" s="493"/>
      <c r="E99" s="493"/>
      <c r="F99" s="493"/>
      <c r="G99" s="493"/>
      <c r="H99" s="493"/>
      <c r="I99" s="493"/>
      <c r="J99" s="493"/>
      <c r="K99" s="493"/>
      <c r="L99" s="493"/>
      <c r="M99" s="493"/>
    </row>
    <row r="100" spans="1:13" x14ac:dyDescent="0.25">
      <c r="A100" s="493"/>
      <c r="B100" s="493"/>
      <c r="C100" s="493"/>
      <c r="D100" s="493"/>
      <c r="E100" s="493"/>
      <c r="F100" s="493"/>
      <c r="G100" s="493"/>
      <c r="H100" s="493"/>
      <c r="I100" s="493"/>
      <c r="J100" s="493"/>
      <c r="K100" s="493"/>
      <c r="L100" s="493"/>
      <c r="M100" s="493"/>
    </row>
    <row r="101" spans="1:13" x14ac:dyDescent="0.25">
      <c r="A101" s="493"/>
      <c r="B101" s="493"/>
      <c r="C101" s="493"/>
      <c r="D101" s="493"/>
      <c r="E101" s="493"/>
      <c r="F101" s="493"/>
      <c r="G101" s="493"/>
      <c r="H101" s="493"/>
      <c r="I101" s="493"/>
      <c r="J101" s="493"/>
      <c r="K101" s="493"/>
      <c r="L101" s="493"/>
      <c r="M101" s="493"/>
    </row>
    <row r="102" spans="1:13" x14ac:dyDescent="0.25">
      <c r="A102" s="493"/>
      <c r="B102" s="493"/>
      <c r="C102" s="493"/>
      <c r="D102" s="493"/>
      <c r="E102" s="493"/>
      <c r="F102" s="493"/>
      <c r="G102" s="493"/>
      <c r="H102" s="493"/>
      <c r="I102" s="493"/>
      <c r="J102" s="493"/>
      <c r="K102" s="493"/>
      <c r="L102" s="493"/>
      <c r="M102" s="493"/>
    </row>
    <row r="103" spans="1:13" x14ac:dyDescent="0.25">
      <c r="A103" s="493"/>
      <c r="B103" s="493"/>
      <c r="C103" s="493"/>
      <c r="D103" s="493"/>
      <c r="E103" s="493"/>
      <c r="F103" s="493"/>
      <c r="G103" s="493"/>
      <c r="H103" s="493"/>
      <c r="I103" s="493"/>
      <c r="J103" s="493"/>
      <c r="K103" s="493"/>
      <c r="L103" s="493"/>
      <c r="M103" s="493"/>
    </row>
    <row r="104" spans="1:13" x14ac:dyDescent="0.25">
      <c r="A104" s="493"/>
      <c r="B104" s="493"/>
      <c r="C104" s="493"/>
      <c r="D104" s="493"/>
      <c r="E104" s="493"/>
      <c r="F104" s="493"/>
      <c r="G104" s="493"/>
      <c r="H104" s="493"/>
      <c r="I104" s="493"/>
      <c r="J104" s="493"/>
      <c r="K104" s="493"/>
      <c r="L104" s="493"/>
      <c r="M104" s="493"/>
    </row>
    <row r="105" spans="1:13" x14ac:dyDescent="0.25">
      <c r="A105" s="493"/>
      <c r="B105" s="493"/>
      <c r="C105" s="493"/>
      <c r="D105" s="493"/>
      <c r="E105" s="493"/>
      <c r="F105" s="493"/>
      <c r="G105" s="493"/>
      <c r="H105" s="493"/>
      <c r="I105" s="493"/>
      <c r="J105" s="493"/>
      <c r="K105" s="493"/>
      <c r="L105" s="493"/>
      <c r="M105" s="493"/>
    </row>
    <row r="106" spans="1:13" x14ac:dyDescent="0.25">
      <c r="A106" s="493"/>
      <c r="B106" s="493"/>
      <c r="C106" s="493"/>
      <c r="D106" s="493"/>
      <c r="E106" s="493"/>
      <c r="F106" s="493"/>
      <c r="G106" s="493"/>
      <c r="H106" s="493"/>
      <c r="I106" s="493"/>
      <c r="J106" s="493"/>
      <c r="K106" s="493"/>
      <c r="L106" s="493"/>
      <c r="M106" s="493"/>
    </row>
    <row r="107" spans="1:13" x14ac:dyDescent="0.25">
      <c r="A107" s="493"/>
      <c r="B107" s="493"/>
      <c r="C107" s="493"/>
      <c r="D107" s="493"/>
      <c r="E107" s="493"/>
      <c r="F107" s="493"/>
      <c r="G107" s="493"/>
      <c r="H107" s="493"/>
      <c r="I107" s="493"/>
      <c r="J107" s="493"/>
      <c r="K107" s="493"/>
      <c r="L107" s="493"/>
      <c r="M107" s="493"/>
    </row>
    <row r="108" spans="1:13" x14ac:dyDescent="0.25">
      <c r="A108" s="493"/>
      <c r="B108" s="493"/>
      <c r="C108" s="493"/>
      <c r="D108" s="493"/>
      <c r="E108" s="493"/>
      <c r="F108" s="493"/>
      <c r="G108" s="493"/>
      <c r="H108" s="493"/>
      <c r="I108" s="493"/>
      <c r="J108" s="493"/>
      <c r="K108" s="493"/>
      <c r="L108" s="493"/>
      <c r="M108" s="493"/>
    </row>
    <row r="109" spans="1:13" x14ac:dyDescent="0.25">
      <c r="A109" s="493"/>
      <c r="B109" s="493"/>
      <c r="C109" s="493"/>
      <c r="D109" s="493"/>
      <c r="E109" s="493"/>
      <c r="F109" s="493"/>
      <c r="G109" s="493"/>
      <c r="H109" s="493"/>
      <c r="I109" s="493"/>
      <c r="J109" s="493"/>
      <c r="K109" s="493"/>
      <c r="L109" s="493"/>
      <c r="M109" s="493"/>
    </row>
    <row r="110" spans="1:13" x14ac:dyDescent="0.25">
      <c r="A110" s="493"/>
      <c r="B110" s="493"/>
      <c r="C110" s="493"/>
      <c r="D110" s="493"/>
      <c r="E110" s="493"/>
      <c r="F110" s="493"/>
      <c r="G110" s="493"/>
      <c r="H110" s="493"/>
      <c r="I110" s="493"/>
      <c r="J110" s="493"/>
      <c r="K110" s="493"/>
      <c r="L110" s="493"/>
      <c r="M110" s="493"/>
    </row>
    <row r="111" spans="1:13" x14ac:dyDescent="0.25">
      <c r="A111" s="493"/>
      <c r="B111" s="493"/>
      <c r="C111" s="493"/>
      <c r="D111" s="493"/>
      <c r="E111" s="493"/>
      <c r="F111" s="493"/>
      <c r="G111" s="493"/>
      <c r="H111" s="493"/>
      <c r="I111" s="493"/>
      <c r="J111" s="493"/>
      <c r="K111" s="493"/>
      <c r="L111" s="493"/>
      <c r="M111" s="493"/>
    </row>
    <row r="112" spans="1:13" x14ac:dyDescent="0.25">
      <c r="A112" s="493"/>
      <c r="B112" s="493"/>
      <c r="C112" s="493"/>
      <c r="D112" s="493"/>
      <c r="E112" s="493"/>
      <c r="F112" s="493"/>
      <c r="G112" s="493"/>
      <c r="H112" s="493"/>
      <c r="I112" s="493"/>
      <c r="J112" s="493"/>
      <c r="K112" s="493"/>
      <c r="L112" s="493"/>
      <c r="M112" s="493"/>
    </row>
    <row r="113" spans="1:13" x14ac:dyDescent="0.25">
      <c r="A113" s="493"/>
      <c r="B113" s="493"/>
      <c r="C113" s="493"/>
      <c r="D113" s="493"/>
      <c r="E113" s="493"/>
      <c r="F113" s="493"/>
      <c r="G113" s="493"/>
      <c r="H113" s="493"/>
      <c r="I113" s="493"/>
      <c r="J113" s="493"/>
      <c r="K113" s="493"/>
      <c r="L113" s="493"/>
      <c r="M113" s="493"/>
    </row>
    <row r="114" spans="1:13" x14ac:dyDescent="0.25">
      <c r="A114" s="493"/>
      <c r="B114" s="493"/>
      <c r="C114" s="493"/>
      <c r="D114" s="493"/>
      <c r="E114" s="493"/>
      <c r="F114" s="493"/>
      <c r="G114" s="493"/>
      <c r="H114" s="493"/>
      <c r="I114" s="493"/>
      <c r="J114" s="493"/>
      <c r="K114" s="493"/>
      <c r="L114" s="493"/>
      <c r="M114" s="493"/>
    </row>
    <row r="115" spans="1:13" x14ac:dyDescent="0.25">
      <c r="A115" s="493"/>
      <c r="B115" s="493"/>
      <c r="C115" s="493"/>
      <c r="D115" s="493"/>
      <c r="E115" s="493"/>
      <c r="F115" s="493"/>
      <c r="G115" s="493"/>
      <c r="H115" s="493"/>
      <c r="I115" s="493"/>
      <c r="J115" s="493"/>
      <c r="K115" s="493"/>
      <c r="L115" s="493"/>
      <c r="M115" s="493"/>
    </row>
    <row r="116" spans="1:13" x14ac:dyDescent="0.25">
      <c r="A116" s="493"/>
      <c r="B116" s="493"/>
      <c r="C116" s="493"/>
      <c r="D116" s="493"/>
      <c r="E116" s="493"/>
      <c r="F116" s="493"/>
      <c r="G116" s="493"/>
      <c r="H116" s="493"/>
      <c r="I116" s="493"/>
      <c r="J116" s="493"/>
      <c r="K116" s="493"/>
      <c r="L116" s="493"/>
      <c r="M116" s="493"/>
    </row>
    <row r="117" spans="1:13" x14ac:dyDescent="0.25">
      <c r="A117" s="493"/>
      <c r="B117" s="493"/>
      <c r="C117" s="493"/>
      <c r="D117" s="493"/>
      <c r="E117" s="493"/>
      <c r="F117" s="493"/>
      <c r="G117" s="493"/>
      <c r="H117" s="493"/>
      <c r="I117" s="493"/>
      <c r="J117" s="493"/>
      <c r="K117" s="493"/>
      <c r="L117" s="493"/>
      <c r="M117" s="493"/>
    </row>
    <row r="118" spans="1:13" x14ac:dyDescent="0.25">
      <c r="A118" s="493"/>
      <c r="B118" s="493"/>
      <c r="C118" s="493"/>
      <c r="D118" s="493"/>
      <c r="E118" s="493"/>
      <c r="F118" s="493"/>
      <c r="G118" s="493"/>
      <c r="H118" s="493"/>
      <c r="I118" s="493"/>
      <c r="J118" s="493"/>
      <c r="K118" s="493"/>
      <c r="L118" s="493"/>
      <c r="M118" s="493"/>
    </row>
    <row r="119" spans="1:13" x14ac:dyDescent="0.25">
      <c r="A119" s="493"/>
      <c r="B119" s="493"/>
      <c r="C119" s="493"/>
      <c r="D119" s="493"/>
      <c r="E119" s="493"/>
      <c r="F119" s="493"/>
      <c r="G119" s="493"/>
      <c r="H119" s="493"/>
      <c r="I119" s="493"/>
      <c r="J119" s="493"/>
      <c r="K119" s="493"/>
      <c r="L119" s="493"/>
      <c r="M119" s="493"/>
    </row>
    <row r="120" spans="1:13" x14ac:dyDescent="0.25">
      <c r="A120" s="493"/>
      <c r="B120" s="493"/>
      <c r="C120" s="493"/>
      <c r="D120" s="493"/>
      <c r="E120" s="493"/>
      <c r="F120" s="493"/>
      <c r="G120" s="493"/>
      <c r="H120" s="493"/>
      <c r="I120" s="493"/>
      <c r="J120" s="493"/>
      <c r="K120" s="493"/>
      <c r="L120" s="493"/>
      <c r="M120" s="493"/>
    </row>
    <row r="121" spans="1:13" x14ac:dyDescent="0.25">
      <c r="A121" s="493"/>
      <c r="B121" s="493"/>
      <c r="C121" s="493"/>
      <c r="D121" s="493"/>
      <c r="E121" s="493"/>
      <c r="F121" s="493"/>
      <c r="G121" s="493"/>
      <c r="H121" s="493"/>
      <c r="I121" s="493"/>
      <c r="J121" s="493"/>
      <c r="K121" s="493"/>
      <c r="L121" s="493"/>
      <c r="M121" s="493"/>
    </row>
    <row r="122" spans="1:13" x14ac:dyDescent="0.25">
      <c r="A122" s="493"/>
      <c r="B122" s="493"/>
      <c r="C122" s="493"/>
      <c r="D122" s="493"/>
      <c r="E122" s="493"/>
      <c r="F122" s="493"/>
      <c r="G122" s="493"/>
      <c r="H122" s="493"/>
      <c r="I122" s="493"/>
      <c r="J122" s="493"/>
      <c r="K122" s="493"/>
      <c r="L122" s="493"/>
      <c r="M122" s="493"/>
    </row>
    <row r="123" spans="1:13" x14ac:dyDescent="0.25">
      <c r="A123" s="493"/>
      <c r="B123" s="493"/>
      <c r="C123" s="493"/>
      <c r="D123" s="493"/>
      <c r="E123" s="493"/>
      <c r="F123" s="493"/>
      <c r="G123" s="493"/>
      <c r="H123" s="493"/>
      <c r="I123" s="493"/>
      <c r="J123" s="493"/>
      <c r="K123" s="493"/>
      <c r="L123" s="493"/>
      <c r="M123" s="493"/>
    </row>
    <row r="124" spans="1:13" x14ac:dyDescent="0.25">
      <c r="A124" s="493"/>
      <c r="B124" s="493"/>
      <c r="C124" s="493"/>
      <c r="D124" s="493"/>
      <c r="E124" s="493"/>
      <c r="F124" s="493"/>
      <c r="G124" s="493"/>
      <c r="H124" s="493"/>
      <c r="I124" s="493"/>
      <c r="J124" s="493"/>
      <c r="K124" s="493"/>
      <c r="L124" s="493"/>
      <c r="M124" s="493"/>
    </row>
    <row r="125" spans="1:13" x14ac:dyDescent="0.25">
      <c r="A125" s="493"/>
      <c r="B125" s="493"/>
      <c r="C125" s="493"/>
      <c r="D125" s="493"/>
      <c r="E125" s="493"/>
      <c r="F125" s="493"/>
      <c r="G125" s="493"/>
      <c r="H125" s="493"/>
      <c r="I125" s="493"/>
      <c r="J125" s="493"/>
      <c r="K125" s="493"/>
      <c r="L125" s="493"/>
      <c r="M125" s="493"/>
    </row>
    <row r="126" spans="1:13" x14ac:dyDescent="0.25">
      <c r="A126" s="493"/>
      <c r="B126" s="493"/>
      <c r="C126" s="493"/>
      <c r="D126" s="493"/>
      <c r="E126" s="493"/>
      <c r="F126" s="493"/>
      <c r="G126" s="493"/>
      <c r="H126" s="493"/>
      <c r="I126" s="493"/>
      <c r="J126" s="493"/>
      <c r="K126" s="493"/>
      <c r="L126" s="493"/>
      <c r="M126" s="493"/>
    </row>
    <row r="127" spans="1:13" x14ac:dyDescent="0.25">
      <c r="A127" s="493"/>
      <c r="B127" s="493"/>
      <c r="C127" s="493"/>
      <c r="D127" s="493"/>
      <c r="E127" s="493"/>
      <c r="F127" s="493"/>
      <c r="G127" s="493"/>
      <c r="H127" s="493"/>
      <c r="I127" s="493"/>
      <c r="J127" s="493"/>
      <c r="K127" s="493"/>
      <c r="L127" s="493"/>
      <c r="M127" s="493"/>
    </row>
    <row r="128" spans="1:13" x14ac:dyDescent="0.25">
      <c r="A128" s="493"/>
      <c r="B128" s="493"/>
      <c r="C128" s="493"/>
      <c r="D128" s="493"/>
      <c r="E128" s="493"/>
      <c r="F128" s="493"/>
      <c r="G128" s="493"/>
      <c r="H128" s="493"/>
      <c r="I128" s="493"/>
      <c r="J128" s="493"/>
      <c r="K128" s="493"/>
      <c r="L128" s="493"/>
      <c r="M128" s="493"/>
    </row>
    <row r="129" spans="1:13" x14ac:dyDescent="0.25">
      <c r="A129" s="493"/>
      <c r="B129" s="493"/>
      <c r="C129" s="493"/>
      <c r="D129" s="493"/>
      <c r="E129" s="493"/>
      <c r="F129" s="493"/>
      <c r="G129" s="493"/>
      <c r="H129" s="493"/>
      <c r="I129" s="493"/>
      <c r="J129" s="493"/>
      <c r="K129" s="493"/>
      <c r="L129" s="493"/>
      <c r="M129" s="493"/>
    </row>
    <row r="130" spans="1:13" x14ac:dyDescent="0.25">
      <c r="A130" s="493"/>
      <c r="B130" s="493"/>
      <c r="C130" s="493"/>
      <c r="D130" s="493"/>
      <c r="E130" s="493"/>
      <c r="F130" s="493"/>
      <c r="G130" s="493"/>
      <c r="H130" s="493"/>
      <c r="I130" s="493"/>
      <c r="J130" s="493"/>
      <c r="K130" s="493"/>
      <c r="L130" s="493"/>
      <c r="M130" s="493"/>
    </row>
    <row r="131" spans="1:13" x14ac:dyDescent="0.25">
      <c r="A131" s="493"/>
      <c r="B131" s="493"/>
      <c r="C131" s="493"/>
      <c r="D131" s="493"/>
      <c r="E131" s="493"/>
      <c r="F131" s="493"/>
      <c r="G131" s="493"/>
      <c r="H131" s="493"/>
      <c r="I131" s="493"/>
      <c r="J131" s="493"/>
      <c r="K131" s="493"/>
      <c r="L131" s="493"/>
      <c r="M131" s="493"/>
    </row>
    <row r="132" spans="1:13" x14ac:dyDescent="0.25">
      <c r="A132" s="493"/>
      <c r="B132" s="493"/>
      <c r="C132" s="493"/>
      <c r="D132" s="493"/>
      <c r="E132" s="493"/>
      <c r="F132" s="493"/>
      <c r="G132" s="493"/>
      <c r="H132" s="493"/>
      <c r="I132" s="493"/>
      <c r="J132" s="493"/>
      <c r="K132" s="493"/>
      <c r="L132" s="493"/>
      <c r="M132" s="493"/>
    </row>
    <row r="133" spans="1:13" x14ac:dyDescent="0.25">
      <c r="A133" s="493"/>
      <c r="B133" s="493"/>
      <c r="C133" s="493"/>
      <c r="D133" s="493"/>
      <c r="E133" s="493"/>
      <c r="F133" s="493"/>
      <c r="G133" s="493"/>
      <c r="H133" s="493"/>
      <c r="I133" s="493"/>
      <c r="J133" s="493"/>
      <c r="K133" s="493"/>
      <c r="L133" s="493"/>
      <c r="M133" s="493"/>
    </row>
    <row r="134" spans="1:13" x14ac:dyDescent="0.25">
      <c r="A134" s="493"/>
      <c r="B134" s="493"/>
      <c r="C134" s="493"/>
      <c r="D134" s="493"/>
      <c r="E134" s="493"/>
      <c r="F134" s="493"/>
      <c r="G134" s="493"/>
      <c r="H134" s="493"/>
      <c r="I134" s="493"/>
      <c r="J134" s="493"/>
      <c r="K134" s="493"/>
      <c r="L134" s="493"/>
      <c r="M134" s="493"/>
    </row>
    <row r="135" spans="1:13" x14ac:dyDescent="0.25">
      <c r="A135" s="493"/>
      <c r="B135" s="493"/>
      <c r="C135" s="493"/>
      <c r="D135" s="493"/>
      <c r="E135" s="493"/>
      <c r="F135" s="493"/>
      <c r="G135" s="493"/>
      <c r="H135" s="493"/>
      <c r="I135" s="493"/>
      <c r="J135" s="493"/>
      <c r="K135" s="493"/>
      <c r="L135" s="493"/>
      <c r="M135" s="493"/>
    </row>
    <row r="136" spans="1:13" x14ac:dyDescent="0.25">
      <c r="A136" s="493"/>
      <c r="B136" s="493"/>
      <c r="C136" s="493"/>
      <c r="D136" s="493"/>
      <c r="E136" s="493"/>
      <c r="F136" s="493"/>
      <c r="G136" s="493"/>
      <c r="H136" s="493"/>
      <c r="I136" s="493"/>
      <c r="J136" s="493"/>
      <c r="K136" s="493"/>
      <c r="L136" s="493"/>
      <c r="M136" s="493"/>
    </row>
    <row r="137" spans="1:13" x14ac:dyDescent="0.25">
      <c r="A137" s="493"/>
      <c r="B137" s="493"/>
      <c r="C137" s="493"/>
      <c r="D137" s="493"/>
      <c r="E137" s="493"/>
      <c r="F137" s="493"/>
      <c r="G137" s="493"/>
      <c r="H137" s="493"/>
      <c r="I137" s="493"/>
      <c r="J137" s="493"/>
      <c r="K137" s="493"/>
      <c r="L137" s="493"/>
      <c r="M137" s="493"/>
    </row>
    <row r="138" spans="1:13" x14ac:dyDescent="0.25">
      <c r="A138" s="493"/>
      <c r="B138" s="493"/>
      <c r="C138" s="493"/>
      <c r="D138" s="493"/>
      <c r="E138" s="493"/>
      <c r="F138" s="493"/>
      <c r="G138" s="493"/>
      <c r="H138" s="493"/>
      <c r="I138" s="493"/>
      <c r="J138" s="493"/>
      <c r="K138" s="493"/>
      <c r="L138" s="493"/>
      <c r="M138" s="493"/>
    </row>
    <row r="139" spans="1:13" x14ac:dyDescent="0.25">
      <c r="A139" s="493"/>
      <c r="B139" s="493"/>
      <c r="C139" s="493"/>
      <c r="D139" s="493"/>
      <c r="E139" s="493"/>
      <c r="F139" s="493"/>
      <c r="G139" s="493"/>
      <c r="H139" s="493"/>
      <c r="I139" s="493"/>
      <c r="J139" s="493"/>
      <c r="K139" s="493"/>
      <c r="L139" s="493"/>
      <c r="M139" s="493"/>
    </row>
    <row r="140" spans="1:13" x14ac:dyDescent="0.25">
      <c r="A140" s="493"/>
      <c r="B140" s="493"/>
      <c r="C140" s="493"/>
      <c r="D140" s="493"/>
      <c r="E140" s="493"/>
      <c r="F140" s="493"/>
      <c r="G140" s="493"/>
      <c r="H140" s="493"/>
      <c r="I140" s="493"/>
      <c r="J140" s="493"/>
      <c r="K140" s="493"/>
      <c r="L140" s="493"/>
      <c r="M140" s="493"/>
    </row>
    <row r="141" spans="1:13" x14ac:dyDescent="0.25">
      <c r="A141" s="493"/>
      <c r="B141" s="493"/>
      <c r="C141" s="493"/>
      <c r="D141" s="493"/>
      <c r="E141" s="493"/>
      <c r="F141" s="493"/>
      <c r="G141" s="493"/>
      <c r="H141" s="493"/>
      <c r="I141" s="493"/>
      <c r="J141" s="493"/>
      <c r="K141" s="493"/>
      <c r="L141" s="493"/>
      <c r="M141" s="493"/>
    </row>
    <row r="142" spans="1:13" x14ac:dyDescent="0.25">
      <c r="A142" s="493"/>
      <c r="B142" s="493"/>
      <c r="C142" s="493"/>
      <c r="D142" s="493"/>
      <c r="E142" s="493"/>
      <c r="F142" s="493"/>
      <c r="G142" s="493"/>
      <c r="H142" s="493"/>
      <c r="I142" s="493"/>
      <c r="J142" s="493"/>
      <c r="K142" s="493"/>
      <c r="L142" s="493"/>
      <c r="M142" s="493"/>
    </row>
    <row r="143" spans="1:13" x14ac:dyDescent="0.25">
      <c r="A143" s="493"/>
      <c r="B143" s="493"/>
      <c r="C143" s="493"/>
      <c r="D143" s="493"/>
      <c r="E143" s="493"/>
      <c r="F143" s="493"/>
      <c r="G143" s="493"/>
      <c r="H143" s="493"/>
      <c r="I143" s="493"/>
      <c r="J143" s="493"/>
      <c r="K143" s="493"/>
      <c r="L143" s="493"/>
      <c r="M143" s="493"/>
    </row>
    <row r="144" spans="1:13" x14ac:dyDescent="0.25">
      <c r="A144" s="493"/>
      <c r="B144" s="493"/>
      <c r="C144" s="493"/>
      <c r="D144" s="493"/>
      <c r="E144" s="493"/>
      <c r="F144" s="493"/>
      <c r="G144" s="493"/>
      <c r="H144" s="493"/>
      <c r="I144" s="493"/>
      <c r="J144" s="493"/>
      <c r="K144" s="493"/>
      <c r="L144" s="493"/>
      <c r="M144" s="493"/>
    </row>
    <row r="145" spans="1:13" x14ac:dyDescent="0.25">
      <c r="A145" s="493"/>
      <c r="B145" s="493"/>
      <c r="C145" s="493"/>
      <c r="D145" s="493"/>
      <c r="E145" s="493"/>
      <c r="F145" s="493"/>
      <c r="G145" s="493"/>
      <c r="H145" s="493"/>
      <c r="I145" s="493"/>
      <c r="J145" s="493"/>
      <c r="K145" s="493"/>
      <c r="L145" s="493"/>
      <c r="M145" s="493"/>
    </row>
    <row r="146" spans="1:13" x14ac:dyDescent="0.25">
      <c r="A146" s="493"/>
      <c r="B146" s="493"/>
      <c r="C146" s="493"/>
      <c r="D146" s="493"/>
      <c r="E146" s="493"/>
      <c r="F146" s="493"/>
      <c r="G146" s="493"/>
      <c r="H146" s="493"/>
      <c r="I146" s="493"/>
      <c r="J146" s="493"/>
      <c r="K146" s="493"/>
      <c r="L146" s="493"/>
      <c r="M146" s="493"/>
    </row>
    <row r="147" spans="1:13" x14ac:dyDescent="0.25">
      <c r="A147" s="493"/>
      <c r="B147" s="493"/>
      <c r="C147" s="493"/>
      <c r="D147" s="493"/>
      <c r="E147" s="493"/>
      <c r="F147" s="493"/>
      <c r="G147" s="493"/>
      <c r="H147" s="493"/>
      <c r="I147" s="493"/>
      <c r="J147" s="493"/>
      <c r="K147" s="493"/>
      <c r="L147" s="493"/>
      <c r="M147" s="493"/>
    </row>
    <row r="148" spans="1:13" x14ac:dyDescent="0.25">
      <c r="A148" s="493"/>
      <c r="B148" s="493"/>
      <c r="C148" s="493"/>
      <c r="D148" s="493"/>
      <c r="E148" s="493"/>
      <c r="F148" s="493"/>
      <c r="G148" s="493"/>
      <c r="H148" s="493"/>
      <c r="I148" s="493"/>
      <c r="J148" s="493"/>
      <c r="K148" s="493"/>
      <c r="L148" s="493"/>
      <c r="M148" s="493"/>
    </row>
    <row r="149" spans="1:13" x14ac:dyDescent="0.25">
      <c r="A149" s="493"/>
      <c r="B149" s="493"/>
      <c r="C149" s="493"/>
      <c r="D149" s="493"/>
      <c r="E149" s="493"/>
      <c r="F149" s="493"/>
      <c r="G149" s="493"/>
      <c r="H149" s="493"/>
      <c r="I149" s="493"/>
      <c r="J149" s="493"/>
      <c r="K149" s="493"/>
      <c r="L149" s="493"/>
      <c r="M149" s="493"/>
    </row>
    <row r="150" spans="1:13" x14ac:dyDescent="0.25">
      <c r="A150" s="493"/>
      <c r="B150" s="493"/>
      <c r="C150" s="493"/>
      <c r="D150" s="493"/>
      <c r="E150" s="493"/>
      <c r="F150" s="493"/>
      <c r="G150" s="493"/>
      <c r="H150" s="493"/>
      <c r="I150" s="493"/>
      <c r="J150" s="493"/>
      <c r="K150" s="493"/>
      <c r="L150" s="493"/>
      <c r="M150" s="493"/>
    </row>
    <row r="151" spans="1:13" x14ac:dyDescent="0.25">
      <c r="A151" s="493"/>
      <c r="B151" s="493"/>
      <c r="C151" s="493"/>
      <c r="D151" s="493"/>
      <c r="E151" s="493"/>
      <c r="F151" s="493"/>
      <c r="G151" s="493"/>
      <c r="H151" s="493"/>
      <c r="I151" s="493"/>
      <c r="J151" s="493"/>
      <c r="K151" s="493"/>
      <c r="L151" s="493"/>
      <c r="M151" s="493"/>
    </row>
    <row r="152" spans="1:13" x14ac:dyDescent="0.25">
      <c r="A152" s="493"/>
      <c r="B152" s="493"/>
      <c r="C152" s="493"/>
      <c r="D152" s="493"/>
      <c r="E152" s="493"/>
      <c r="F152" s="493"/>
      <c r="G152" s="493"/>
      <c r="H152" s="493"/>
      <c r="I152" s="493"/>
      <c r="J152" s="493"/>
      <c r="K152" s="493"/>
      <c r="L152" s="493"/>
      <c r="M152" s="493"/>
    </row>
    <row r="153" spans="1:13" x14ac:dyDescent="0.25">
      <c r="A153" s="493"/>
      <c r="B153" s="493"/>
      <c r="C153" s="493"/>
      <c r="D153" s="493"/>
      <c r="E153" s="493"/>
      <c r="F153" s="493"/>
      <c r="G153" s="493"/>
      <c r="H153" s="493"/>
      <c r="I153" s="493"/>
      <c r="J153" s="493"/>
      <c r="K153" s="493"/>
      <c r="L153" s="493"/>
      <c r="M153" s="493"/>
    </row>
    <row r="154" spans="1:13" x14ac:dyDescent="0.25">
      <c r="A154" s="493"/>
      <c r="B154" s="493"/>
      <c r="C154" s="493"/>
      <c r="D154" s="493"/>
      <c r="E154" s="493"/>
      <c r="F154" s="493"/>
      <c r="G154" s="493"/>
      <c r="H154" s="493"/>
      <c r="I154" s="493"/>
      <c r="J154" s="493"/>
      <c r="K154" s="493"/>
      <c r="L154" s="493"/>
      <c r="M154" s="493"/>
    </row>
    <row r="155" spans="1:13" x14ac:dyDescent="0.25">
      <c r="A155" s="493"/>
      <c r="B155" s="493"/>
      <c r="C155" s="493"/>
      <c r="D155" s="493"/>
      <c r="E155" s="493"/>
      <c r="F155" s="493"/>
      <c r="G155" s="493"/>
      <c r="H155" s="493"/>
      <c r="I155" s="493"/>
      <c r="J155" s="493"/>
      <c r="K155" s="493"/>
      <c r="L155" s="493"/>
      <c r="M155" s="493"/>
    </row>
    <row r="156" spans="1:13" x14ac:dyDescent="0.25">
      <c r="A156" s="493"/>
      <c r="B156" s="493"/>
      <c r="C156" s="493"/>
      <c r="D156" s="493"/>
      <c r="E156" s="493"/>
      <c r="F156" s="493"/>
      <c r="G156" s="493"/>
      <c r="H156" s="493"/>
      <c r="I156" s="493"/>
      <c r="J156" s="493"/>
      <c r="K156" s="493"/>
      <c r="L156" s="493"/>
      <c r="M156" s="493"/>
    </row>
    <row r="157" spans="1:13" x14ac:dyDescent="0.25">
      <c r="A157" s="493"/>
      <c r="B157" s="493"/>
      <c r="C157" s="493"/>
      <c r="D157" s="493"/>
      <c r="E157" s="493"/>
      <c r="F157" s="493"/>
      <c r="G157" s="493"/>
      <c r="H157" s="493"/>
      <c r="I157" s="493"/>
      <c r="J157" s="493"/>
      <c r="K157" s="493"/>
      <c r="L157" s="493"/>
      <c r="M157" s="493"/>
    </row>
    <row r="158" spans="1:13" x14ac:dyDescent="0.25">
      <c r="A158" s="493"/>
      <c r="B158" s="493"/>
      <c r="C158" s="493"/>
      <c r="D158" s="493"/>
      <c r="E158" s="493"/>
      <c r="F158" s="493"/>
      <c r="G158" s="493"/>
      <c r="H158" s="493"/>
      <c r="I158" s="493"/>
      <c r="J158" s="493"/>
      <c r="K158" s="493"/>
      <c r="L158" s="493"/>
      <c r="M158" s="493"/>
    </row>
    <row r="159" spans="1:13" x14ac:dyDescent="0.25">
      <c r="A159" s="493"/>
      <c r="B159" s="493"/>
      <c r="C159" s="493"/>
      <c r="D159" s="493"/>
      <c r="E159" s="493"/>
      <c r="F159" s="493"/>
      <c r="G159" s="493"/>
      <c r="H159" s="493"/>
      <c r="I159" s="493"/>
      <c r="J159" s="493"/>
      <c r="K159" s="493"/>
      <c r="L159" s="493"/>
      <c r="M159" s="493"/>
    </row>
    <row r="160" spans="1:13" x14ac:dyDescent="0.25">
      <c r="A160" s="493"/>
      <c r="B160" s="493"/>
      <c r="C160" s="493"/>
      <c r="D160" s="493"/>
      <c r="E160" s="493"/>
      <c r="F160" s="493"/>
      <c r="G160" s="493"/>
      <c r="H160" s="493"/>
      <c r="I160" s="493"/>
      <c r="J160" s="493"/>
      <c r="K160" s="493"/>
      <c r="L160" s="493"/>
      <c r="M160" s="493"/>
    </row>
    <row r="161" spans="1:13" x14ac:dyDescent="0.25">
      <c r="A161" s="493"/>
      <c r="B161" s="493"/>
      <c r="C161" s="493"/>
      <c r="D161" s="493"/>
      <c r="E161" s="493"/>
      <c r="F161" s="493"/>
      <c r="G161" s="493"/>
      <c r="H161" s="493"/>
      <c r="I161" s="493"/>
      <c r="J161" s="493"/>
      <c r="K161" s="493"/>
      <c r="L161" s="493"/>
      <c r="M161" s="493"/>
    </row>
    <row r="162" spans="1:13" x14ac:dyDescent="0.25">
      <c r="A162" s="493"/>
      <c r="B162" s="493"/>
      <c r="C162" s="493"/>
      <c r="D162" s="493"/>
      <c r="E162" s="493"/>
      <c r="F162" s="493"/>
      <c r="G162" s="493"/>
      <c r="H162" s="493"/>
      <c r="I162" s="493"/>
      <c r="J162" s="493"/>
      <c r="K162" s="493"/>
      <c r="L162" s="493"/>
      <c r="M162" s="493"/>
    </row>
    <row r="163" spans="1:13" x14ac:dyDescent="0.25">
      <c r="A163" s="493"/>
      <c r="B163" s="493"/>
      <c r="C163" s="493"/>
      <c r="D163" s="493"/>
      <c r="E163" s="493"/>
      <c r="F163" s="493"/>
      <c r="G163" s="493"/>
      <c r="H163" s="493"/>
      <c r="I163" s="493"/>
      <c r="J163" s="493"/>
      <c r="K163" s="493"/>
      <c r="L163" s="493"/>
      <c r="M163" s="493"/>
    </row>
    <row r="164" spans="1:13" x14ac:dyDescent="0.25">
      <c r="A164" s="493"/>
      <c r="B164" s="493"/>
      <c r="C164" s="493"/>
      <c r="D164" s="493"/>
      <c r="E164" s="493"/>
      <c r="F164" s="493"/>
      <c r="G164" s="493"/>
      <c r="H164" s="493"/>
      <c r="I164" s="493"/>
      <c r="J164" s="493"/>
      <c r="K164" s="493"/>
      <c r="L164" s="493"/>
      <c r="M164" s="493"/>
    </row>
    <row r="165" spans="1:13" x14ac:dyDescent="0.25">
      <c r="A165" s="493"/>
      <c r="B165" s="493"/>
      <c r="C165" s="493"/>
      <c r="D165" s="493"/>
      <c r="E165" s="493"/>
      <c r="F165" s="493"/>
      <c r="G165" s="493"/>
      <c r="H165" s="493"/>
      <c r="I165" s="493"/>
      <c r="J165" s="493"/>
      <c r="K165" s="493"/>
      <c r="L165" s="493"/>
      <c r="M165" s="493"/>
    </row>
    <row r="166" spans="1:13" x14ac:dyDescent="0.25">
      <c r="A166" s="493"/>
      <c r="B166" s="493"/>
      <c r="C166" s="493"/>
      <c r="D166" s="493"/>
      <c r="E166" s="493"/>
      <c r="F166" s="493"/>
      <c r="G166" s="493"/>
      <c r="H166" s="493"/>
      <c r="I166" s="493"/>
      <c r="J166" s="493"/>
      <c r="K166" s="493"/>
      <c r="L166" s="493"/>
      <c r="M166" s="493"/>
    </row>
    <row r="167" spans="1:13" x14ac:dyDescent="0.25">
      <c r="A167" s="493"/>
      <c r="B167" s="493"/>
      <c r="C167" s="493"/>
      <c r="D167" s="493"/>
      <c r="E167" s="493"/>
      <c r="F167" s="493"/>
      <c r="G167" s="493"/>
      <c r="H167" s="493"/>
      <c r="I167" s="493"/>
      <c r="J167" s="493"/>
      <c r="K167" s="493"/>
      <c r="L167" s="493"/>
      <c r="M167" s="493"/>
    </row>
    <row r="168" spans="1:13" x14ac:dyDescent="0.25">
      <c r="A168" s="493"/>
      <c r="B168" s="493"/>
      <c r="C168" s="493"/>
      <c r="D168" s="493"/>
      <c r="E168" s="493"/>
      <c r="F168" s="493"/>
      <c r="G168" s="493"/>
      <c r="H168" s="493"/>
      <c r="I168" s="493"/>
      <c r="J168" s="493"/>
      <c r="K168" s="493"/>
      <c r="L168" s="493"/>
      <c r="M168" s="493"/>
    </row>
    <row r="169" spans="1:13" x14ac:dyDescent="0.25">
      <c r="A169" s="493"/>
      <c r="B169" s="493"/>
      <c r="C169" s="493"/>
      <c r="D169" s="493"/>
      <c r="E169" s="493"/>
      <c r="F169" s="493"/>
      <c r="G169" s="493"/>
      <c r="H169" s="493"/>
      <c r="I169" s="493"/>
      <c r="J169" s="493"/>
      <c r="K169" s="493"/>
      <c r="L169" s="493"/>
      <c r="M169" s="493"/>
    </row>
    <row r="170" spans="1:13" x14ac:dyDescent="0.25">
      <c r="A170" s="493"/>
      <c r="B170" s="493"/>
      <c r="C170" s="493"/>
      <c r="D170" s="493"/>
      <c r="E170" s="493"/>
      <c r="F170" s="493"/>
      <c r="G170" s="493"/>
      <c r="H170" s="493"/>
      <c r="I170" s="493"/>
      <c r="J170" s="493"/>
      <c r="K170" s="493"/>
      <c r="L170" s="493"/>
      <c r="M170" s="493"/>
    </row>
    <row r="171" spans="1:13" x14ac:dyDescent="0.25">
      <c r="A171" s="493"/>
      <c r="B171" s="493"/>
      <c r="C171" s="493"/>
      <c r="D171" s="493"/>
      <c r="E171" s="493"/>
      <c r="F171" s="493"/>
      <c r="G171" s="493"/>
      <c r="H171" s="493"/>
      <c r="I171" s="493"/>
      <c r="J171" s="493"/>
      <c r="K171" s="493"/>
      <c r="L171" s="493"/>
      <c r="M171" s="493"/>
    </row>
    <row r="172" spans="1:13" x14ac:dyDescent="0.25">
      <c r="A172" s="493"/>
      <c r="B172" s="493"/>
      <c r="C172" s="493"/>
      <c r="D172" s="493"/>
      <c r="E172" s="493"/>
      <c r="F172" s="493"/>
      <c r="G172" s="493"/>
      <c r="H172" s="493"/>
      <c r="I172" s="493"/>
      <c r="J172" s="493"/>
      <c r="K172" s="493"/>
      <c r="L172" s="493"/>
      <c r="M172" s="493"/>
    </row>
    <row r="173" spans="1:13" x14ac:dyDescent="0.25">
      <c r="A173" s="493"/>
      <c r="B173" s="493"/>
      <c r="C173" s="493"/>
      <c r="D173" s="493"/>
      <c r="E173" s="493"/>
      <c r="F173" s="493"/>
      <c r="G173" s="493"/>
      <c r="H173" s="493"/>
      <c r="I173" s="493"/>
      <c r="J173" s="493"/>
      <c r="K173" s="493"/>
      <c r="L173" s="493"/>
      <c r="M173" s="493"/>
    </row>
    <row r="174" spans="1:13" x14ac:dyDescent="0.25">
      <c r="A174" s="493"/>
      <c r="B174" s="493"/>
      <c r="C174" s="493"/>
      <c r="D174" s="493"/>
      <c r="E174" s="493"/>
      <c r="F174" s="493"/>
      <c r="G174" s="493"/>
      <c r="H174" s="493"/>
      <c r="I174" s="493"/>
      <c r="J174" s="493"/>
      <c r="K174" s="493"/>
      <c r="L174" s="493"/>
      <c r="M174" s="493"/>
    </row>
    <row r="175" spans="1:13" x14ac:dyDescent="0.25">
      <c r="A175" s="493"/>
      <c r="B175" s="493"/>
      <c r="C175" s="493"/>
      <c r="D175" s="493"/>
      <c r="E175" s="493"/>
      <c r="F175" s="493"/>
      <c r="G175" s="493"/>
      <c r="H175" s="493"/>
      <c r="I175" s="493"/>
      <c r="J175" s="493"/>
      <c r="K175" s="493"/>
      <c r="L175" s="493"/>
      <c r="M175" s="493"/>
    </row>
    <row r="176" spans="1:13" x14ac:dyDescent="0.25">
      <c r="A176" s="493"/>
      <c r="B176" s="493"/>
      <c r="C176" s="493"/>
      <c r="D176" s="493"/>
      <c r="E176" s="493"/>
      <c r="F176" s="493"/>
      <c r="G176" s="493"/>
      <c r="H176" s="493"/>
      <c r="I176" s="493"/>
      <c r="J176" s="493"/>
      <c r="K176" s="493"/>
      <c r="L176" s="493"/>
      <c r="M176" s="493"/>
    </row>
    <row r="177" spans="1:13" x14ac:dyDescent="0.25">
      <c r="A177" s="493"/>
      <c r="B177" s="493"/>
      <c r="C177" s="493"/>
      <c r="D177" s="493"/>
      <c r="E177" s="493"/>
      <c r="F177" s="493"/>
      <c r="G177" s="493"/>
      <c r="H177" s="493"/>
      <c r="I177" s="493"/>
      <c r="J177" s="493"/>
      <c r="K177" s="493"/>
      <c r="L177" s="493"/>
      <c r="M177" s="493"/>
    </row>
    <row r="178" spans="1:13" x14ac:dyDescent="0.25">
      <c r="A178" s="493"/>
      <c r="B178" s="493"/>
      <c r="C178" s="493"/>
      <c r="D178" s="493"/>
      <c r="E178" s="493"/>
      <c r="F178" s="493"/>
      <c r="G178" s="493"/>
      <c r="H178" s="493"/>
      <c r="I178" s="493"/>
      <c r="J178" s="493"/>
      <c r="K178" s="493"/>
      <c r="L178" s="493"/>
      <c r="M178" s="493"/>
    </row>
    <row r="179" spans="1:13" x14ac:dyDescent="0.25">
      <c r="A179" s="493"/>
      <c r="B179" s="493"/>
      <c r="C179" s="493"/>
      <c r="D179" s="493"/>
      <c r="E179" s="493"/>
      <c r="F179" s="493"/>
      <c r="G179" s="493"/>
      <c r="H179" s="493"/>
      <c r="I179" s="493"/>
      <c r="J179" s="493"/>
      <c r="K179" s="493"/>
      <c r="L179" s="493"/>
      <c r="M179" s="493"/>
    </row>
    <row r="180" spans="1:13" x14ac:dyDescent="0.25">
      <c r="A180" s="493"/>
      <c r="B180" s="493"/>
      <c r="C180" s="493"/>
      <c r="D180" s="493"/>
      <c r="E180" s="493"/>
      <c r="F180" s="493"/>
      <c r="G180" s="493"/>
      <c r="H180" s="493"/>
      <c r="I180" s="493"/>
      <c r="J180" s="493"/>
      <c r="K180" s="493"/>
      <c r="L180" s="493"/>
      <c r="M180" s="493"/>
    </row>
    <row r="181" spans="1:13" x14ac:dyDescent="0.25">
      <c r="A181" s="493"/>
      <c r="B181" s="493"/>
      <c r="C181" s="493"/>
      <c r="D181" s="493"/>
      <c r="E181" s="493"/>
      <c r="F181" s="493"/>
      <c r="G181" s="493"/>
      <c r="H181" s="493"/>
      <c r="I181" s="493"/>
      <c r="J181" s="493"/>
      <c r="K181" s="493"/>
      <c r="L181" s="493"/>
      <c r="M181" s="493"/>
    </row>
    <row r="182" spans="1:13" x14ac:dyDescent="0.25">
      <c r="A182" s="493"/>
      <c r="B182" s="493"/>
      <c r="C182" s="493"/>
      <c r="D182" s="493"/>
      <c r="E182" s="493"/>
      <c r="F182" s="493"/>
      <c r="G182" s="493"/>
      <c r="H182" s="493"/>
      <c r="I182" s="493"/>
      <c r="J182" s="493"/>
      <c r="K182" s="493"/>
      <c r="L182" s="493"/>
      <c r="M182" s="493"/>
    </row>
    <row r="183" spans="1:13" x14ac:dyDescent="0.25">
      <c r="A183" s="493"/>
      <c r="B183" s="493"/>
      <c r="C183" s="493"/>
      <c r="D183" s="493"/>
      <c r="E183" s="493"/>
      <c r="F183" s="493"/>
      <c r="G183" s="493"/>
      <c r="H183" s="493"/>
      <c r="I183" s="493"/>
      <c r="J183" s="493"/>
      <c r="K183" s="493"/>
      <c r="L183" s="493"/>
      <c r="M183" s="493"/>
    </row>
    <row r="184" spans="1:13" x14ac:dyDescent="0.25">
      <c r="A184" s="493"/>
      <c r="B184" s="493"/>
      <c r="C184" s="493"/>
      <c r="D184" s="493"/>
      <c r="E184" s="493"/>
      <c r="F184" s="493"/>
      <c r="G184" s="493"/>
      <c r="H184" s="493"/>
      <c r="I184" s="493"/>
      <c r="J184" s="493"/>
      <c r="K184" s="493"/>
      <c r="L184" s="493"/>
      <c r="M184" s="493"/>
    </row>
    <row r="185" spans="1:13" x14ac:dyDescent="0.25">
      <c r="A185" s="493"/>
      <c r="B185" s="493"/>
      <c r="C185" s="493"/>
      <c r="D185" s="493"/>
      <c r="E185" s="493"/>
      <c r="F185" s="493"/>
      <c r="G185" s="493"/>
      <c r="H185" s="493"/>
      <c r="I185" s="493"/>
      <c r="J185" s="493"/>
      <c r="K185" s="493"/>
      <c r="L185" s="493"/>
      <c r="M185" s="493"/>
    </row>
    <row r="186" spans="1:13" x14ac:dyDescent="0.25">
      <c r="A186" s="493"/>
      <c r="B186" s="493"/>
      <c r="C186" s="493"/>
      <c r="D186" s="493"/>
      <c r="E186" s="493"/>
      <c r="F186" s="493"/>
      <c r="G186" s="493"/>
      <c r="H186" s="493"/>
      <c r="I186" s="493"/>
      <c r="J186" s="493"/>
      <c r="K186" s="493"/>
      <c r="L186" s="493"/>
      <c r="M186" s="493"/>
    </row>
  </sheetData>
  <mergeCells count="12">
    <mergeCell ref="B5:C5"/>
    <mergeCell ref="I5:K5"/>
    <mergeCell ref="N5:O5"/>
    <mergeCell ref="S5:U5"/>
    <mergeCell ref="Y5:AA5"/>
    <mergeCell ref="A1:W1"/>
    <mergeCell ref="Y1:AB1"/>
    <mergeCell ref="A2:V2"/>
    <mergeCell ref="Y2:AB2"/>
    <mergeCell ref="B4:L4"/>
    <mergeCell ref="N4:V4"/>
    <mergeCell ref="Y4:AB4"/>
  </mergeCells>
  <pageMargins left="0.75" right="0.75" top="1" bottom="1" header="0.5" footer="0.5"/>
  <pageSetup paperSize="5" scale="76" orientation="landscape" r:id="rId1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47">
    <pageSetUpPr fitToPage="1"/>
  </sheetPr>
  <dimension ref="A1:AD185"/>
  <sheetViews>
    <sheetView zoomScaleNormal="100" workbookViewId="0">
      <selection activeCell="B8" sqref="B8"/>
    </sheetView>
  </sheetViews>
  <sheetFormatPr defaultColWidth="9.1796875" defaultRowHeight="12.5" x14ac:dyDescent="0.25"/>
  <cols>
    <col min="1" max="1" width="13" style="492" customWidth="1"/>
    <col min="2" max="2" width="7.54296875" style="492" customWidth="1"/>
    <col min="3" max="3" width="4.81640625" style="492" hidden="1" customWidth="1"/>
    <col min="4" max="4" width="8.54296875" style="492" bestFit="1" customWidth="1"/>
    <col min="5" max="5" width="11.453125" style="492" customWidth="1"/>
    <col min="6" max="6" width="11.1796875" style="492" customWidth="1"/>
    <col min="7" max="7" width="12" style="492" bestFit="1" customWidth="1"/>
    <col min="8" max="8" width="11.1796875" style="492" customWidth="1"/>
    <col min="9" max="9" width="11.54296875" style="492" hidden="1" customWidth="1"/>
    <col min="10" max="10" width="10.7265625" style="492" bestFit="1" customWidth="1"/>
    <col min="11" max="11" width="4.81640625" style="492" hidden="1" customWidth="1"/>
    <col min="12" max="12" width="12.54296875" style="492" customWidth="1"/>
    <col min="13" max="13" width="2.54296875" style="492" customWidth="1"/>
    <col min="14" max="14" width="7" style="492" customWidth="1"/>
    <col min="15" max="15" width="4.81640625" style="492" hidden="1" customWidth="1"/>
    <col min="16" max="16" width="8.54296875" style="492" bestFit="1" customWidth="1"/>
    <col min="17" max="17" width="11.81640625" style="492" customWidth="1"/>
    <col min="18" max="18" width="9.81640625" style="492" bestFit="1" customWidth="1"/>
    <col min="19" max="19" width="10.7265625" style="492" hidden="1" customWidth="1"/>
    <col min="20" max="20" width="9.81640625" style="492" bestFit="1" customWidth="1"/>
    <col min="21" max="21" width="4.81640625" style="492" hidden="1" customWidth="1"/>
    <col min="22" max="22" width="10.7265625" style="492" bestFit="1" customWidth="1"/>
    <col min="23" max="23" width="2.7265625" style="492" customWidth="1"/>
    <col min="24" max="24" width="13.81640625" style="492" bestFit="1" customWidth="1"/>
    <col min="25" max="25" width="12.81640625" style="492" hidden="1" customWidth="1"/>
    <col min="26" max="26" width="10.7265625" style="492" bestFit="1" customWidth="1"/>
    <col min="27" max="27" width="4.81640625" style="492" hidden="1" customWidth="1"/>
    <col min="28" max="28" width="10.453125" style="492" bestFit="1" customWidth="1"/>
    <col min="29" max="29" width="11.81640625" style="492" customWidth="1"/>
    <col min="30" max="30" width="9.7265625" style="492" bestFit="1" customWidth="1"/>
    <col min="31" max="16384" width="9.1796875" style="492"/>
  </cols>
  <sheetData>
    <row r="1" spans="1:30" ht="13" x14ac:dyDescent="0.3">
      <c r="A1" s="813" t="s">
        <v>497</v>
      </c>
      <c r="B1" s="813"/>
      <c r="C1" s="813"/>
      <c r="D1" s="813"/>
      <c r="E1" s="813"/>
      <c r="F1" s="813"/>
      <c r="G1" s="813"/>
      <c r="H1" s="813"/>
      <c r="I1" s="813"/>
      <c r="J1" s="813"/>
      <c r="K1" s="813"/>
      <c r="L1" s="813"/>
      <c r="M1" s="813"/>
      <c r="N1" s="813"/>
      <c r="O1" s="813"/>
      <c r="P1" s="813"/>
      <c r="Q1" s="813"/>
      <c r="R1" s="813"/>
      <c r="S1" s="813"/>
      <c r="T1" s="813"/>
      <c r="U1" s="813"/>
      <c r="V1" s="813"/>
      <c r="W1" s="813"/>
      <c r="X1" s="491"/>
      <c r="Y1" s="823"/>
      <c r="Z1" s="823"/>
      <c r="AA1" s="823"/>
      <c r="AB1" s="823"/>
    </row>
    <row r="2" spans="1:30" ht="13" x14ac:dyDescent="0.3">
      <c r="A2" s="815">
        <f>'[100]Sales Forecast'!K6</f>
        <v>43862</v>
      </c>
      <c r="B2" s="815"/>
      <c r="C2" s="815"/>
      <c r="D2" s="815"/>
      <c r="E2" s="815"/>
      <c r="F2" s="815"/>
      <c r="G2" s="815"/>
      <c r="H2" s="815"/>
      <c r="I2" s="815"/>
      <c r="J2" s="815"/>
      <c r="K2" s="815"/>
      <c r="L2" s="815"/>
      <c r="M2" s="815"/>
      <c r="N2" s="815"/>
      <c r="O2" s="815"/>
      <c r="P2" s="815"/>
      <c r="Q2" s="815"/>
      <c r="R2" s="815"/>
      <c r="S2" s="815"/>
      <c r="T2" s="815"/>
      <c r="U2" s="815"/>
      <c r="V2" s="815"/>
      <c r="Y2" s="824"/>
      <c r="Z2" s="824"/>
      <c r="AA2" s="824"/>
      <c r="AB2" s="824"/>
    </row>
    <row r="3" spans="1:30" ht="13" thickBot="1" x14ac:dyDescent="0.3">
      <c r="A3" s="493"/>
      <c r="B3" s="493"/>
      <c r="C3" s="493"/>
      <c r="D3" s="493"/>
      <c r="E3" s="493"/>
      <c r="F3" s="493"/>
      <c r="G3" s="493"/>
      <c r="H3" s="493"/>
      <c r="I3" s="493"/>
      <c r="J3" s="493"/>
      <c r="K3" s="493"/>
      <c r="L3" s="493"/>
      <c r="M3" s="493"/>
    </row>
    <row r="4" spans="1:30" ht="13.5" thickBot="1" x14ac:dyDescent="0.35">
      <c r="A4" s="493"/>
      <c r="B4" s="825" t="s">
        <v>498</v>
      </c>
      <c r="C4" s="826"/>
      <c r="D4" s="826"/>
      <c r="E4" s="826"/>
      <c r="F4" s="826"/>
      <c r="G4" s="826"/>
      <c r="H4" s="826"/>
      <c r="I4" s="826"/>
      <c r="J4" s="826"/>
      <c r="K4" s="826"/>
      <c r="L4" s="831"/>
      <c r="M4" s="493"/>
      <c r="N4" s="825" t="s">
        <v>499</v>
      </c>
      <c r="O4" s="826"/>
      <c r="P4" s="826"/>
      <c r="Q4" s="826"/>
      <c r="R4" s="826"/>
      <c r="S4" s="826"/>
      <c r="T4" s="826"/>
      <c r="U4" s="826"/>
      <c r="V4" s="831"/>
      <c r="Y4" s="827" t="s">
        <v>500</v>
      </c>
      <c r="Z4" s="828"/>
      <c r="AA4" s="828"/>
      <c r="AB4" s="832"/>
      <c r="AC4" s="494"/>
    </row>
    <row r="5" spans="1:30" ht="20.5" x14ac:dyDescent="0.25">
      <c r="A5" s="493"/>
      <c r="B5" s="829" t="s">
        <v>501</v>
      </c>
      <c r="C5" s="829"/>
      <c r="D5" s="495" t="s">
        <v>284</v>
      </c>
      <c r="E5" s="495" t="s">
        <v>162</v>
      </c>
      <c r="F5" s="495" t="s">
        <v>162</v>
      </c>
      <c r="G5" s="495" t="s">
        <v>283</v>
      </c>
      <c r="H5" s="495" t="s">
        <v>283</v>
      </c>
      <c r="I5" s="829" t="s">
        <v>502</v>
      </c>
      <c r="J5" s="829"/>
      <c r="K5" s="829"/>
      <c r="L5" s="517" t="s">
        <v>503</v>
      </c>
      <c r="M5" s="493"/>
      <c r="N5" s="829" t="s">
        <v>501</v>
      </c>
      <c r="O5" s="829"/>
      <c r="P5" s="495" t="str">
        <f>D5</f>
        <v>Capacity</v>
      </c>
      <c r="Q5" s="495" t="s">
        <v>260</v>
      </c>
      <c r="R5" s="495" t="s">
        <v>260</v>
      </c>
      <c r="S5" s="829" t="s">
        <v>504</v>
      </c>
      <c r="T5" s="829"/>
      <c r="U5" s="829"/>
      <c r="V5" s="517" t="s">
        <v>505</v>
      </c>
      <c r="Y5" s="830" t="s">
        <v>506</v>
      </c>
      <c r="Z5" s="830"/>
      <c r="AA5" s="830"/>
      <c r="AB5" s="517" t="s">
        <v>507</v>
      </c>
      <c r="AC5" s="497"/>
    </row>
    <row r="6" spans="1:30" x14ac:dyDescent="0.25">
      <c r="A6" s="493" t="s">
        <v>508</v>
      </c>
      <c r="B6" s="498" t="s">
        <v>368</v>
      </c>
      <c r="C6" s="498" t="s">
        <v>366</v>
      </c>
      <c r="D6" s="498" t="s">
        <v>366</v>
      </c>
      <c r="E6" s="498" t="s">
        <v>509</v>
      </c>
      <c r="F6" s="498" t="s">
        <v>135</v>
      </c>
      <c r="G6" s="498" t="s">
        <v>509</v>
      </c>
      <c r="H6" s="498" t="s">
        <v>135</v>
      </c>
      <c r="I6" s="498" t="s">
        <v>510</v>
      </c>
      <c r="J6" s="498" t="str">
        <f>D5</f>
        <v>Capacity</v>
      </c>
      <c r="K6" s="498" t="s">
        <v>162</v>
      </c>
      <c r="L6" s="498" t="s">
        <v>162</v>
      </c>
      <c r="M6" s="499"/>
      <c r="N6" s="498" t="s">
        <v>368</v>
      </c>
      <c r="O6" s="498" t="s">
        <v>366</v>
      </c>
      <c r="P6" s="498" t="s">
        <v>366</v>
      </c>
      <c r="Q6" s="498" t="s">
        <v>509</v>
      </c>
      <c r="R6" s="498" t="s">
        <v>135</v>
      </c>
      <c r="S6" s="498" t="s">
        <v>510</v>
      </c>
      <c r="T6" s="498" t="str">
        <f>J6</f>
        <v>Capacity</v>
      </c>
      <c r="U6" s="498" t="s">
        <v>162</v>
      </c>
      <c r="V6" s="498" t="s">
        <v>162</v>
      </c>
      <c r="X6" s="498" t="s">
        <v>508</v>
      </c>
      <c r="Y6" s="498" t="s">
        <v>510</v>
      </c>
      <c r="Z6" s="498" t="str">
        <f>T6</f>
        <v>Capacity</v>
      </c>
      <c r="AA6" s="498" t="s">
        <v>162</v>
      </c>
      <c r="AB6" s="498" t="s">
        <v>162</v>
      </c>
      <c r="AC6" s="498"/>
    </row>
    <row r="7" spans="1:30" x14ac:dyDescent="0.25">
      <c r="A7" s="493"/>
      <c r="B7" s="493"/>
      <c r="C7" s="493"/>
      <c r="D7" s="493"/>
      <c r="E7" s="493"/>
      <c r="F7" s="493"/>
      <c r="G7" s="493"/>
      <c r="H7" s="493"/>
      <c r="I7" s="493"/>
      <c r="J7" s="493"/>
      <c r="K7" s="493"/>
      <c r="L7" s="493"/>
      <c r="M7" s="493"/>
      <c r="N7" s="493"/>
      <c r="O7" s="493"/>
      <c r="P7" s="493"/>
      <c r="Q7" s="493"/>
      <c r="R7" s="493"/>
      <c r="S7" s="493"/>
      <c r="T7" s="493"/>
      <c r="U7" s="493"/>
      <c r="V7" s="493"/>
    </row>
    <row r="8" spans="1:30" x14ac:dyDescent="0.25">
      <c r="A8" s="500">
        <v>1</v>
      </c>
      <c r="B8" s="493">
        <f>'Forecast MAC Total'!R27</f>
        <v>3.7799999999999999E-3</v>
      </c>
      <c r="C8" s="493" t="e">
        <f>#REF!</f>
        <v>#REF!</v>
      </c>
      <c r="D8" s="508">
        <f>'Nov Price Out'!D8</f>
        <v>8.5000000000000006E-3</v>
      </c>
      <c r="E8" s="502">
        <f>'[100]Adj Sales Forecast'!K8</f>
        <v>1049162685</v>
      </c>
      <c r="F8" s="493">
        <v>0</v>
      </c>
      <c r="G8" s="8">
        <f>ROUND(E8*0.88,0)</f>
        <v>923263163</v>
      </c>
      <c r="H8" s="8">
        <f>ROUND(F8*0.88,0)</f>
        <v>0</v>
      </c>
      <c r="I8" s="169" t="e">
        <f>ROUND(C8*G8,0)</f>
        <v>#REF!</v>
      </c>
      <c r="J8" s="169">
        <f>ROUND(D8*G8,0)</f>
        <v>7847737</v>
      </c>
      <c r="K8" s="169" t="e">
        <f t="shared" ref="K8:K19" si="0">I8+J8</f>
        <v>#REF!</v>
      </c>
      <c r="L8" s="169">
        <f t="shared" ref="L8:L19" si="1">ROUND(B8*G8,0)</f>
        <v>3489935</v>
      </c>
      <c r="M8" s="493"/>
      <c r="N8" s="493">
        <f>B8</f>
        <v>3.7799999999999999E-3</v>
      </c>
      <c r="O8" s="493" t="e">
        <f>#REF!</f>
        <v>#REF!</v>
      </c>
      <c r="P8" s="508">
        <f>'Nov Price Out'!P8</f>
        <v>3.0100000000000001E-3</v>
      </c>
      <c r="Q8" s="502">
        <f>E8-G8</f>
        <v>125899522</v>
      </c>
      <c r="R8" s="502">
        <f>F8-H8</f>
        <v>0</v>
      </c>
      <c r="S8" s="169" t="e">
        <f t="shared" ref="S8:S19" si="2">ROUND(O8*Q8,0)</f>
        <v>#REF!</v>
      </c>
      <c r="T8" s="169">
        <f>ROUND(P8*Q8,0)</f>
        <v>378958</v>
      </c>
      <c r="U8" s="169" t="e">
        <f t="shared" ref="U8:U19" si="3">S8+T8</f>
        <v>#REF!</v>
      </c>
      <c r="V8" s="169">
        <f t="shared" ref="V8:V19" si="4">ROUND(N8*Q8,0)</f>
        <v>475900</v>
      </c>
      <c r="X8" s="500">
        <v>1</v>
      </c>
      <c r="Y8" s="503" t="e">
        <f t="shared" ref="Y8:Z19" si="5">I8+S8</f>
        <v>#REF!</v>
      </c>
      <c r="Z8" s="503">
        <f t="shared" si="5"/>
        <v>8226695</v>
      </c>
      <c r="AA8" s="503" t="e">
        <f t="shared" ref="AA8:AA19" si="6">Y8+Z8</f>
        <v>#REF!</v>
      </c>
      <c r="AB8" s="503">
        <f t="shared" ref="AB8:AB19" si="7">L8+V8</f>
        <v>3965835</v>
      </c>
    </row>
    <row r="9" spans="1:30" x14ac:dyDescent="0.25">
      <c r="A9" s="500" t="s">
        <v>511</v>
      </c>
      <c r="B9" s="493">
        <f>$B$8</f>
        <v>3.7799999999999999E-3</v>
      </c>
      <c r="C9" s="493" t="e">
        <f>#REF!</f>
        <v>#REF!</v>
      </c>
      <c r="D9" s="509">
        <f>'Nov Price Out'!D9</f>
        <v>3.2199999999999999E-2</v>
      </c>
      <c r="E9" s="502">
        <f>'[100]Adj Sales Forecast'!K37</f>
        <v>2273319</v>
      </c>
      <c r="F9" s="493">
        <v>0</v>
      </c>
      <c r="G9" s="8">
        <f>ROUND(E9*0.88,0)</f>
        <v>2000521</v>
      </c>
      <c r="H9" s="8">
        <f>ROUND(F9*0.88,0)</f>
        <v>0</v>
      </c>
      <c r="I9" s="169" t="e">
        <f t="shared" ref="I9:I19" si="8">ROUND(C9*G9,0)</f>
        <v>#REF!</v>
      </c>
      <c r="J9" s="169">
        <f t="shared" ref="J9:J19" si="9">ROUND(D9*G9,0)</f>
        <v>64417</v>
      </c>
      <c r="K9" s="169" t="e">
        <f t="shared" si="0"/>
        <v>#REF!</v>
      </c>
      <c r="L9" s="169">
        <f t="shared" si="1"/>
        <v>7562</v>
      </c>
      <c r="M9" s="493"/>
      <c r="N9" s="493">
        <f>B9</f>
        <v>3.7799999999999999E-3</v>
      </c>
      <c r="O9" s="493" t="e">
        <f>#REF!</f>
        <v>#REF!</v>
      </c>
      <c r="P9" s="509">
        <f>'Nov Price Out'!P9</f>
        <v>6.6E-3</v>
      </c>
      <c r="Q9" s="502">
        <f>E9-G9</f>
        <v>272798</v>
      </c>
      <c r="R9" s="502">
        <f>F9-H9</f>
        <v>0</v>
      </c>
      <c r="S9" s="169" t="e">
        <f t="shared" si="2"/>
        <v>#REF!</v>
      </c>
      <c r="T9" s="169">
        <f t="shared" ref="T9:T19" si="10">ROUND(P9*Q9,0)</f>
        <v>1800</v>
      </c>
      <c r="U9" s="169" t="e">
        <f t="shared" si="3"/>
        <v>#REF!</v>
      </c>
      <c r="V9" s="169">
        <f t="shared" si="4"/>
        <v>1031</v>
      </c>
      <c r="X9" s="500" t="s">
        <v>511</v>
      </c>
      <c r="Y9" s="503" t="e">
        <f t="shared" si="5"/>
        <v>#REF!</v>
      </c>
      <c r="Z9" s="503">
        <f t="shared" si="5"/>
        <v>66217</v>
      </c>
      <c r="AA9" s="503" t="e">
        <f t="shared" si="6"/>
        <v>#REF!</v>
      </c>
      <c r="AB9" s="503">
        <f t="shared" si="7"/>
        <v>8593</v>
      </c>
      <c r="AD9" s="503"/>
    </row>
    <row r="10" spans="1:30" x14ac:dyDescent="0.25">
      <c r="A10" s="500" t="s">
        <v>512</v>
      </c>
      <c r="B10" s="501">
        <f>B9</f>
        <v>3.7799999999999999E-3</v>
      </c>
      <c r="C10" s="504" t="e">
        <f>#REF!</f>
        <v>#REF!</v>
      </c>
      <c r="D10" s="509">
        <f>'Nov Price Out'!D10</f>
        <v>0</v>
      </c>
      <c r="E10" s="502">
        <f>'[100]Adj Sales Forecast'!K38</f>
        <v>3563996</v>
      </c>
      <c r="F10" s="493">
        <v>0</v>
      </c>
      <c r="G10" s="8">
        <f t="shared" ref="G10:H19" si="11">ROUND(E10*0.88,0)</f>
        <v>3136316</v>
      </c>
      <c r="H10" s="8"/>
      <c r="I10" s="169" t="e">
        <f t="shared" si="8"/>
        <v>#REF!</v>
      </c>
      <c r="J10" s="169">
        <f t="shared" si="9"/>
        <v>0</v>
      </c>
      <c r="K10" s="169" t="e">
        <f t="shared" si="0"/>
        <v>#REF!</v>
      </c>
      <c r="L10" s="169">
        <f t="shared" si="1"/>
        <v>11855</v>
      </c>
      <c r="M10" s="493"/>
      <c r="N10" s="493">
        <f t="shared" ref="N10:N19" si="12">B10</f>
        <v>3.7799999999999999E-3</v>
      </c>
      <c r="O10" s="504" t="e">
        <f>#REF!</f>
        <v>#REF!</v>
      </c>
      <c r="P10" s="509">
        <f>'Nov Price Out'!P10</f>
        <v>0</v>
      </c>
      <c r="Q10" s="502">
        <f t="shared" ref="Q10:R19" si="13">E10-G10</f>
        <v>427680</v>
      </c>
      <c r="R10" s="502">
        <f>F10-H10</f>
        <v>0</v>
      </c>
      <c r="S10" s="169" t="e">
        <f t="shared" si="2"/>
        <v>#REF!</v>
      </c>
      <c r="T10" s="169">
        <f t="shared" si="10"/>
        <v>0</v>
      </c>
      <c r="U10" s="169" t="e">
        <f t="shared" si="3"/>
        <v>#REF!</v>
      </c>
      <c r="V10" s="169">
        <f t="shared" si="4"/>
        <v>1617</v>
      </c>
      <c r="X10" s="500" t="s">
        <v>512</v>
      </c>
      <c r="Y10" s="503" t="e">
        <f t="shared" si="5"/>
        <v>#REF!</v>
      </c>
      <c r="Z10" s="503">
        <f t="shared" si="5"/>
        <v>0</v>
      </c>
      <c r="AA10" s="503" t="e">
        <f t="shared" si="6"/>
        <v>#REF!</v>
      </c>
      <c r="AB10" s="503">
        <f t="shared" si="7"/>
        <v>13472</v>
      </c>
    </row>
    <row r="11" spans="1:30" x14ac:dyDescent="0.25">
      <c r="A11" s="500">
        <v>2</v>
      </c>
      <c r="B11" s="501">
        <f>B9</f>
        <v>3.7799999999999999E-3</v>
      </c>
      <c r="C11" s="504" t="e">
        <f>#REF!</f>
        <v>#REF!</v>
      </c>
      <c r="D11" s="509">
        <f>'Nov Price Out'!D11</f>
        <v>1.29E-2</v>
      </c>
      <c r="E11" s="502">
        <f>'[100]Adj Sales Forecast'!K15</f>
        <v>233148240</v>
      </c>
      <c r="F11" s="493">
        <v>0</v>
      </c>
      <c r="G11" s="8">
        <f t="shared" si="11"/>
        <v>205170451</v>
      </c>
      <c r="H11" s="8">
        <f t="shared" si="11"/>
        <v>0</v>
      </c>
      <c r="I11" s="169" t="e">
        <f t="shared" si="8"/>
        <v>#REF!</v>
      </c>
      <c r="J11" s="169">
        <f t="shared" si="9"/>
        <v>2646699</v>
      </c>
      <c r="K11" s="169" t="e">
        <f t="shared" si="0"/>
        <v>#REF!</v>
      </c>
      <c r="L11" s="169">
        <f t="shared" si="1"/>
        <v>775544</v>
      </c>
      <c r="M11" s="493"/>
      <c r="N11" s="493">
        <f t="shared" si="12"/>
        <v>3.7799999999999999E-3</v>
      </c>
      <c r="O11" s="504" t="e">
        <f>#REF!</f>
        <v>#REF!</v>
      </c>
      <c r="P11" s="509">
        <f>'Nov Price Out'!P11</f>
        <v>2.5999999999999999E-3</v>
      </c>
      <c r="Q11" s="502">
        <f t="shared" si="13"/>
        <v>27977789</v>
      </c>
      <c r="R11" s="502">
        <f t="shared" si="13"/>
        <v>0</v>
      </c>
      <c r="S11" s="169" t="e">
        <f t="shared" si="2"/>
        <v>#REF!</v>
      </c>
      <c r="T11" s="169">
        <f t="shared" si="10"/>
        <v>72742</v>
      </c>
      <c r="U11" s="169" t="e">
        <f t="shared" si="3"/>
        <v>#REF!</v>
      </c>
      <c r="V11" s="169">
        <f t="shared" si="4"/>
        <v>105756</v>
      </c>
      <c r="X11" s="500">
        <v>2</v>
      </c>
      <c r="Y11" s="503" t="e">
        <f t="shared" si="5"/>
        <v>#REF!</v>
      </c>
      <c r="Z11" s="503">
        <f t="shared" si="5"/>
        <v>2719441</v>
      </c>
      <c r="AA11" s="503" t="e">
        <f t="shared" si="6"/>
        <v>#REF!</v>
      </c>
      <c r="AB11" s="503">
        <f t="shared" si="7"/>
        <v>881300</v>
      </c>
    </row>
    <row r="12" spans="1:30" x14ac:dyDescent="0.25">
      <c r="A12" s="500" t="s">
        <v>513</v>
      </c>
      <c r="B12" s="501">
        <f>B9</f>
        <v>3.7799999999999999E-3</v>
      </c>
      <c r="C12" s="493" t="e">
        <f>#REF!</f>
        <v>#REF!</v>
      </c>
      <c r="D12" s="509">
        <f>'Nov Price Out'!D12</f>
        <v>2.4E-2</v>
      </c>
      <c r="E12" s="502">
        <f>'[100]Adj Sales Forecast'!K40</f>
        <v>340322</v>
      </c>
      <c r="F12" s="493">
        <v>0</v>
      </c>
      <c r="G12" s="8">
        <f t="shared" si="11"/>
        <v>299483</v>
      </c>
      <c r="H12" s="8">
        <f t="shared" si="11"/>
        <v>0</v>
      </c>
      <c r="I12" s="169" t="e">
        <f t="shared" si="8"/>
        <v>#REF!</v>
      </c>
      <c r="J12" s="169">
        <f t="shared" si="9"/>
        <v>7188</v>
      </c>
      <c r="K12" s="169" t="e">
        <f t="shared" si="0"/>
        <v>#REF!</v>
      </c>
      <c r="L12" s="169">
        <f t="shared" si="1"/>
        <v>1132</v>
      </c>
      <c r="M12" s="493"/>
      <c r="N12" s="493">
        <f t="shared" si="12"/>
        <v>3.7799999999999999E-3</v>
      </c>
      <c r="O12" s="493" t="e">
        <f>#REF!</f>
        <v>#REF!</v>
      </c>
      <c r="P12" s="509">
        <f>'Nov Price Out'!P12</f>
        <v>4.8999999999999998E-3</v>
      </c>
      <c r="Q12" s="502">
        <f t="shared" si="13"/>
        <v>40839</v>
      </c>
      <c r="R12" s="502">
        <f t="shared" si="13"/>
        <v>0</v>
      </c>
      <c r="S12" s="169" t="e">
        <f t="shared" si="2"/>
        <v>#REF!</v>
      </c>
      <c r="T12" s="169">
        <f t="shared" si="10"/>
        <v>200</v>
      </c>
      <c r="U12" s="169" t="e">
        <f t="shared" si="3"/>
        <v>#REF!</v>
      </c>
      <c r="V12" s="169">
        <f t="shared" si="4"/>
        <v>154</v>
      </c>
      <c r="X12" s="500" t="s">
        <v>513</v>
      </c>
      <c r="Y12" s="503" t="e">
        <f t="shared" si="5"/>
        <v>#REF!</v>
      </c>
      <c r="Z12" s="503">
        <f t="shared" si="5"/>
        <v>7388</v>
      </c>
      <c r="AA12" s="503" t="e">
        <f t="shared" si="6"/>
        <v>#REF!</v>
      </c>
      <c r="AB12" s="503">
        <f t="shared" si="7"/>
        <v>1286</v>
      </c>
    </row>
    <row r="13" spans="1:30" x14ac:dyDescent="0.25">
      <c r="A13" s="500" t="s">
        <v>514</v>
      </c>
      <c r="B13" s="501">
        <f>B12</f>
        <v>3.7799999999999999E-3</v>
      </c>
      <c r="C13" s="504" t="e">
        <f>#REF!</f>
        <v>#REF!</v>
      </c>
      <c r="D13" s="509">
        <f>'Nov Price Out'!D13</f>
        <v>0</v>
      </c>
      <c r="E13" s="502">
        <f>'[100]Adj Sales Forecast'!K41</f>
        <v>511438</v>
      </c>
      <c r="F13" s="493">
        <v>0</v>
      </c>
      <c r="G13" s="8">
        <f t="shared" si="11"/>
        <v>450065</v>
      </c>
      <c r="H13" s="8">
        <f t="shared" si="11"/>
        <v>0</v>
      </c>
      <c r="I13" s="169" t="e">
        <f t="shared" si="8"/>
        <v>#REF!</v>
      </c>
      <c r="J13" s="169">
        <f t="shared" si="9"/>
        <v>0</v>
      </c>
      <c r="K13" s="169" t="e">
        <f t="shared" si="0"/>
        <v>#REF!</v>
      </c>
      <c r="L13" s="169">
        <f t="shared" si="1"/>
        <v>1701</v>
      </c>
      <c r="M13" s="493"/>
      <c r="N13" s="493">
        <f t="shared" si="12"/>
        <v>3.7799999999999999E-3</v>
      </c>
      <c r="O13" s="504" t="e">
        <f>#REF!</f>
        <v>#REF!</v>
      </c>
      <c r="P13" s="509">
        <f>'Nov Price Out'!P13</f>
        <v>0</v>
      </c>
      <c r="Q13" s="502">
        <f t="shared" si="13"/>
        <v>61373</v>
      </c>
      <c r="R13" s="502">
        <f t="shared" si="13"/>
        <v>0</v>
      </c>
      <c r="S13" s="169" t="e">
        <f t="shared" si="2"/>
        <v>#REF!</v>
      </c>
      <c r="T13" s="169">
        <f t="shared" si="10"/>
        <v>0</v>
      </c>
      <c r="U13" s="169" t="e">
        <f t="shared" si="3"/>
        <v>#REF!</v>
      </c>
      <c r="V13" s="169">
        <f t="shared" si="4"/>
        <v>232</v>
      </c>
      <c r="X13" s="500" t="s">
        <v>514</v>
      </c>
      <c r="Y13" s="503" t="e">
        <f t="shared" si="5"/>
        <v>#REF!</v>
      </c>
      <c r="Z13" s="503">
        <f t="shared" si="5"/>
        <v>0</v>
      </c>
      <c r="AA13" s="503" t="e">
        <f t="shared" si="6"/>
        <v>#REF!</v>
      </c>
      <c r="AB13" s="503">
        <f t="shared" si="7"/>
        <v>1933</v>
      </c>
    </row>
    <row r="14" spans="1:30" x14ac:dyDescent="0.25">
      <c r="A14" s="500">
        <v>6</v>
      </c>
      <c r="B14" s="501">
        <f>B13</f>
        <v>3.7799999999999999E-3</v>
      </c>
      <c r="C14" s="493" t="e">
        <f>#REF!</f>
        <v>#REF!</v>
      </c>
      <c r="D14" s="509">
        <f>'Nov Price Out'!D14</f>
        <v>1E-4</v>
      </c>
      <c r="E14" s="502">
        <f>'[100]Adj Sales Forecast'!K18</f>
        <v>753985</v>
      </c>
      <c r="F14" s="493">
        <v>0</v>
      </c>
      <c r="G14" s="8">
        <f t="shared" si="11"/>
        <v>663507</v>
      </c>
      <c r="H14" s="8">
        <f t="shared" si="11"/>
        <v>0</v>
      </c>
      <c r="I14" s="169" t="e">
        <f t="shared" si="8"/>
        <v>#REF!</v>
      </c>
      <c r="J14" s="169">
        <f t="shared" si="9"/>
        <v>66</v>
      </c>
      <c r="K14" s="169" t="e">
        <f t="shared" si="0"/>
        <v>#REF!</v>
      </c>
      <c r="L14" s="169">
        <f t="shared" si="1"/>
        <v>2508</v>
      </c>
      <c r="M14" s="493"/>
      <c r="N14" s="493">
        <f t="shared" si="12"/>
        <v>3.7799999999999999E-3</v>
      </c>
      <c r="O14" s="493" t="e">
        <f>#REF!</f>
        <v>#REF!</v>
      </c>
      <c r="P14" s="509">
        <f>'Nov Price Out'!P14</f>
        <v>0</v>
      </c>
      <c r="Q14" s="502">
        <f t="shared" si="13"/>
        <v>90478</v>
      </c>
      <c r="R14" s="502">
        <f t="shared" si="13"/>
        <v>0</v>
      </c>
      <c r="S14" s="169" t="e">
        <f t="shared" si="2"/>
        <v>#REF!</v>
      </c>
      <c r="T14" s="169">
        <f t="shared" si="10"/>
        <v>0</v>
      </c>
      <c r="U14" s="169" t="e">
        <f t="shared" si="3"/>
        <v>#REF!</v>
      </c>
      <c r="V14" s="169">
        <f t="shared" si="4"/>
        <v>342</v>
      </c>
      <c r="X14" s="500">
        <v>6</v>
      </c>
      <c r="Y14" s="503" t="e">
        <f t="shared" si="5"/>
        <v>#REF!</v>
      </c>
      <c r="Z14" s="503">
        <f t="shared" si="5"/>
        <v>66</v>
      </c>
      <c r="AA14" s="503" t="e">
        <f t="shared" si="6"/>
        <v>#REF!</v>
      </c>
      <c r="AB14" s="503">
        <f t="shared" si="7"/>
        <v>2850</v>
      </c>
    </row>
    <row r="15" spans="1:30" hidden="1" x14ac:dyDescent="0.25">
      <c r="A15" s="500">
        <v>7</v>
      </c>
      <c r="B15" s="493">
        <f>B8</f>
        <v>3.7799999999999999E-3</v>
      </c>
      <c r="C15" s="493" t="e">
        <f>#REF!</f>
        <v>#REF!</v>
      </c>
      <c r="D15" s="508"/>
      <c r="E15" s="502"/>
      <c r="F15" s="493"/>
      <c r="G15" s="8"/>
      <c r="H15" s="8"/>
      <c r="I15" s="169"/>
      <c r="J15" s="169"/>
      <c r="K15" s="169"/>
      <c r="L15" s="169"/>
      <c r="M15" s="493"/>
      <c r="N15" s="493">
        <f t="shared" si="12"/>
        <v>3.7799999999999999E-3</v>
      </c>
      <c r="O15" s="493" t="e">
        <f>#REF!</f>
        <v>#REF!</v>
      </c>
      <c r="P15" s="508" t="e">
        <f>'Nov Price Out'!P15</f>
        <v>#DIV/0!</v>
      </c>
      <c r="Q15" s="502">
        <f t="shared" si="13"/>
        <v>0</v>
      </c>
      <c r="R15" s="502">
        <f t="shared" si="13"/>
        <v>0</v>
      </c>
      <c r="S15" s="169" t="e">
        <f t="shared" si="2"/>
        <v>#REF!</v>
      </c>
      <c r="T15" s="169" t="e">
        <f t="shared" si="10"/>
        <v>#DIV/0!</v>
      </c>
      <c r="U15" s="169" t="e">
        <f t="shared" si="3"/>
        <v>#REF!</v>
      </c>
      <c r="V15" s="169">
        <f t="shared" si="4"/>
        <v>0</v>
      </c>
      <c r="X15" s="500">
        <v>7</v>
      </c>
      <c r="Y15" s="503" t="e">
        <f t="shared" si="5"/>
        <v>#REF!</v>
      </c>
      <c r="Z15" s="503" t="e">
        <f t="shared" si="5"/>
        <v>#DIV/0!</v>
      </c>
      <c r="AA15" s="503" t="e">
        <f t="shared" si="6"/>
        <v>#REF!</v>
      </c>
      <c r="AB15" s="503">
        <f t="shared" si="7"/>
        <v>0</v>
      </c>
    </row>
    <row r="16" spans="1:30" hidden="1" x14ac:dyDescent="0.25">
      <c r="A16" s="500" t="s">
        <v>515</v>
      </c>
      <c r="B16" s="493">
        <f>B9</f>
        <v>3.7799999999999999E-3</v>
      </c>
      <c r="C16" s="493" t="e">
        <f>#REF!</f>
        <v>#REF!</v>
      </c>
      <c r="D16" s="509"/>
      <c r="E16" s="502"/>
      <c r="F16" s="493"/>
      <c r="G16" s="8"/>
      <c r="H16" s="8"/>
      <c r="I16" s="169"/>
      <c r="J16" s="169"/>
      <c r="K16" s="169"/>
      <c r="L16" s="169"/>
      <c r="M16" s="493"/>
      <c r="N16" s="493">
        <f t="shared" si="12"/>
        <v>3.7799999999999999E-3</v>
      </c>
      <c r="O16" s="493" t="e">
        <f>#REF!</f>
        <v>#REF!</v>
      </c>
      <c r="P16" s="509" t="e">
        <f>'Nov Price Out'!P16</f>
        <v>#DIV/0!</v>
      </c>
      <c r="Q16" s="502">
        <f t="shared" si="13"/>
        <v>0</v>
      </c>
      <c r="R16" s="502">
        <f t="shared" si="13"/>
        <v>0</v>
      </c>
      <c r="S16" s="169" t="e">
        <f t="shared" si="2"/>
        <v>#REF!</v>
      </c>
      <c r="T16" s="169" t="e">
        <f t="shared" si="10"/>
        <v>#DIV/0!</v>
      </c>
      <c r="U16" s="169" t="e">
        <f t="shared" si="3"/>
        <v>#REF!</v>
      </c>
      <c r="V16" s="169">
        <f t="shared" si="4"/>
        <v>0</v>
      </c>
      <c r="X16" s="500" t="s">
        <v>515</v>
      </c>
      <c r="Y16" s="503" t="e">
        <f t="shared" si="5"/>
        <v>#REF!</v>
      </c>
      <c r="Z16" s="503" t="e">
        <f t="shared" si="5"/>
        <v>#DIV/0!</v>
      </c>
      <c r="AA16" s="503" t="e">
        <f t="shared" si="6"/>
        <v>#REF!</v>
      </c>
      <c r="AB16" s="503">
        <f t="shared" si="7"/>
        <v>0</v>
      </c>
    </row>
    <row r="17" spans="1:28" hidden="1" x14ac:dyDescent="0.25">
      <c r="A17" s="500" t="s">
        <v>516</v>
      </c>
      <c r="B17" s="493">
        <f>B9</f>
        <v>3.7799999999999999E-3</v>
      </c>
      <c r="C17" s="504" t="e">
        <f>#REF!</f>
        <v>#REF!</v>
      </c>
      <c r="D17" s="509"/>
      <c r="E17" s="502"/>
      <c r="F17" s="493"/>
      <c r="G17" s="8"/>
      <c r="H17" s="8"/>
      <c r="I17" s="169"/>
      <c r="J17" s="169"/>
      <c r="K17" s="169"/>
      <c r="L17" s="169"/>
      <c r="M17" s="493"/>
      <c r="N17" s="493">
        <f t="shared" si="12"/>
        <v>3.7799999999999999E-3</v>
      </c>
      <c r="O17" s="504" t="e">
        <f>#REF!</f>
        <v>#REF!</v>
      </c>
      <c r="P17" s="509">
        <f>'Nov Price Out'!P17</f>
        <v>0</v>
      </c>
      <c r="Q17" s="502">
        <f t="shared" si="13"/>
        <v>0</v>
      </c>
      <c r="R17" s="502">
        <f t="shared" si="13"/>
        <v>0</v>
      </c>
      <c r="S17" s="169" t="e">
        <f t="shared" si="2"/>
        <v>#REF!</v>
      </c>
      <c r="T17" s="169">
        <f t="shared" si="10"/>
        <v>0</v>
      </c>
      <c r="U17" s="169" t="e">
        <f t="shared" si="3"/>
        <v>#REF!</v>
      </c>
      <c r="V17" s="169">
        <f t="shared" si="4"/>
        <v>0</v>
      </c>
      <c r="X17" s="500" t="s">
        <v>516</v>
      </c>
      <c r="Y17" s="503" t="e">
        <f t="shared" si="5"/>
        <v>#REF!</v>
      </c>
      <c r="Z17" s="503">
        <f t="shared" si="5"/>
        <v>0</v>
      </c>
      <c r="AA17" s="503" t="e">
        <f t="shared" si="6"/>
        <v>#REF!</v>
      </c>
      <c r="AB17" s="503">
        <f t="shared" si="7"/>
        <v>0</v>
      </c>
    </row>
    <row r="18" spans="1:28" x14ac:dyDescent="0.25">
      <c r="A18" s="500" t="s">
        <v>56</v>
      </c>
      <c r="B18" s="493">
        <f>B9</f>
        <v>3.7799999999999999E-3</v>
      </c>
      <c r="C18" s="493" t="e">
        <f>#REF!</f>
        <v>#REF!</v>
      </c>
      <c r="D18" s="509">
        <f>'Nov Price Out'!D18</f>
        <v>0</v>
      </c>
      <c r="E18" s="502">
        <f>'[100]Adj Sales Forecast'!K26</f>
        <v>640578</v>
      </c>
      <c r="F18" s="493">
        <v>0</v>
      </c>
      <c r="G18" s="8">
        <f t="shared" si="11"/>
        <v>563709</v>
      </c>
      <c r="H18" s="8">
        <f t="shared" si="11"/>
        <v>0</v>
      </c>
      <c r="I18" s="169" t="e">
        <f t="shared" si="8"/>
        <v>#REF!</v>
      </c>
      <c r="J18" s="169">
        <f t="shared" si="9"/>
        <v>0</v>
      </c>
      <c r="K18" s="169" t="e">
        <f t="shared" si="0"/>
        <v>#REF!</v>
      </c>
      <c r="L18" s="169">
        <f t="shared" si="1"/>
        <v>2131</v>
      </c>
      <c r="M18" s="493"/>
      <c r="N18" s="493">
        <f t="shared" si="12"/>
        <v>3.7799999999999999E-3</v>
      </c>
      <c r="O18" s="493" t="e">
        <f>#REF!</f>
        <v>#REF!</v>
      </c>
      <c r="P18" s="509">
        <f>'Nov Price Out'!P18</f>
        <v>0</v>
      </c>
      <c r="Q18" s="502">
        <f t="shared" si="13"/>
        <v>76869</v>
      </c>
      <c r="R18" s="502">
        <f t="shared" si="13"/>
        <v>0</v>
      </c>
      <c r="S18" s="169" t="e">
        <f t="shared" si="2"/>
        <v>#REF!</v>
      </c>
      <c r="T18" s="169">
        <f t="shared" si="10"/>
        <v>0</v>
      </c>
      <c r="U18" s="169" t="e">
        <f t="shared" si="3"/>
        <v>#REF!</v>
      </c>
      <c r="V18" s="169">
        <f t="shared" si="4"/>
        <v>291</v>
      </c>
      <c r="X18" s="500" t="s">
        <v>56</v>
      </c>
      <c r="Y18" s="503" t="e">
        <f t="shared" si="5"/>
        <v>#REF!</v>
      </c>
      <c r="Z18" s="503">
        <f t="shared" si="5"/>
        <v>0</v>
      </c>
      <c r="AA18" s="503" t="e">
        <f t="shared" si="6"/>
        <v>#REF!</v>
      </c>
      <c r="AB18" s="503">
        <f t="shared" si="7"/>
        <v>2422</v>
      </c>
    </row>
    <row r="19" spans="1:28" x14ac:dyDescent="0.25">
      <c r="A19" s="500" t="s">
        <v>517</v>
      </c>
      <c r="B19" s="493">
        <f>B9</f>
        <v>3.7799999999999999E-3</v>
      </c>
      <c r="C19" s="493" t="e">
        <f>#REF!</f>
        <v>#REF!</v>
      </c>
      <c r="D19" s="509">
        <f>'Nov Price Out'!D19</f>
        <v>3.8999999999999998E-3</v>
      </c>
      <c r="E19" s="502">
        <f>'[100]Adj Sales Forecast'!K31</f>
        <v>200419</v>
      </c>
      <c r="F19" s="493">
        <v>0</v>
      </c>
      <c r="G19" s="8">
        <f t="shared" si="11"/>
        <v>176369</v>
      </c>
      <c r="H19" s="8">
        <f t="shared" si="11"/>
        <v>0</v>
      </c>
      <c r="I19" s="169" t="e">
        <f t="shared" si="8"/>
        <v>#REF!</v>
      </c>
      <c r="J19" s="169">
        <f t="shared" si="9"/>
        <v>688</v>
      </c>
      <c r="K19" s="169" t="e">
        <f t="shared" si="0"/>
        <v>#REF!</v>
      </c>
      <c r="L19" s="169">
        <f t="shared" si="1"/>
        <v>667</v>
      </c>
      <c r="M19" s="493"/>
      <c r="N19" s="493">
        <f t="shared" si="12"/>
        <v>3.7799999999999999E-3</v>
      </c>
      <c r="O19" s="493" t="e">
        <f>#REF!</f>
        <v>#REF!</v>
      </c>
      <c r="P19" s="509">
        <f>'Nov Price Out'!P19</f>
        <v>8.0000000000000004E-4</v>
      </c>
      <c r="Q19" s="502">
        <f t="shared" si="13"/>
        <v>24050</v>
      </c>
      <c r="R19" s="502">
        <f t="shared" si="13"/>
        <v>0</v>
      </c>
      <c r="S19" s="169" t="e">
        <f t="shared" si="2"/>
        <v>#REF!</v>
      </c>
      <c r="T19" s="169">
        <f t="shared" si="10"/>
        <v>19</v>
      </c>
      <c r="U19" s="169" t="e">
        <f t="shared" si="3"/>
        <v>#REF!</v>
      </c>
      <c r="V19" s="169">
        <f t="shared" si="4"/>
        <v>91</v>
      </c>
      <c r="X19" s="500" t="s">
        <v>517</v>
      </c>
      <c r="Y19" s="503" t="e">
        <f t="shared" si="5"/>
        <v>#REF!</v>
      </c>
      <c r="Z19" s="503">
        <f t="shared" si="5"/>
        <v>707</v>
      </c>
      <c r="AA19" s="503" t="e">
        <f t="shared" si="6"/>
        <v>#REF!</v>
      </c>
      <c r="AB19" s="503">
        <f t="shared" si="7"/>
        <v>758</v>
      </c>
    </row>
    <row r="20" spans="1:28" x14ac:dyDescent="0.25">
      <c r="A20" s="493"/>
      <c r="B20" s="493"/>
      <c r="C20" s="493"/>
      <c r="D20" s="493"/>
      <c r="E20" s="493"/>
      <c r="F20" s="493"/>
      <c r="G20" s="493"/>
      <c r="H20" s="493"/>
      <c r="I20" s="493"/>
      <c r="J20" s="493"/>
      <c r="K20" s="493"/>
      <c r="L20" s="493"/>
      <c r="M20" s="493"/>
      <c r="N20" s="493"/>
      <c r="O20" s="493"/>
      <c r="P20" s="493"/>
      <c r="Q20" s="493"/>
      <c r="R20" s="493"/>
      <c r="S20" s="493"/>
      <c r="T20" s="493"/>
      <c r="U20" s="493"/>
      <c r="V20" s="493"/>
      <c r="X20" s="493"/>
      <c r="Y20" s="503"/>
      <c r="Z20" s="503"/>
      <c r="AA20" s="503"/>
      <c r="AB20" s="503"/>
    </row>
    <row r="21" spans="1:28" x14ac:dyDescent="0.25">
      <c r="A21" s="493" t="s">
        <v>518</v>
      </c>
      <c r="B21" s="493">
        <f>B9</f>
        <v>3.7799999999999999E-3</v>
      </c>
      <c r="C21" s="493" t="e">
        <f>#REF!</f>
        <v>#REF!</v>
      </c>
      <c r="D21" s="505">
        <f>'Nov Price Out'!D21</f>
        <v>2.93</v>
      </c>
      <c r="E21" s="502">
        <f>'[100]Adj Sales Forecast'!K16</f>
        <v>78778</v>
      </c>
      <c r="F21" s="8">
        <f>'[100]Adj Demand Forecast '!K6</f>
        <v>185</v>
      </c>
      <c r="G21" s="8">
        <f t="shared" ref="G21:H24" si="14">ROUND(E21*0.88,0)</f>
        <v>69325</v>
      </c>
      <c r="H21" s="8">
        <f t="shared" si="14"/>
        <v>163</v>
      </c>
      <c r="I21" s="169" t="e">
        <f t="shared" ref="I21:J24" si="15">ROUND(C21*G21,0)</f>
        <v>#REF!</v>
      </c>
      <c r="J21" s="169">
        <f t="shared" si="15"/>
        <v>478</v>
      </c>
      <c r="K21" s="169" t="e">
        <f>I21+J21</f>
        <v>#REF!</v>
      </c>
      <c r="L21" s="169">
        <f>ROUND(B21*G21,0)</f>
        <v>262</v>
      </c>
      <c r="M21" s="493"/>
      <c r="N21" s="493">
        <f>B21</f>
        <v>3.7799999999999999E-3</v>
      </c>
      <c r="O21" s="493" t="e">
        <f>#REF!</f>
        <v>#REF!</v>
      </c>
      <c r="P21" s="505">
        <f>'Nov Price Out'!P21</f>
        <v>0.6</v>
      </c>
      <c r="Q21" s="502">
        <f t="shared" ref="Q21:R24" si="16">E21-G21</f>
        <v>9453</v>
      </c>
      <c r="R21" s="502">
        <f t="shared" si="16"/>
        <v>22</v>
      </c>
      <c r="S21" s="169" t="e">
        <f t="shared" ref="S21:T24" si="17">ROUND(O21*Q21,0)</f>
        <v>#REF!</v>
      </c>
      <c r="T21" s="169">
        <f t="shared" si="17"/>
        <v>13</v>
      </c>
      <c r="U21" s="169" t="e">
        <f>S21+T21</f>
        <v>#REF!</v>
      </c>
      <c r="V21" s="169">
        <f>ROUND(N21*Q21,0)</f>
        <v>36</v>
      </c>
      <c r="X21" s="493" t="s">
        <v>518</v>
      </c>
      <c r="Y21" s="503" t="e">
        <f t="shared" ref="Y21:Z24" si="18">I21+S21</f>
        <v>#REF!</v>
      </c>
      <c r="Z21" s="503">
        <f t="shared" si="18"/>
        <v>491</v>
      </c>
      <c r="AA21" s="503" t="e">
        <f>Y21+Z21</f>
        <v>#REF!</v>
      </c>
      <c r="AB21" s="503">
        <f>L21+V21</f>
        <v>298</v>
      </c>
    </row>
    <row r="22" spans="1:28" x14ac:dyDescent="0.25">
      <c r="A22" s="493" t="s">
        <v>303</v>
      </c>
      <c r="B22" s="493">
        <f>B9</f>
        <v>3.7799999999999999E-3</v>
      </c>
      <c r="C22" s="493" t="e">
        <f>#REF!</f>
        <v>#REF!</v>
      </c>
      <c r="D22" s="505">
        <f>'Nov Price Out'!D22</f>
        <v>5.14</v>
      </c>
      <c r="E22" s="502">
        <f>'[100]Adj Sales Forecast'!K22</f>
        <v>117000000</v>
      </c>
      <c r="F22" s="8">
        <f>'[100]Adj Demand Forecast '!K8</f>
        <v>239040</v>
      </c>
      <c r="G22" s="8">
        <f t="shared" si="14"/>
        <v>102960000</v>
      </c>
      <c r="H22" s="8">
        <f t="shared" si="14"/>
        <v>210355</v>
      </c>
      <c r="I22" s="169" t="e">
        <f t="shared" si="15"/>
        <v>#REF!</v>
      </c>
      <c r="J22" s="169">
        <f t="shared" si="15"/>
        <v>1081225</v>
      </c>
      <c r="K22" s="169" t="e">
        <f>I22+J22</f>
        <v>#REF!</v>
      </c>
      <c r="L22" s="169">
        <f>ROUND(B22*G22,0)</f>
        <v>389189</v>
      </c>
      <c r="M22" s="493"/>
      <c r="N22" s="493">
        <f>B22</f>
        <v>3.7799999999999999E-3</v>
      </c>
      <c r="O22" s="493" t="e">
        <f>#REF!</f>
        <v>#REF!</v>
      </c>
      <c r="P22" s="505">
        <f>'Nov Price Out'!P22</f>
        <v>1.05</v>
      </c>
      <c r="Q22" s="502">
        <f t="shared" si="16"/>
        <v>14040000</v>
      </c>
      <c r="R22" s="502">
        <f t="shared" si="16"/>
        <v>28685</v>
      </c>
      <c r="S22" s="169" t="e">
        <f t="shared" si="17"/>
        <v>#REF!</v>
      </c>
      <c r="T22" s="169">
        <f t="shared" si="17"/>
        <v>30119</v>
      </c>
      <c r="U22" s="169" t="e">
        <f>S22+T22</f>
        <v>#REF!</v>
      </c>
      <c r="V22" s="169">
        <f>ROUND(N22*Q22,0)</f>
        <v>53071</v>
      </c>
      <c r="X22" s="493" t="s">
        <v>303</v>
      </c>
      <c r="Y22" s="503" t="e">
        <f t="shared" si="18"/>
        <v>#REF!</v>
      </c>
      <c r="Z22" s="503">
        <f t="shared" si="18"/>
        <v>1111344</v>
      </c>
      <c r="AA22" s="503" t="e">
        <f>Y22+Z22</f>
        <v>#REF!</v>
      </c>
      <c r="AB22" s="503">
        <f>L22+V22</f>
        <v>442260</v>
      </c>
    </row>
    <row r="23" spans="1:28" x14ac:dyDescent="0.25">
      <c r="A23" s="493" t="s">
        <v>305</v>
      </c>
      <c r="B23" s="493">
        <f>B9</f>
        <v>3.7799999999999999E-3</v>
      </c>
      <c r="C23" s="493" t="e">
        <f>#REF!</f>
        <v>#REF!</v>
      </c>
      <c r="D23" s="505">
        <f>'Nov Price Out'!D23</f>
        <v>3.45</v>
      </c>
      <c r="E23" s="502">
        <f>'[100]Adj Sales Forecast'!K27</f>
        <v>1445359422</v>
      </c>
      <c r="F23" s="8">
        <f>'[100]Adj Demand Forecast '!K14</f>
        <v>3778433.1999999997</v>
      </c>
      <c r="G23" s="8">
        <f t="shared" si="14"/>
        <v>1271916291</v>
      </c>
      <c r="H23" s="8">
        <f t="shared" si="14"/>
        <v>3325021</v>
      </c>
      <c r="I23" s="169" t="e">
        <f t="shared" si="15"/>
        <v>#REF!</v>
      </c>
      <c r="J23" s="169">
        <f t="shared" si="15"/>
        <v>11471322</v>
      </c>
      <c r="K23" s="169" t="e">
        <f>I23+J23</f>
        <v>#REF!</v>
      </c>
      <c r="L23" s="169">
        <f>ROUND(B23*G23,0)</f>
        <v>4807844</v>
      </c>
      <c r="M23" s="493"/>
      <c r="N23" s="493">
        <f>B23</f>
        <v>3.7799999999999999E-3</v>
      </c>
      <c r="O23" s="493" t="e">
        <f>#REF!</f>
        <v>#REF!</v>
      </c>
      <c r="P23" s="505">
        <f>'Nov Price Out'!P23</f>
        <v>0.7</v>
      </c>
      <c r="Q23" s="502">
        <f t="shared" si="16"/>
        <v>173443131</v>
      </c>
      <c r="R23" s="502">
        <f t="shared" si="16"/>
        <v>453412.19999999972</v>
      </c>
      <c r="S23" s="169" t="e">
        <f t="shared" si="17"/>
        <v>#REF!</v>
      </c>
      <c r="T23" s="169">
        <f t="shared" si="17"/>
        <v>317389</v>
      </c>
      <c r="U23" s="169" t="e">
        <f>S23+T23</f>
        <v>#REF!</v>
      </c>
      <c r="V23" s="169">
        <f>ROUND(N23*Q23,0)</f>
        <v>655615</v>
      </c>
      <c r="X23" s="493" t="s">
        <v>305</v>
      </c>
      <c r="Y23" s="503" t="e">
        <f t="shared" si="18"/>
        <v>#REF!</v>
      </c>
      <c r="Z23" s="503">
        <f t="shared" si="18"/>
        <v>11788711</v>
      </c>
      <c r="AA23" s="503" t="e">
        <f>Y23+Z23</f>
        <v>#REF!</v>
      </c>
      <c r="AB23" s="503">
        <f>L23+V23</f>
        <v>5463459</v>
      </c>
    </row>
    <row r="24" spans="1:28" x14ac:dyDescent="0.25">
      <c r="A24" s="493" t="s">
        <v>310</v>
      </c>
      <c r="B24" s="493">
        <f>B9</f>
        <v>3.7799999999999999E-3</v>
      </c>
      <c r="C24" s="493" t="e">
        <f>#REF!</f>
        <v>#REF!</v>
      </c>
      <c r="D24" s="505">
        <f>'Nov Price Out'!D24</f>
        <v>1.75</v>
      </c>
      <c r="E24" s="502">
        <f>'[100]Adj Sales Forecast'!K32</f>
        <v>28799581</v>
      </c>
      <c r="F24" s="8">
        <f>'[100]Adj Demand Forecast '!K20</f>
        <v>61000</v>
      </c>
      <c r="G24" s="8">
        <f t="shared" si="14"/>
        <v>25343631</v>
      </c>
      <c r="H24" s="8">
        <f t="shared" si="14"/>
        <v>53680</v>
      </c>
      <c r="I24" s="169" t="e">
        <f t="shared" si="15"/>
        <v>#REF!</v>
      </c>
      <c r="J24" s="169">
        <f t="shared" si="15"/>
        <v>93940</v>
      </c>
      <c r="K24" s="169" t="e">
        <f>I24+J24</f>
        <v>#REF!</v>
      </c>
      <c r="L24" s="169">
        <f>ROUND(B24*G24,0)</f>
        <v>95799</v>
      </c>
      <c r="M24" s="493"/>
      <c r="N24" s="493">
        <f>B24</f>
        <v>3.7799999999999999E-3</v>
      </c>
      <c r="O24" s="493" t="e">
        <f>#REF!</f>
        <v>#REF!</v>
      </c>
      <c r="P24" s="505">
        <f>'Nov Price Out'!P24</f>
        <v>0.36</v>
      </c>
      <c r="Q24" s="502">
        <f t="shared" si="16"/>
        <v>3455950</v>
      </c>
      <c r="R24" s="502">
        <f t="shared" si="16"/>
        <v>7320</v>
      </c>
      <c r="S24" s="169" t="e">
        <f t="shared" si="17"/>
        <v>#REF!</v>
      </c>
      <c r="T24" s="169">
        <f t="shared" si="17"/>
        <v>2635</v>
      </c>
      <c r="U24" s="169" t="e">
        <f>S24+T24</f>
        <v>#REF!</v>
      </c>
      <c r="V24" s="169">
        <f>ROUND(N24*Q24,0)</f>
        <v>13063</v>
      </c>
      <c r="X24" s="493" t="s">
        <v>310</v>
      </c>
      <c r="Y24" s="503" t="e">
        <f t="shared" si="18"/>
        <v>#REF!</v>
      </c>
      <c r="Z24" s="503">
        <f t="shared" si="18"/>
        <v>96575</v>
      </c>
      <c r="AA24" s="503" t="e">
        <f>Y24+Z24</f>
        <v>#REF!</v>
      </c>
      <c r="AB24" s="503">
        <f>L24+V24</f>
        <v>108862</v>
      </c>
    </row>
    <row r="25" spans="1:28" x14ac:dyDescent="0.25">
      <c r="A25" s="493"/>
      <c r="B25" s="493"/>
      <c r="C25" s="493"/>
      <c r="D25" s="493"/>
      <c r="E25" s="493"/>
      <c r="F25" s="8"/>
      <c r="G25" s="8"/>
      <c r="H25" s="8"/>
      <c r="I25" s="493"/>
      <c r="J25" s="493"/>
      <c r="K25" s="493"/>
      <c r="L25" s="493"/>
      <c r="M25" s="493"/>
      <c r="N25" s="493"/>
      <c r="O25" s="493"/>
      <c r="P25" s="493"/>
      <c r="Q25" s="493"/>
      <c r="R25" s="8"/>
      <c r="S25" s="169"/>
      <c r="T25" s="169"/>
      <c r="U25" s="169"/>
      <c r="V25" s="169"/>
      <c r="X25" s="493"/>
      <c r="Y25" s="503"/>
      <c r="Z25" s="503"/>
      <c r="AA25" s="503"/>
      <c r="AB25" s="503"/>
    </row>
    <row r="26" spans="1:28" x14ac:dyDescent="0.25">
      <c r="A26" s="493" t="s">
        <v>519</v>
      </c>
      <c r="B26" s="501">
        <f>$B$8</f>
        <v>3.7799999999999999E-3</v>
      </c>
      <c r="C26" s="504" t="e">
        <f>#REF!</f>
        <v>#REF!</v>
      </c>
      <c r="D26" s="505">
        <f>'Nov Price Out'!D26</f>
        <v>5.22</v>
      </c>
      <c r="E26" s="8">
        <f>'[100]Forecasted TOD kWh by Period'!K54</f>
        <v>5304000</v>
      </c>
      <c r="F26" s="8">
        <f>'[100]Forecasted TOD kW by Period'!D26</f>
        <v>20733</v>
      </c>
      <c r="G26" s="8">
        <f t="shared" ref="G26:G31" si="19">ROUND(E26*0.88,0)</f>
        <v>4667520</v>
      </c>
      <c r="H26" s="8">
        <f>ROUND(F26*0.88,0)</f>
        <v>18245</v>
      </c>
      <c r="I26" s="169" t="e">
        <f t="shared" ref="I26:J31" si="20">ROUND(C26*G26,0)</f>
        <v>#REF!</v>
      </c>
      <c r="J26" s="169">
        <f t="shared" si="20"/>
        <v>95239</v>
      </c>
      <c r="K26" s="169" t="e">
        <f>I26+J26</f>
        <v>#REF!</v>
      </c>
      <c r="L26" s="169">
        <f>ROUND(B26*G26,0)</f>
        <v>17643</v>
      </c>
      <c r="M26" s="493"/>
      <c r="N26" s="493">
        <f t="shared" ref="N26:N31" si="21">B26</f>
        <v>3.7799999999999999E-3</v>
      </c>
      <c r="O26" s="504" t="e">
        <f>#REF!</f>
        <v>#REF!</v>
      </c>
      <c r="P26" s="505">
        <f>'Nov Price Out'!P26</f>
        <v>1.07</v>
      </c>
      <c r="Q26" s="502">
        <f>E26-G26</f>
        <v>636480</v>
      </c>
      <c r="R26" s="502">
        <f>F26-H26</f>
        <v>2488</v>
      </c>
      <c r="S26" s="169" t="e">
        <f t="shared" ref="S26:T31" si="22">ROUND(O26*Q26,0)</f>
        <v>#REF!</v>
      </c>
      <c r="T26" s="169">
        <f t="shared" si="22"/>
        <v>2662</v>
      </c>
      <c r="U26" s="169" t="e">
        <f t="shared" ref="U26:U31" si="23">S26+T26</f>
        <v>#REF!</v>
      </c>
      <c r="V26" s="169">
        <f t="shared" ref="V26:V31" si="24">ROUND(N26*Q26,0)</f>
        <v>2406</v>
      </c>
      <c r="X26" s="493" t="s">
        <v>519</v>
      </c>
      <c r="Y26" s="503" t="e">
        <f t="shared" ref="Y26:Z31" si="25">I26+S26</f>
        <v>#REF!</v>
      </c>
      <c r="Z26" s="503">
        <f t="shared" si="25"/>
        <v>97901</v>
      </c>
      <c r="AA26" s="503" t="e">
        <f t="shared" ref="AA26:AA31" si="26">Y26+Z26</f>
        <v>#REF!</v>
      </c>
      <c r="AB26" s="503">
        <f t="shared" ref="AB26:AB31" si="27">L26+V26</f>
        <v>20049</v>
      </c>
    </row>
    <row r="27" spans="1:28" x14ac:dyDescent="0.25">
      <c r="A27" s="493" t="s">
        <v>520</v>
      </c>
      <c r="B27" s="501">
        <f t="shared" ref="B27:B42" si="28">$B$8</f>
        <v>3.7799999999999999E-3</v>
      </c>
      <c r="C27" s="504" t="e">
        <f>#REF!</f>
        <v>#REF!</v>
      </c>
      <c r="D27" s="493">
        <f>'Nov Price Out'!D27</f>
        <v>0</v>
      </c>
      <c r="E27" s="8">
        <f>'[100]Forecasted TOD kWh by Period'!K55</f>
        <v>6696000</v>
      </c>
      <c r="F27" s="8"/>
      <c r="G27" s="8">
        <f t="shared" si="19"/>
        <v>5892480</v>
      </c>
      <c r="H27" s="8"/>
      <c r="I27" s="169" t="e">
        <f t="shared" si="20"/>
        <v>#REF!</v>
      </c>
      <c r="J27" s="169">
        <f t="shared" si="20"/>
        <v>0</v>
      </c>
      <c r="K27" s="169" t="e">
        <f>I27+J27</f>
        <v>#REF!</v>
      </c>
      <c r="L27" s="169">
        <f>ROUND(B27*G27,0)</f>
        <v>22274</v>
      </c>
      <c r="M27" s="493"/>
      <c r="N27" s="493">
        <f t="shared" si="21"/>
        <v>3.7799999999999999E-3</v>
      </c>
      <c r="O27" s="504" t="e">
        <f>#REF!</f>
        <v>#REF!</v>
      </c>
      <c r="P27" s="493">
        <f>'Nov Price Out'!P27</f>
        <v>0</v>
      </c>
      <c r="Q27" s="502">
        <f>E27-G27</f>
        <v>803520</v>
      </c>
      <c r="R27" s="502"/>
      <c r="S27" s="169" t="e">
        <f t="shared" si="22"/>
        <v>#REF!</v>
      </c>
      <c r="T27" s="169">
        <f t="shared" si="22"/>
        <v>0</v>
      </c>
      <c r="U27" s="169" t="e">
        <f t="shared" si="23"/>
        <v>#REF!</v>
      </c>
      <c r="V27" s="169">
        <f t="shared" si="24"/>
        <v>3037</v>
      </c>
      <c r="X27" s="493" t="s">
        <v>520</v>
      </c>
      <c r="Y27" s="503" t="e">
        <f t="shared" si="25"/>
        <v>#REF!</v>
      </c>
      <c r="Z27" s="503">
        <f t="shared" si="25"/>
        <v>0</v>
      </c>
      <c r="AA27" s="503" t="e">
        <f t="shared" si="26"/>
        <v>#REF!</v>
      </c>
      <c r="AB27" s="503">
        <f t="shared" si="27"/>
        <v>25311</v>
      </c>
    </row>
    <row r="28" spans="1:28" x14ac:dyDescent="0.25">
      <c r="A28" s="493" t="s">
        <v>521</v>
      </c>
      <c r="B28" s="501">
        <f t="shared" si="28"/>
        <v>3.7799999999999999E-3</v>
      </c>
      <c r="C28" s="504" t="e">
        <f>#REF!</f>
        <v>#REF!</v>
      </c>
      <c r="D28" s="505">
        <f>'Nov Price Out'!D28</f>
        <v>3.49</v>
      </c>
      <c r="E28" s="502">
        <f>'[100]Forecasted TOD kWh by Period'!K58</f>
        <v>56756300</v>
      </c>
      <c r="F28" s="8">
        <f>'[100]Forecasted TOD kW by Period'!D30</f>
        <v>206361</v>
      </c>
      <c r="G28" s="8">
        <f t="shared" si="19"/>
        <v>49945544</v>
      </c>
      <c r="H28" s="8">
        <f>ROUND(F28*0.88,0)</f>
        <v>181598</v>
      </c>
      <c r="I28" s="169" t="e">
        <f t="shared" si="20"/>
        <v>#REF!</v>
      </c>
      <c r="J28" s="169">
        <f t="shared" si="20"/>
        <v>633777</v>
      </c>
      <c r="K28" s="169" t="e">
        <f>I28+J28</f>
        <v>#REF!</v>
      </c>
      <c r="L28" s="169">
        <f>ROUND(B28*G28,0)</f>
        <v>188794</v>
      </c>
      <c r="M28" s="493"/>
      <c r="N28" s="493">
        <f t="shared" si="21"/>
        <v>3.7799999999999999E-3</v>
      </c>
      <c r="O28" s="504" t="e">
        <f>#REF!</f>
        <v>#REF!</v>
      </c>
      <c r="P28" s="505">
        <f>'Nov Price Out'!P28</f>
        <v>0.71</v>
      </c>
      <c r="Q28" s="502">
        <f>E28-G28</f>
        <v>6810756</v>
      </c>
      <c r="R28" s="502">
        <f>F28-H28</f>
        <v>24763</v>
      </c>
      <c r="S28" s="169" t="e">
        <f t="shared" si="22"/>
        <v>#REF!</v>
      </c>
      <c r="T28" s="169">
        <f t="shared" si="22"/>
        <v>17582</v>
      </c>
      <c r="U28" s="169" t="e">
        <f t="shared" si="23"/>
        <v>#REF!</v>
      </c>
      <c r="V28" s="169">
        <f t="shared" si="24"/>
        <v>25745</v>
      </c>
      <c r="X28" s="493" t="s">
        <v>521</v>
      </c>
      <c r="Y28" s="503" t="e">
        <f t="shared" si="25"/>
        <v>#REF!</v>
      </c>
      <c r="Z28" s="503">
        <f t="shared" si="25"/>
        <v>651359</v>
      </c>
      <c r="AA28" s="503" t="e">
        <f t="shared" si="26"/>
        <v>#REF!</v>
      </c>
      <c r="AB28" s="503">
        <f t="shared" si="27"/>
        <v>214539</v>
      </c>
    </row>
    <row r="29" spans="1:28" x14ac:dyDescent="0.25">
      <c r="A29" s="493" t="s">
        <v>522</v>
      </c>
      <c r="B29" s="501">
        <f t="shared" si="28"/>
        <v>3.7799999999999999E-3</v>
      </c>
      <c r="C29" s="504" t="e">
        <f>#REF!</f>
        <v>#REF!</v>
      </c>
      <c r="D29" s="493">
        <f>'Nov Price Out'!D29</f>
        <v>0</v>
      </c>
      <c r="E29" s="502">
        <f>'[100]Forecasted TOD kWh by Period'!K59</f>
        <v>70243700</v>
      </c>
      <c r="F29" s="8"/>
      <c r="G29" s="8">
        <f t="shared" si="19"/>
        <v>61814456</v>
      </c>
      <c r="H29" s="8"/>
      <c r="I29" s="169" t="e">
        <f t="shared" si="20"/>
        <v>#REF!</v>
      </c>
      <c r="J29" s="169">
        <f t="shared" si="20"/>
        <v>0</v>
      </c>
      <c r="K29" s="169" t="e">
        <f>I29+J29</f>
        <v>#REF!</v>
      </c>
      <c r="L29" s="169">
        <f>ROUND(B29*G29,0)</f>
        <v>233659</v>
      </c>
      <c r="M29" s="493"/>
      <c r="N29" s="493">
        <f t="shared" si="21"/>
        <v>3.7799999999999999E-3</v>
      </c>
      <c r="O29" s="504" t="e">
        <f>#REF!</f>
        <v>#REF!</v>
      </c>
      <c r="P29" s="493">
        <f>'Nov Price Out'!P29</f>
        <v>0</v>
      </c>
      <c r="Q29" s="502">
        <f>E29-G29</f>
        <v>8429244</v>
      </c>
      <c r="R29" s="502"/>
      <c r="S29" s="169" t="e">
        <f t="shared" si="22"/>
        <v>#REF!</v>
      </c>
      <c r="T29" s="169">
        <f t="shared" si="22"/>
        <v>0</v>
      </c>
      <c r="U29" s="169" t="e">
        <f t="shared" si="23"/>
        <v>#REF!</v>
      </c>
      <c r="V29" s="169">
        <f t="shared" si="24"/>
        <v>31863</v>
      </c>
      <c r="X29" s="493" t="s">
        <v>522</v>
      </c>
      <c r="Y29" s="503" t="e">
        <f t="shared" si="25"/>
        <v>#REF!</v>
      </c>
      <c r="Z29" s="503">
        <f t="shared" si="25"/>
        <v>0</v>
      </c>
      <c r="AA29" s="503" t="e">
        <f t="shared" si="26"/>
        <v>#REF!</v>
      </c>
      <c r="AB29" s="503">
        <f t="shared" si="27"/>
        <v>265522</v>
      </c>
    </row>
    <row r="30" spans="1:28" x14ac:dyDescent="0.25">
      <c r="A30" s="493" t="s">
        <v>523</v>
      </c>
      <c r="B30" s="501">
        <f t="shared" si="28"/>
        <v>3.7799999999999999E-3</v>
      </c>
      <c r="C30" s="504" t="e">
        <f>#REF!</f>
        <v>#REF!</v>
      </c>
      <c r="D30" s="505">
        <f>'Nov Price Out'!D30</f>
        <v>1.77</v>
      </c>
      <c r="E30" s="8">
        <f>'[100]Adj Sales Forecast'!K33</f>
        <v>0</v>
      </c>
      <c r="F30" s="8">
        <f>'[100]Adj Demand Forecast '!B21</f>
        <v>0</v>
      </c>
      <c r="G30" s="8">
        <f t="shared" si="19"/>
        <v>0</v>
      </c>
      <c r="H30" s="8">
        <f>ROUND(F30*0.88,0)</f>
        <v>0</v>
      </c>
      <c r="I30" s="169" t="e">
        <f t="shared" si="20"/>
        <v>#REF!</v>
      </c>
      <c r="J30" s="169">
        <f t="shared" si="20"/>
        <v>0</v>
      </c>
      <c r="K30" s="169" t="e">
        <f>I30+J30</f>
        <v>#REF!</v>
      </c>
      <c r="L30" s="169">
        <f>ROUND(B30*G30,0)</f>
        <v>0</v>
      </c>
      <c r="M30" s="493"/>
      <c r="N30" s="493">
        <f t="shared" si="21"/>
        <v>3.7799999999999999E-3</v>
      </c>
      <c r="O30" s="504" t="e">
        <f>#REF!</f>
        <v>#REF!</v>
      </c>
      <c r="P30" s="505">
        <f>'Nov Price Out'!P30</f>
        <v>0.36</v>
      </c>
      <c r="Q30" s="65">
        <f>E30-G30</f>
        <v>0</v>
      </c>
      <c r="R30" s="65">
        <f>F30-H30</f>
        <v>0</v>
      </c>
      <c r="S30" s="169" t="e">
        <f t="shared" si="22"/>
        <v>#REF!</v>
      </c>
      <c r="T30" s="169">
        <f t="shared" si="22"/>
        <v>0</v>
      </c>
      <c r="U30" s="169" t="e">
        <f t="shared" si="23"/>
        <v>#REF!</v>
      </c>
      <c r="V30" s="169">
        <f t="shared" si="24"/>
        <v>0</v>
      </c>
      <c r="X30" s="493" t="s">
        <v>523</v>
      </c>
      <c r="Y30" s="503" t="e">
        <f t="shared" si="25"/>
        <v>#REF!</v>
      </c>
      <c r="Z30" s="503">
        <f t="shared" si="25"/>
        <v>0</v>
      </c>
      <c r="AA30" s="503" t="e">
        <f t="shared" si="26"/>
        <v>#REF!</v>
      </c>
      <c r="AB30" s="503">
        <f t="shared" si="27"/>
        <v>0</v>
      </c>
    </row>
    <row r="31" spans="1:28" x14ac:dyDescent="0.25">
      <c r="A31" s="493" t="s">
        <v>524</v>
      </c>
      <c r="B31" s="501">
        <f t="shared" si="28"/>
        <v>3.7799999999999999E-3</v>
      </c>
      <c r="C31" s="504" t="e">
        <f>#REF!</f>
        <v>#REF!</v>
      </c>
      <c r="D31" s="493">
        <f>'Nov Price Out'!D31</f>
        <v>0</v>
      </c>
      <c r="E31" s="65">
        <v>0</v>
      </c>
      <c r="F31" s="8"/>
      <c r="G31" s="8">
        <f t="shared" si="19"/>
        <v>0</v>
      </c>
      <c r="H31" s="8"/>
      <c r="I31" s="169" t="e">
        <f t="shared" si="20"/>
        <v>#REF!</v>
      </c>
      <c r="J31" s="169">
        <f t="shared" si="20"/>
        <v>0</v>
      </c>
      <c r="K31" s="169" t="e">
        <f>ROUND(D31*I31,0)</f>
        <v>#REF!</v>
      </c>
      <c r="L31" s="169">
        <f>ROUND(E31*J31,0)</f>
        <v>0</v>
      </c>
      <c r="M31" s="493"/>
      <c r="N31" s="493">
        <f t="shared" si="21"/>
        <v>3.7799999999999999E-3</v>
      </c>
      <c r="O31" s="504" t="e">
        <f>#REF!</f>
        <v>#REF!</v>
      </c>
      <c r="P31" s="493">
        <f>'Nov Price Out'!P31</f>
        <v>0</v>
      </c>
      <c r="Q31" s="65">
        <v>0</v>
      </c>
      <c r="R31" s="65">
        <v>0</v>
      </c>
      <c r="S31" s="169" t="e">
        <f t="shared" si="22"/>
        <v>#REF!</v>
      </c>
      <c r="T31" s="169">
        <f t="shared" si="22"/>
        <v>0</v>
      </c>
      <c r="U31" s="169" t="e">
        <f t="shared" si="23"/>
        <v>#REF!</v>
      </c>
      <c r="V31" s="169">
        <f t="shared" si="24"/>
        <v>0</v>
      </c>
      <c r="X31" s="493" t="s">
        <v>524</v>
      </c>
      <c r="Y31" s="503" t="e">
        <f t="shared" si="25"/>
        <v>#REF!</v>
      </c>
      <c r="Z31" s="503">
        <f t="shared" si="25"/>
        <v>0</v>
      </c>
      <c r="AA31" s="503" t="e">
        <f t="shared" si="26"/>
        <v>#REF!</v>
      </c>
      <c r="AB31" s="503">
        <f t="shared" si="27"/>
        <v>0</v>
      </c>
    </row>
    <row r="32" spans="1:28" x14ac:dyDescent="0.25">
      <c r="A32" s="493"/>
      <c r="B32" s="504"/>
      <c r="C32" s="504"/>
      <c r="D32" s="493"/>
      <c r="E32" s="493"/>
      <c r="F32" s="8"/>
      <c r="G32" s="8"/>
      <c r="H32" s="8"/>
      <c r="I32" s="493"/>
      <c r="J32" s="493"/>
      <c r="K32" s="493"/>
      <c r="L32" s="493"/>
      <c r="M32" s="493"/>
      <c r="N32" s="493"/>
      <c r="O32" s="504"/>
      <c r="P32" s="493"/>
      <c r="Q32" s="493"/>
      <c r="R32" s="8"/>
      <c r="S32" s="493"/>
      <c r="T32" s="493"/>
      <c r="U32" s="493"/>
      <c r="V32" s="493"/>
      <c r="X32" s="493"/>
      <c r="Y32" s="503"/>
      <c r="Z32" s="503"/>
      <c r="AA32" s="503"/>
      <c r="AB32" s="503"/>
    </row>
    <row r="33" spans="1:28" x14ac:dyDescent="0.25">
      <c r="A33" s="493" t="s">
        <v>525</v>
      </c>
      <c r="B33" s="501">
        <f t="shared" si="28"/>
        <v>3.7799999999999999E-3</v>
      </c>
      <c r="C33" s="504" t="e">
        <f>#REF!</f>
        <v>#REF!</v>
      </c>
      <c r="D33" s="505">
        <f>'Nov Price Out'!D33</f>
        <v>2.93</v>
      </c>
      <c r="E33" s="502">
        <f>'[100]Forecasted TOD kWh by Period'!K8</f>
        <v>4814700</v>
      </c>
      <c r="F33" s="8">
        <f>'[100]Forecasted TOD kW by Period'!D6</f>
        <v>21710</v>
      </c>
      <c r="G33" s="8">
        <f t="shared" ref="G33:G42" si="29">ROUND(E33*0.88,0)</f>
        <v>4236936</v>
      </c>
      <c r="H33" s="8">
        <f>ROUND(F33*0.88,0)</f>
        <v>19105</v>
      </c>
      <c r="I33" s="169" t="e">
        <f t="shared" ref="I33:J42" si="30">ROUND(C33*G33,0)</f>
        <v>#REF!</v>
      </c>
      <c r="J33" s="169">
        <f t="shared" si="30"/>
        <v>55978</v>
      </c>
      <c r="K33" s="169" t="e">
        <f t="shared" ref="K33:K42" si="31">I33+J33</f>
        <v>#REF!</v>
      </c>
      <c r="L33" s="169">
        <f t="shared" ref="L33:L42" si="32">ROUND(B33*G33,0)</f>
        <v>16016</v>
      </c>
      <c r="M33" s="493"/>
      <c r="N33" s="493">
        <f t="shared" ref="N33:N42" si="33">B33</f>
        <v>3.7799999999999999E-3</v>
      </c>
      <c r="O33" s="504" t="e">
        <f>#REF!</f>
        <v>#REF!</v>
      </c>
      <c r="P33" s="505">
        <f>'Nov Price Out'!P33</f>
        <v>0.6</v>
      </c>
      <c r="Q33" s="502">
        <f t="shared" ref="Q33:Q42" si="34">E33-G33</f>
        <v>577764</v>
      </c>
      <c r="R33" s="502">
        <f>F33-H33</f>
        <v>2605</v>
      </c>
      <c r="S33" s="169" t="e">
        <f t="shared" ref="S33:T42" si="35">ROUND(O33*Q33,0)</f>
        <v>#REF!</v>
      </c>
      <c r="T33" s="169">
        <f t="shared" si="35"/>
        <v>1563</v>
      </c>
      <c r="U33" s="169" t="e">
        <f t="shared" ref="U33:U42" si="36">S33+T33</f>
        <v>#REF!</v>
      </c>
      <c r="V33" s="169">
        <f t="shared" ref="V33:V42" si="37">ROUND(N33*Q33,0)</f>
        <v>2184</v>
      </c>
      <c r="X33" s="493" t="s">
        <v>525</v>
      </c>
      <c r="Y33" s="503" t="e">
        <f t="shared" ref="Y33:Z42" si="38">I33+S33</f>
        <v>#REF!</v>
      </c>
      <c r="Z33" s="503">
        <f t="shared" si="38"/>
        <v>57541</v>
      </c>
      <c r="AA33" s="503" t="e">
        <f t="shared" ref="AA33:AA42" si="39">Y33+Z33</f>
        <v>#REF!</v>
      </c>
      <c r="AB33" s="503">
        <f t="shared" ref="AB33:AB42" si="40">L33+V33</f>
        <v>18200</v>
      </c>
    </row>
    <row r="34" spans="1:28" x14ac:dyDescent="0.25">
      <c r="A34" s="493" t="s">
        <v>526</v>
      </c>
      <c r="B34" s="501">
        <f t="shared" si="28"/>
        <v>3.7799999999999999E-3</v>
      </c>
      <c r="C34" s="504" t="e">
        <f>#REF!</f>
        <v>#REF!</v>
      </c>
      <c r="D34" s="493">
        <f>'Nov Price Out'!D34</f>
        <v>0</v>
      </c>
      <c r="E34" s="502">
        <f>'[100]Forecasted TOD kWh by Period'!K9</f>
        <v>6185300</v>
      </c>
      <c r="F34" s="8"/>
      <c r="G34" s="8">
        <f t="shared" si="29"/>
        <v>5443064</v>
      </c>
      <c r="H34" s="8"/>
      <c r="I34" s="169" t="e">
        <f t="shared" si="30"/>
        <v>#REF!</v>
      </c>
      <c r="J34" s="169">
        <f t="shared" si="30"/>
        <v>0</v>
      </c>
      <c r="K34" s="169" t="e">
        <f t="shared" si="31"/>
        <v>#REF!</v>
      </c>
      <c r="L34" s="169">
        <f t="shared" si="32"/>
        <v>20575</v>
      </c>
      <c r="M34" s="493"/>
      <c r="N34" s="493">
        <f t="shared" si="33"/>
        <v>3.7799999999999999E-3</v>
      </c>
      <c r="O34" s="504" t="e">
        <f>#REF!</f>
        <v>#REF!</v>
      </c>
      <c r="P34" s="493">
        <f>'Nov Price Out'!P34</f>
        <v>0</v>
      </c>
      <c r="Q34" s="502">
        <f t="shared" si="34"/>
        <v>742236</v>
      </c>
      <c r="R34" s="502"/>
      <c r="S34" s="169" t="e">
        <f t="shared" si="35"/>
        <v>#REF!</v>
      </c>
      <c r="T34" s="169">
        <f t="shared" si="35"/>
        <v>0</v>
      </c>
      <c r="U34" s="169" t="e">
        <f t="shared" si="36"/>
        <v>#REF!</v>
      </c>
      <c r="V34" s="169">
        <f t="shared" si="37"/>
        <v>2806</v>
      </c>
      <c r="X34" s="493" t="s">
        <v>526</v>
      </c>
      <c r="Y34" s="503" t="e">
        <f t="shared" si="38"/>
        <v>#REF!</v>
      </c>
      <c r="Z34" s="503">
        <f t="shared" si="38"/>
        <v>0</v>
      </c>
      <c r="AA34" s="503" t="e">
        <f t="shared" si="39"/>
        <v>#REF!</v>
      </c>
      <c r="AB34" s="503">
        <f t="shared" si="40"/>
        <v>23381</v>
      </c>
    </row>
    <row r="35" spans="1:28" x14ac:dyDescent="0.25">
      <c r="A35" s="493" t="s">
        <v>527</v>
      </c>
      <c r="B35" s="501">
        <f t="shared" si="28"/>
        <v>3.7799999999999999E-3</v>
      </c>
      <c r="C35" s="504" t="e">
        <f>#REF!</f>
        <v>#REF!</v>
      </c>
      <c r="D35" s="505">
        <f>'Nov Price Out'!D35</f>
        <v>5.99</v>
      </c>
      <c r="E35" s="502">
        <f>'[100]Forecasted TOD kWh by Period'!K12</f>
        <v>4991800</v>
      </c>
      <c r="F35" s="8">
        <f>'[100]Forecasted TOD kW by Period'!D10</f>
        <v>20941</v>
      </c>
      <c r="G35" s="8">
        <f t="shared" si="29"/>
        <v>4392784</v>
      </c>
      <c r="H35" s="8">
        <f>ROUND(F35*0.88,0)</f>
        <v>18428</v>
      </c>
      <c r="I35" s="169" t="e">
        <f t="shared" si="30"/>
        <v>#REF!</v>
      </c>
      <c r="J35" s="169">
        <f t="shared" si="30"/>
        <v>110384</v>
      </c>
      <c r="K35" s="169" t="e">
        <f t="shared" si="31"/>
        <v>#REF!</v>
      </c>
      <c r="L35" s="169">
        <f t="shared" si="32"/>
        <v>16605</v>
      </c>
      <c r="M35" s="493"/>
      <c r="N35" s="493">
        <f t="shared" si="33"/>
        <v>3.7799999999999999E-3</v>
      </c>
      <c r="O35" s="504" t="e">
        <f>#REF!</f>
        <v>#REF!</v>
      </c>
      <c r="P35" s="505">
        <f>'Nov Price Out'!P35</f>
        <v>1.22</v>
      </c>
      <c r="Q35" s="502">
        <f t="shared" si="34"/>
        <v>599016</v>
      </c>
      <c r="R35" s="502">
        <f>F35-H35</f>
        <v>2513</v>
      </c>
      <c r="S35" s="169" t="e">
        <f t="shared" si="35"/>
        <v>#REF!</v>
      </c>
      <c r="T35" s="169">
        <f t="shared" si="35"/>
        <v>3066</v>
      </c>
      <c r="U35" s="169" t="e">
        <f t="shared" si="36"/>
        <v>#REF!</v>
      </c>
      <c r="V35" s="169">
        <f t="shared" si="37"/>
        <v>2264</v>
      </c>
      <c r="X35" s="493" t="s">
        <v>527</v>
      </c>
      <c r="Y35" s="503" t="e">
        <f t="shared" si="38"/>
        <v>#REF!</v>
      </c>
      <c r="Z35" s="503">
        <f t="shared" si="38"/>
        <v>113450</v>
      </c>
      <c r="AA35" s="503" t="e">
        <f t="shared" si="39"/>
        <v>#REF!</v>
      </c>
      <c r="AB35" s="503">
        <f t="shared" si="40"/>
        <v>18869</v>
      </c>
    </row>
    <row r="36" spans="1:28" x14ac:dyDescent="0.25">
      <c r="A36" s="493" t="s">
        <v>528</v>
      </c>
      <c r="B36" s="501">
        <f t="shared" si="28"/>
        <v>3.7799999999999999E-3</v>
      </c>
      <c r="C36" s="504" t="e">
        <f>#REF!</f>
        <v>#REF!</v>
      </c>
      <c r="D36" s="493">
        <f>'Nov Price Out'!D36</f>
        <v>0</v>
      </c>
      <c r="E36" s="502">
        <f>'[100]Forecasted TOD kWh by Period'!K13</f>
        <v>6008200</v>
      </c>
      <c r="F36" s="8"/>
      <c r="G36" s="8">
        <f t="shared" si="29"/>
        <v>5287216</v>
      </c>
      <c r="H36" s="8"/>
      <c r="I36" s="169" t="e">
        <f t="shared" si="30"/>
        <v>#REF!</v>
      </c>
      <c r="J36" s="169">
        <f t="shared" si="30"/>
        <v>0</v>
      </c>
      <c r="K36" s="169" t="e">
        <f t="shared" si="31"/>
        <v>#REF!</v>
      </c>
      <c r="L36" s="169">
        <f t="shared" si="32"/>
        <v>19986</v>
      </c>
      <c r="M36" s="493"/>
      <c r="N36" s="493">
        <f t="shared" si="33"/>
        <v>3.7799999999999999E-3</v>
      </c>
      <c r="O36" s="504" t="e">
        <f>#REF!</f>
        <v>#REF!</v>
      </c>
      <c r="P36" s="493">
        <f>'Nov Price Out'!P36</f>
        <v>0</v>
      </c>
      <c r="Q36" s="502">
        <f t="shared" si="34"/>
        <v>720984</v>
      </c>
      <c r="R36" s="502"/>
      <c r="S36" s="169" t="e">
        <f t="shared" si="35"/>
        <v>#REF!</v>
      </c>
      <c r="T36" s="169">
        <f t="shared" si="35"/>
        <v>0</v>
      </c>
      <c r="U36" s="169" t="e">
        <f t="shared" si="36"/>
        <v>#REF!</v>
      </c>
      <c r="V36" s="169">
        <f t="shared" si="37"/>
        <v>2725</v>
      </c>
      <c r="X36" s="493" t="s">
        <v>528</v>
      </c>
      <c r="Y36" s="503" t="e">
        <f t="shared" si="38"/>
        <v>#REF!</v>
      </c>
      <c r="Z36" s="503">
        <f t="shared" si="38"/>
        <v>0</v>
      </c>
      <c r="AA36" s="503" t="e">
        <f t="shared" si="39"/>
        <v>#REF!</v>
      </c>
      <c r="AB36" s="503">
        <f t="shared" si="40"/>
        <v>22711</v>
      </c>
    </row>
    <row r="37" spans="1:28" x14ac:dyDescent="0.25">
      <c r="A37" s="493" t="s">
        <v>529</v>
      </c>
      <c r="B37" s="501">
        <f t="shared" si="28"/>
        <v>3.7799999999999999E-3</v>
      </c>
      <c r="C37" s="504" t="e">
        <f>#REF!</f>
        <v>#REF!</v>
      </c>
      <c r="D37" s="505">
        <f>'Nov Price Out'!D37</f>
        <v>5.05</v>
      </c>
      <c r="E37" s="502">
        <f>'[100]Forecasted TOD kWh by Period'!K16</f>
        <v>278488000</v>
      </c>
      <c r="F37" s="8">
        <f>'[100]Forecasted TOD kW by Period'!D14</f>
        <v>1162343</v>
      </c>
      <c r="G37" s="8">
        <f t="shared" si="29"/>
        <v>245069440</v>
      </c>
      <c r="H37" s="8">
        <f>ROUND(F37*0.88,0)</f>
        <v>1022862</v>
      </c>
      <c r="I37" s="169" t="e">
        <f t="shared" si="30"/>
        <v>#REF!</v>
      </c>
      <c r="J37" s="169">
        <f t="shared" si="30"/>
        <v>5165453</v>
      </c>
      <c r="K37" s="169" t="e">
        <f t="shared" si="31"/>
        <v>#REF!</v>
      </c>
      <c r="L37" s="169">
        <f t="shared" si="32"/>
        <v>926362</v>
      </c>
      <c r="M37" s="493"/>
      <c r="N37" s="493">
        <f t="shared" si="33"/>
        <v>3.7799999999999999E-3</v>
      </c>
      <c r="O37" s="504" t="e">
        <f>#REF!</f>
        <v>#REF!</v>
      </c>
      <c r="P37" s="505">
        <f>'Nov Price Out'!P37</f>
        <v>1.03</v>
      </c>
      <c r="Q37" s="502">
        <f t="shared" si="34"/>
        <v>33418560</v>
      </c>
      <c r="R37" s="502">
        <f>F37-H37</f>
        <v>139481</v>
      </c>
      <c r="S37" s="169" t="e">
        <f t="shared" si="35"/>
        <v>#REF!</v>
      </c>
      <c r="T37" s="169">
        <f t="shared" si="35"/>
        <v>143665</v>
      </c>
      <c r="U37" s="169" t="e">
        <f t="shared" si="36"/>
        <v>#REF!</v>
      </c>
      <c r="V37" s="169">
        <f t="shared" si="37"/>
        <v>126322</v>
      </c>
      <c r="X37" s="493" t="s">
        <v>529</v>
      </c>
      <c r="Y37" s="503" t="e">
        <f t="shared" si="38"/>
        <v>#REF!</v>
      </c>
      <c r="Z37" s="503">
        <f t="shared" si="38"/>
        <v>5309118</v>
      </c>
      <c r="AA37" s="503" t="e">
        <f t="shared" si="39"/>
        <v>#REF!</v>
      </c>
      <c r="AB37" s="503">
        <f t="shared" si="40"/>
        <v>1052684</v>
      </c>
    </row>
    <row r="38" spans="1:28" x14ac:dyDescent="0.25">
      <c r="A38" s="493" t="s">
        <v>530</v>
      </c>
      <c r="B38" s="501">
        <f t="shared" si="28"/>
        <v>3.7799999999999999E-3</v>
      </c>
      <c r="C38" s="504" t="e">
        <f>#REF!</f>
        <v>#REF!</v>
      </c>
      <c r="D38" s="493">
        <f>'Nov Price Out'!D38</f>
        <v>0</v>
      </c>
      <c r="E38" s="502">
        <f>'[100]Forecasted TOD kWh by Period'!K17</f>
        <v>281512000</v>
      </c>
      <c r="F38" s="8"/>
      <c r="G38" s="8">
        <f t="shared" si="29"/>
        <v>247730560</v>
      </c>
      <c r="H38" s="8"/>
      <c r="I38" s="169" t="e">
        <f t="shared" si="30"/>
        <v>#REF!</v>
      </c>
      <c r="J38" s="169">
        <f t="shared" si="30"/>
        <v>0</v>
      </c>
      <c r="K38" s="169" t="e">
        <f t="shared" si="31"/>
        <v>#REF!</v>
      </c>
      <c r="L38" s="169">
        <f t="shared" si="32"/>
        <v>936422</v>
      </c>
      <c r="M38" s="493"/>
      <c r="N38" s="493">
        <f t="shared" si="33"/>
        <v>3.7799999999999999E-3</v>
      </c>
      <c r="O38" s="504" t="e">
        <f>#REF!</f>
        <v>#REF!</v>
      </c>
      <c r="P38" s="493">
        <f>'Nov Price Out'!P38</f>
        <v>0</v>
      </c>
      <c r="Q38" s="502">
        <f t="shared" si="34"/>
        <v>33781440</v>
      </c>
      <c r="R38" s="502"/>
      <c r="S38" s="169" t="e">
        <f t="shared" si="35"/>
        <v>#REF!</v>
      </c>
      <c r="T38" s="169">
        <f t="shared" si="35"/>
        <v>0</v>
      </c>
      <c r="U38" s="169" t="e">
        <f t="shared" si="36"/>
        <v>#REF!</v>
      </c>
      <c r="V38" s="169">
        <f t="shared" si="37"/>
        <v>127694</v>
      </c>
      <c r="X38" s="493" t="s">
        <v>530</v>
      </c>
      <c r="Y38" s="503" t="e">
        <f t="shared" si="38"/>
        <v>#REF!</v>
      </c>
      <c r="Z38" s="503">
        <f t="shared" si="38"/>
        <v>0</v>
      </c>
      <c r="AA38" s="503" t="e">
        <f t="shared" si="39"/>
        <v>#REF!</v>
      </c>
      <c r="AB38" s="503">
        <f t="shared" si="40"/>
        <v>1064116</v>
      </c>
    </row>
    <row r="39" spans="1:28" x14ac:dyDescent="0.25">
      <c r="A39" s="493" t="s">
        <v>531</v>
      </c>
      <c r="B39" s="501">
        <f t="shared" si="28"/>
        <v>3.7799999999999999E-3</v>
      </c>
      <c r="C39" s="504" t="e">
        <f>#REF!</f>
        <v>#REF!</v>
      </c>
      <c r="D39" s="505">
        <f>'Nov Price Out'!D39</f>
        <v>2.69</v>
      </c>
      <c r="E39" s="502">
        <f>'[100]Forecasted TOD kWh by Period'!K20</f>
        <v>7053300</v>
      </c>
      <c r="F39" s="8">
        <f>'[100]Forecasted TOD kW by Period'!D18</f>
        <v>36837</v>
      </c>
      <c r="G39" s="8">
        <f t="shared" si="29"/>
        <v>6206904</v>
      </c>
      <c r="H39" s="8">
        <f>ROUND(F39*0.88,0)</f>
        <v>32417</v>
      </c>
      <c r="I39" s="169" t="e">
        <f t="shared" si="30"/>
        <v>#REF!</v>
      </c>
      <c r="J39" s="169">
        <f t="shared" si="30"/>
        <v>87202</v>
      </c>
      <c r="K39" s="169" t="e">
        <f t="shared" si="31"/>
        <v>#REF!</v>
      </c>
      <c r="L39" s="169">
        <f t="shared" si="32"/>
        <v>23462</v>
      </c>
      <c r="M39" s="493"/>
      <c r="N39" s="493">
        <f t="shared" si="33"/>
        <v>3.7799999999999999E-3</v>
      </c>
      <c r="O39" s="504" t="e">
        <f>#REF!</f>
        <v>#REF!</v>
      </c>
      <c r="P39" s="505">
        <f>'Nov Price Out'!P39</f>
        <v>0.55000000000000004</v>
      </c>
      <c r="Q39" s="502">
        <f t="shared" si="34"/>
        <v>846396</v>
      </c>
      <c r="R39" s="502">
        <f>F39-H39</f>
        <v>4420</v>
      </c>
      <c r="S39" s="169" t="e">
        <f t="shared" si="35"/>
        <v>#REF!</v>
      </c>
      <c r="T39" s="169">
        <f t="shared" si="35"/>
        <v>2431</v>
      </c>
      <c r="U39" s="169" t="e">
        <f t="shared" si="36"/>
        <v>#REF!</v>
      </c>
      <c r="V39" s="169">
        <f t="shared" si="37"/>
        <v>3199</v>
      </c>
      <c r="X39" s="493" t="s">
        <v>531</v>
      </c>
      <c r="Y39" s="503" t="e">
        <f t="shared" si="38"/>
        <v>#REF!</v>
      </c>
      <c r="Z39" s="503">
        <f t="shared" si="38"/>
        <v>89633</v>
      </c>
      <c r="AA39" s="503" t="e">
        <f t="shared" si="39"/>
        <v>#REF!</v>
      </c>
      <c r="AB39" s="503">
        <f t="shared" si="40"/>
        <v>26661</v>
      </c>
    </row>
    <row r="40" spans="1:28" x14ac:dyDescent="0.25">
      <c r="A40" s="493" t="s">
        <v>532</v>
      </c>
      <c r="B40" s="501">
        <f t="shared" si="28"/>
        <v>3.7799999999999999E-3</v>
      </c>
      <c r="C40" s="504" t="e">
        <f>#REF!</f>
        <v>#REF!</v>
      </c>
      <c r="D40" s="493">
        <f>'Nov Price Out'!D40</f>
        <v>0</v>
      </c>
      <c r="E40" s="502">
        <f>'[100]Forecasted TOD kWh by Period'!K21</f>
        <v>9946700</v>
      </c>
      <c r="F40" s="8"/>
      <c r="G40" s="8">
        <f t="shared" si="29"/>
        <v>8753096</v>
      </c>
      <c r="H40" s="8"/>
      <c r="I40" s="169" t="e">
        <f t="shared" si="30"/>
        <v>#REF!</v>
      </c>
      <c r="J40" s="169">
        <f t="shared" si="30"/>
        <v>0</v>
      </c>
      <c r="K40" s="169" t="e">
        <f t="shared" si="31"/>
        <v>#REF!</v>
      </c>
      <c r="L40" s="169">
        <f t="shared" si="32"/>
        <v>33087</v>
      </c>
      <c r="M40" s="493"/>
      <c r="N40" s="493">
        <f t="shared" si="33"/>
        <v>3.7799999999999999E-3</v>
      </c>
      <c r="O40" s="504" t="e">
        <f>#REF!</f>
        <v>#REF!</v>
      </c>
      <c r="P40" s="493">
        <f>'Nov Price Out'!P40</f>
        <v>0</v>
      </c>
      <c r="Q40" s="502">
        <f t="shared" si="34"/>
        <v>1193604</v>
      </c>
      <c r="R40" s="502"/>
      <c r="S40" s="169" t="e">
        <f t="shared" si="35"/>
        <v>#REF!</v>
      </c>
      <c r="T40" s="169">
        <f t="shared" si="35"/>
        <v>0</v>
      </c>
      <c r="U40" s="169" t="e">
        <f t="shared" si="36"/>
        <v>#REF!</v>
      </c>
      <c r="V40" s="169">
        <f t="shared" si="37"/>
        <v>4512</v>
      </c>
      <c r="X40" s="493" t="s">
        <v>532</v>
      </c>
      <c r="Y40" s="503" t="e">
        <f t="shared" si="38"/>
        <v>#REF!</v>
      </c>
      <c r="Z40" s="503">
        <f t="shared" si="38"/>
        <v>0</v>
      </c>
      <c r="AA40" s="503" t="e">
        <f t="shared" si="39"/>
        <v>#REF!</v>
      </c>
      <c r="AB40" s="503">
        <f t="shared" si="40"/>
        <v>37599</v>
      </c>
    </row>
    <row r="41" spans="1:28" x14ac:dyDescent="0.25">
      <c r="A41" s="493" t="s">
        <v>533</v>
      </c>
      <c r="B41" s="501">
        <f t="shared" si="28"/>
        <v>3.7799999999999999E-3</v>
      </c>
      <c r="C41" s="504" t="e">
        <f>#REF!</f>
        <v>#REF!</v>
      </c>
      <c r="D41" s="505">
        <f>'Nov Price Out'!D41</f>
        <v>0</v>
      </c>
      <c r="E41" s="502">
        <f>'[100]Forecasted TOD kWh by Period'!K24</f>
        <v>580878</v>
      </c>
      <c r="F41" s="8">
        <f>'[100]Forecasted TOD kW by Period'!D22</f>
        <v>13155</v>
      </c>
      <c r="G41" s="8">
        <f t="shared" si="29"/>
        <v>511173</v>
      </c>
      <c r="H41" s="8">
        <f>ROUND(F41*0.88,0)</f>
        <v>11576</v>
      </c>
      <c r="I41" s="169" t="e">
        <f t="shared" si="30"/>
        <v>#REF!</v>
      </c>
      <c r="J41" s="169">
        <f t="shared" si="30"/>
        <v>0</v>
      </c>
      <c r="K41" s="169" t="e">
        <f t="shared" si="31"/>
        <v>#REF!</v>
      </c>
      <c r="L41" s="169">
        <f t="shared" si="32"/>
        <v>1932</v>
      </c>
      <c r="M41" s="493"/>
      <c r="N41" s="493">
        <f t="shared" si="33"/>
        <v>3.7799999999999999E-3</v>
      </c>
      <c r="O41" s="504" t="e">
        <f>#REF!</f>
        <v>#REF!</v>
      </c>
      <c r="P41" s="505">
        <f>'Nov Price Out'!P41</f>
        <v>0</v>
      </c>
      <c r="Q41" s="502">
        <f t="shared" si="34"/>
        <v>69705</v>
      </c>
      <c r="R41" s="502">
        <f>F41-H41</f>
        <v>1579</v>
      </c>
      <c r="S41" s="169" t="e">
        <f t="shared" si="35"/>
        <v>#REF!</v>
      </c>
      <c r="T41" s="169">
        <f t="shared" si="35"/>
        <v>0</v>
      </c>
      <c r="U41" s="169" t="e">
        <f t="shared" si="36"/>
        <v>#REF!</v>
      </c>
      <c r="V41" s="169">
        <f t="shared" si="37"/>
        <v>263</v>
      </c>
      <c r="X41" s="493" t="s">
        <v>533</v>
      </c>
      <c r="Y41" s="503" t="e">
        <f t="shared" si="38"/>
        <v>#REF!</v>
      </c>
      <c r="Z41" s="503">
        <f t="shared" si="38"/>
        <v>0</v>
      </c>
      <c r="AA41" s="503" t="e">
        <f t="shared" si="39"/>
        <v>#REF!</v>
      </c>
      <c r="AB41" s="503">
        <f t="shared" si="40"/>
        <v>2195</v>
      </c>
    </row>
    <row r="42" spans="1:28" x14ac:dyDescent="0.25">
      <c r="A42" s="493" t="s">
        <v>534</v>
      </c>
      <c r="B42" s="501">
        <f t="shared" si="28"/>
        <v>3.7799999999999999E-3</v>
      </c>
      <c r="C42" s="504" t="e">
        <f>#REF!</f>
        <v>#REF!</v>
      </c>
      <c r="D42" s="493">
        <f>'Nov Price Out'!D42</f>
        <v>0</v>
      </c>
      <c r="E42" s="502">
        <f>'[100]Forecasted TOD kWh by Period'!K25</f>
        <v>538347</v>
      </c>
      <c r="F42" s="493"/>
      <c r="G42" s="8">
        <f t="shared" si="29"/>
        <v>473745</v>
      </c>
      <c r="H42" s="8"/>
      <c r="I42" s="169" t="e">
        <f t="shared" si="30"/>
        <v>#REF!</v>
      </c>
      <c r="J42" s="169">
        <f t="shared" si="30"/>
        <v>0</v>
      </c>
      <c r="K42" s="169" t="e">
        <f t="shared" si="31"/>
        <v>#REF!</v>
      </c>
      <c r="L42" s="169">
        <f t="shared" si="32"/>
        <v>1791</v>
      </c>
      <c r="M42" s="493"/>
      <c r="N42" s="493">
        <f t="shared" si="33"/>
        <v>3.7799999999999999E-3</v>
      </c>
      <c r="O42" s="504" t="e">
        <f>#REF!</f>
        <v>#REF!</v>
      </c>
      <c r="P42" s="492">
        <f>'Nov Price Out'!P42</f>
        <v>0</v>
      </c>
      <c r="Q42" s="502">
        <f t="shared" si="34"/>
        <v>64602</v>
      </c>
      <c r="R42" s="396"/>
      <c r="S42" s="169" t="e">
        <f t="shared" si="35"/>
        <v>#REF!</v>
      </c>
      <c r="T42" s="169">
        <f t="shared" si="35"/>
        <v>0</v>
      </c>
      <c r="U42" s="169" t="e">
        <f t="shared" si="36"/>
        <v>#REF!</v>
      </c>
      <c r="V42" s="169">
        <f t="shared" si="37"/>
        <v>244</v>
      </c>
      <c r="X42" s="493" t="s">
        <v>534</v>
      </c>
      <c r="Y42" s="503" t="e">
        <f t="shared" si="38"/>
        <v>#REF!</v>
      </c>
      <c r="Z42" s="503">
        <f t="shared" si="38"/>
        <v>0</v>
      </c>
      <c r="AA42" s="503" t="e">
        <f t="shared" si="39"/>
        <v>#REF!</v>
      </c>
      <c r="AB42" s="503">
        <f t="shared" si="40"/>
        <v>2035</v>
      </c>
    </row>
    <row r="43" spans="1:28" x14ac:dyDescent="0.25">
      <c r="A43" s="493"/>
      <c r="B43" s="493"/>
      <c r="C43" s="493"/>
      <c r="D43" s="493"/>
      <c r="E43" s="493"/>
      <c r="F43" s="493"/>
      <c r="G43" s="493"/>
      <c r="H43" s="493"/>
      <c r="I43" s="493"/>
      <c r="J43" s="493"/>
      <c r="K43" s="493"/>
      <c r="L43" s="493"/>
      <c r="M43" s="493"/>
      <c r="O43" s="493"/>
      <c r="Q43" s="502"/>
      <c r="S43" s="493"/>
      <c r="T43" s="493"/>
      <c r="U43" s="493"/>
      <c r="V43" s="493"/>
      <c r="X43" s="493"/>
      <c r="Y43" s="503"/>
      <c r="Z43" s="503"/>
      <c r="AA43" s="503"/>
      <c r="AB43" s="503"/>
    </row>
    <row r="44" spans="1:28" x14ac:dyDescent="0.25">
      <c r="A44" s="493" t="s">
        <v>162</v>
      </c>
      <c r="B44" s="493"/>
      <c r="C44" s="493"/>
      <c r="D44" s="493"/>
      <c r="E44" s="493"/>
      <c r="F44" s="493"/>
      <c r="G44" s="507">
        <f>SUM(G8:G19)+SUM(G21:G24)+SUM(G26:G31)+SUM(G33:G42)</f>
        <v>3186437749</v>
      </c>
      <c r="H44" s="493"/>
      <c r="I44" s="503" t="e">
        <f>SUM(I8:I43)</f>
        <v>#REF!</v>
      </c>
      <c r="J44" s="169">
        <f>SUM(J8:J19)+SUM(J21:J24)+SUM(J26:J31)+SUM(J33:J42)</f>
        <v>29361793</v>
      </c>
      <c r="K44" s="503" t="e">
        <f>SUM(K8:K43)</f>
        <v>#REF!</v>
      </c>
      <c r="L44" s="169">
        <f>SUM(L8:L19)+SUM(L21:L24)+SUM(L26:L31)+SUM(L33:L42)</f>
        <v>12044737</v>
      </c>
      <c r="M44" s="493"/>
      <c r="Q44" s="507">
        <f>SUM(Q8:Q19)+SUM(Q21:Q24)+SUM(Q26:Q31)+SUM(Q33:Q42)</f>
        <v>434514239</v>
      </c>
      <c r="S44" s="503" t="e">
        <f>SUM(S8:S43)</f>
        <v>#REF!</v>
      </c>
      <c r="T44" s="169" t="e">
        <f>SUM(T8:T19)+SUM(T21:T24)+SUM(T26:T31)+SUM(T33:T42)</f>
        <v>#DIV/0!</v>
      </c>
      <c r="U44" s="503" t="e">
        <f>SUM(U8:U43)</f>
        <v>#REF!</v>
      </c>
      <c r="V44" s="169">
        <f>SUM(V8:V19)+SUM(V21:V24)+SUM(V26:V31)+SUM(V33:V42)</f>
        <v>1642463</v>
      </c>
      <c r="X44" s="493" t="s">
        <v>162</v>
      </c>
      <c r="Y44" s="503" t="e">
        <f>I44+S44</f>
        <v>#REF!</v>
      </c>
      <c r="Z44" s="503" t="e">
        <f>J44+T44</f>
        <v>#DIV/0!</v>
      </c>
      <c r="AA44" s="503" t="e">
        <f>Y44+Z44</f>
        <v>#REF!</v>
      </c>
      <c r="AB44" s="503">
        <f>L44+V44</f>
        <v>13687200</v>
      </c>
    </row>
    <row r="45" spans="1:28" x14ac:dyDescent="0.25">
      <c r="A45" s="493"/>
      <c r="B45" s="493"/>
      <c r="C45" s="493"/>
      <c r="D45" s="493"/>
      <c r="E45" s="493"/>
      <c r="F45" s="493"/>
      <c r="G45" s="507"/>
      <c r="H45" s="493"/>
      <c r="I45" s="493"/>
      <c r="J45" s="503"/>
      <c r="K45" s="493"/>
      <c r="L45" s="493"/>
      <c r="M45" s="493"/>
      <c r="N45" s="493"/>
    </row>
    <row r="46" spans="1:28" x14ac:dyDescent="0.25">
      <c r="A46" s="493"/>
      <c r="B46" s="493"/>
      <c r="C46" s="493"/>
      <c r="D46" s="493"/>
      <c r="E46" s="493"/>
      <c r="F46" s="493"/>
      <c r="G46" s="507"/>
      <c r="H46" s="493"/>
      <c r="I46" s="493"/>
      <c r="J46" s="493"/>
      <c r="K46" s="493"/>
      <c r="L46" s="493"/>
      <c r="M46" s="493"/>
    </row>
    <row r="47" spans="1:28" x14ac:dyDescent="0.25">
      <c r="A47" s="493"/>
      <c r="B47" s="493"/>
      <c r="C47" s="493"/>
      <c r="D47" s="493"/>
      <c r="E47" s="493"/>
      <c r="F47" s="493"/>
      <c r="G47" s="493"/>
      <c r="H47" s="493"/>
      <c r="I47" s="493"/>
      <c r="J47" s="493"/>
      <c r="K47" s="493"/>
      <c r="L47" s="493"/>
    </row>
    <row r="48" spans="1:28" x14ac:dyDescent="0.25">
      <c r="A48" s="493"/>
      <c r="B48" s="493"/>
      <c r="C48" s="493"/>
      <c r="D48" s="493"/>
      <c r="E48" s="493"/>
      <c r="F48" s="493"/>
      <c r="G48" s="493"/>
      <c r="H48" s="493"/>
      <c r="I48" s="493"/>
      <c r="J48" s="493"/>
      <c r="K48" s="493"/>
      <c r="L48" s="493"/>
    </row>
    <row r="49" spans="1:14" x14ac:dyDescent="0.25">
      <c r="A49" s="493"/>
      <c r="B49" s="493"/>
      <c r="C49" s="493"/>
      <c r="D49" s="493"/>
      <c r="E49" s="493"/>
      <c r="F49" s="493"/>
      <c r="G49" s="493"/>
      <c r="H49" s="493"/>
      <c r="I49" s="493"/>
      <c r="J49" s="493"/>
      <c r="K49" s="493"/>
      <c r="L49" s="493"/>
      <c r="M49" s="493"/>
    </row>
    <row r="50" spans="1:14" x14ac:dyDescent="0.25">
      <c r="A50" s="493"/>
      <c r="B50" s="493"/>
      <c r="C50" s="493"/>
      <c r="D50" s="493"/>
      <c r="E50" s="493"/>
      <c r="F50" s="493"/>
      <c r="G50" s="493"/>
      <c r="H50" s="493"/>
      <c r="I50" s="493"/>
      <c r="J50" s="493"/>
      <c r="K50" s="493"/>
      <c r="L50" s="493"/>
      <c r="M50" s="493"/>
    </row>
    <row r="51" spans="1:14" x14ac:dyDescent="0.25">
      <c r="A51" s="493"/>
      <c r="B51" s="493"/>
      <c r="C51" s="493"/>
      <c r="D51" s="493"/>
      <c r="E51" s="493"/>
      <c r="F51" s="493"/>
      <c r="G51" s="493"/>
      <c r="H51" s="493"/>
      <c r="I51" s="493"/>
      <c r="J51" s="493"/>
      <c r="K51" s="493"/>
      <c r="L51" s="493"/>
      <c r="M51" s="493"/>
    </row>
    <row r="52" spans="1:14" x14ac:dyDescent="0.25">
      <c r="A52" s="493"/>
      <c r="B52" s="493"/>
      <c r="C52" s="493"/>
      <c r="D52" s="493"/>
      <c r="E52" s="493"/>
      <c r="F52" s="493"/>
      <c r="G52" s="493"/>
      <c r="H52" s="493"/>
      <c r="I52" s="493"/>
      <c r="J52" s="493"/>
      <c r="K52" s="493"/>
      <c r="L52" s="493"/>
      <c r="M52" s="493"/>
    </row>
    <row r="53" spans="1:14" x14ac:dyDescent="0.25">
      <c r="A53" s="493"/>
      <c r="B53" s="493"/>
      <c r="C53" s="493"/>
      <c r="D53" s="493"/>
      <c r="E53" s="493"/>
      <c r="F53" s="493"/>
      <c r="G53" s="493"/>
      <c r="H53" s="493"/>
      <c r="I53" s="493"/>
      <c r="J53" s="493"/>
      <c r="K53" s="493"/>
      <c r="L53" s="493"/>
      <c r="M53" s="493"/>
    </row>
    <row r="54" spans="1:14" x14ac:dyDescent="0.25">
      <c r="A54" s="493"/>
      <c r="B54" s="493"/>
      <c r="C54" s="493"/>
      <c r="D54" s="493"/>
      <c r="E54" s="493"/>
      <c r="F54" s="493"/>
      <c r="G54" s="493"/>
      <c r="H54" s="493"/>
      <c r="I54" s="493"/>
      <c r="J54" s="493"/>
      <c r="K54" s="493"/>
      <c r="L54" s="493"/>
      <c r="M54" s="493"/>
    </row>
    <row r="55" spans="1:14" x14ac:dyDescent="0.25">
      <c r="A55" s="493"/>
      <c r="B55" s="493"/>
      <c r="C55" s="493"/>
      <c r="D55" s="493"/>
      <c r="E55" s="493"/>
      <c r="F55" s="493"/>
      <c r="G55" s="493"/>
      <c r="H55" s="493"/>
      <c r="I55" s="493"/>
      <c r="J55" s="493"/>
      <c r="K55" s="493"/>
      <c r="L55" s="493"/>
      <c r="M55" s="493"/>
    </row>
    <row r="56" spans="1:14" x14ac:dyDescent="0.25">
      <c r="A56" s="493"/>
      <c r="B56" s="493"/>
      <c r="C56" s="493"/>
      <c r="D56" s="493"/>
      <c r="E56" s="493"/>
      <c r="F56" s="493"/>
      <c r="G56" s="493"/>
      <c r="H56" s="493"/>
      <c r="I56" s="493"/>
      <c r="J56" s="493"/>
      <c r="K56" s="493"/>
      <c r="L56" s="493"/>
      <c r="M56" s="493"/>
    </row>
    <row r="57" spans="1:14" x14ac:dyDescent="0.25">
      <c r="A57" s="493"/>
      <c r="B57" s="493"/>
      <c r="C57" s="493"/>
      <c r="D57" s="493"/>
      <c r="E57" s="493"/>
      <c r="F57" s="493"/>
      <c r="G57" s="493"/>
      <c r="H57" s="493"/>
      <c r="I57" s="493"/>
      <c r="J57" s="493"/>
      <c r="K57" s="493"/>
      <c r="L57" s="493"/>
      <c r="M57" s="493"/>
    </row>
    <row r="58" spans="1:14" x14ac:dyDescent="0.25">
      <c r="A58" s="493"/>
      <c r="B58" s="493"/>
      <c r="C58" s="493"/>
      <c r="D58" s="493"/>
      <c r="E58" s="493"/>
      <c r="F58" s="493"/>
      <c r="G58" s="493"/>
      <c r="H58" s="493"/>
      <c r="I58" s="493"/>
      <c r="J58" s="493"/>
      <c r="K58" s="493"/>
      <c r="L58" s="493"/>
      <c r="M58" s="493"/>
    </row>
    <row r="59" spans="1:14" x14ac:dyDescent="0.25">
      <c r="A59" s="493"/>
      <c r="B59" s="493"/>
      <c r="C59" s="493"/>
      <c r="D59" s="493"/>
      <c r="E59" s="493"/>
      <c r="F59" s="493"/>
      <c r="G59" s="493"/>
      <c r="H59" s="493"/>
      <c r="I59" s="493"/>
      <c r="J59" s="493"/>
      <c r="K59" s="493"/>
      <c r="L59" s="493"/>
      <c r="M59" s="493"/>
    </row>
    <row r="60" spans="1:14" x14ac:dyDescent="0.25">
      <c r="A60" s="493"/>
      <c r="B60" s="493"/>
      <c r="C60" s="493"/>
      <c r="D60" s="493"/>
      <c r="E60" s="493"/>
      <c r="F60" s="493"/>
      <c r="G60" s="493"/>
      <c r="H60" s="493"/>
      <c r="I60" s="493"/>
      <c r="J60" s="493"/>
      <c r="K60" s="493"/>
      <c r="L60" s="493"/>
      <c r="M60" s="493"/>
    </row>
    <row r="61" spans="1:14" x14ac:dyDescent="0.25">
      <c r="A61" s="493"/>
      <c r="B61" s="493"/>
      <c r="C61" s="493"/>
      <c r="D61" s="493"/>
      <c r="E61" s="493"/>
      <c r="F61" s="493"/>
      <c r="G61" s="493"/>
      <c r="H61" s="493"/>
      <c r="I61" s="493"/>
      <c r="J61" s="493"/>
      <c r="K61" s="493"/>
      <c r="L61" s="493"/>
      <c r="M61" s="493"/>
    </row>
    <row r="62" spans="1:14" x14ac:dyDescent="0.25">
      <c r="A62" s="493"/>
      <c r="B62" s="493"/>
      <c r="C62" s="493"/>
      <c r="D62" s="493"/>
      <c r="E62" s="493"/>
      <c r="F62" s="493"/>
      <c r="G62" s="493"/>
      <c r="H62" s="493"/>
      <c r="I62" s="493"/>
      <c r="J62" s="493"/>
      <c r="K62" s="493"/>
      <c r="L62" s="493"/>
      <c r="M62" s="493"/>
    </row>
    <row r="63" spans="1:14" x14ac:dyDescent="0.25">
      <c r="A63" s="493"/>
      <c r="B63" s="493"/>
      <c r="C63" s="493"/>
      <c r="D63" s="493"/>
      <c r="E63" s="493"/>
      <c r="F63" s="493"/>
      <c r="G63" s="493"/>
      <c r="H63" s="493"/>
      <c r="I63" s="493"/>
      <c r="J63" s="493"/>
      <c r="K63" s="493"/>
      <c r="L63" s="493"/>
      <c r="M63" s="493"/>
    </row>
    <row r="64" spans="1:14" x14ac:dyDescent="0.25">
      <c r="A64" s="493"/>
      <c r="B64" s="493"/>
      <c r="C64" s="493"/>
      <c r="D64" s="493"/>
      <c r="E64" s="493"/>
      <c r="F64" s="493"/>
      <c r="G64" s="493"/>
      <c r="H64" s="493"/>
      <c r="I64" s="493"/>
      <c r="J64" s="493"/>
      <c r="K64" s="493"/>
      <c r="L64" s="493"/>
      <c r="M64" s="493"/>
      <c r="N64" s="493"/>
    </row>
    <row r="65" spans="1:14" x14ac:dyDescent="0.25">
      <c r="A65" s="493"/>
      <c r="B65" s="493"/>
      <c r="C65" s="493"/>
      <c r="D65" s="493"/>
      <c r="E65" s="493"/>
      <c r="F65" s="493"/>
      <c r="G65" s="493"/>
      <c r="H65" s="493"/>
      <c r="I65" s="493"/>
      <c r="J65" s="493"/>
      <c r="K65" s="493"/>
      <c r="L65" s="493"/>
      <c r="M65" s="493"/>
      <c r="N65" s="493"/>
    </row>
    <row r="66" spans="1:14" x14ac:dyDescent="0.25">
      <c r="A66" s="493"/>
      <c r="B66" s="493"/>
      <c r="C66" s="493"/>
      <c r="D66" s="493"/>
      <c r="E66" s="493"/>
      <c r="F66" s="493"/>
      <c r="G66" s="493"/>
      <c r="H66" s="493"/>
      <c r="I66" s="493"/>
      <c r="J66" s="493"/>
      <c r="K66" s="493"/>
      <c r="L66" s="493"/>
      <c r="M66" s="493"/>
      <c r="N66" s="493"/>
    </row>
    <row r="67" spans="1:14" x14ac:dyDescent="0.25">
      <c r="A67" s="493"/>
      <c r="B67" s="493"/>
      <c r="C67" s="493"/>
      <c r="D67" s="493"/>
      <c r="E67" s="493"/>
      <c r="F67" s="493"/>
      <c r="G67" s="493"/>
      <c r="H67" s="493"/>
      <c r="I67" s="493"/>
      <c r="J67" s="493"/>
      <c r="K67" s="493"/>
      <c r="L67" s="493"/>
      <c r="M67" s="493"/>
    </row>
    <row r="68" spans="1:14" x14ac:dyDescent="0.25">
      <c r="A68" s="493"/>
      <c r="B68" s="493"/>
      <c r="C68" s="493"/>
      <c r="D68" s="493"/>
      <c r="E68" s="493"/>
      <c r="F68" s="493"/>
      <c r="G68" s="493"/>
      <c r="H68" s="493"/>
      <c r="I68" s="493"/>
      <c r="J68" s="493"/>
      <c r="K68" s="493"/>
      <c r="L68" s="493"/>
      <c r="M68" s="493"/>
    </row>
    <row r="69" spans="1:14" x14ac:dyDescent="0.25">
      <c r="A69" s="493"/>
      <c r="B69" s="493"/>
      <c r="C69" s="493"/>
      <c r="D69" s="493"/>
      <c r="E69" s="493"/>
      <c r="F69" s="493"/>
      <c r="G69" s="493"/>
      <c r="H69" s="493"/>
      <c r="I69" s="493"/>
      <c r="J69" s="493"/>
      <c r="K69" s="493"/>
      <c r="L69" s="493"/>
      <c r="M69" s="493"/>
    </row>
    <row r="70" spans="1:14" x14ac:dyDescent="0.25">
      <c r="A70" s="493"/>
      <c r="B70" s="493"/>
      <c r="C70" s="493"/>
      <c r="D70" s="493"/>
      <c r="E70" s="493"/>
      <c r="F70" s="493"/>
      <c r="G70" s="493"/>
      <c r="H70" s="493"/>
      <c r="I70" s="493"/>
      <c r="J70" s="493"/>
      <c r="K70" s="493"/>
      <c r="L70" s="493"/>
      <c r="M70" s="493"/>
    </row>
    <row r="71" spans="1:14" x14ac:dyDescent="0.25">
      <c r="A71" s="493"/>
      <c r="B71" s="493"/>
      <c r="C71" s="493"/>
      <c r="D71" s="493"/>
      <c r="E71" s="493"/>
      <c r="F71" s="493"/>
      <c r="G71" s="493"/>
      <c r="H71" s="493"/>
      <c r="I71" s="493"/>
      <c r="J71" s="493"/>
      <c r="K71" s="493"/>
      <c r="L71" s="493"/>
      <c r="M71" s="493"/>
    </row>
    <row r="72" spans="1:14" x14ac:dyDescent="0.25">
      <c r="A72" s="493"/>
      <c r="B72" s="493"/>
      <c r="C72" s="493"/>
      <c r="D72" s="493"/>
      <c r="E72" s="493"/>
      <c r="F72" s="493"/>
      <c r="G72" s="493"/>
      <c r="H72" s="493"/>
      <c r="I72" s="493"/>
      <c r="J72" s="493"/>
      <c r="K72" s="493"/>
      <c r="L72" s="493"/>
      <c r="M72" s="493"/>
    </row>
    <row r="73" spans="1:14" x14ac:dyDescent="0.25">
      <c r="A73" s="493"/>
      <c r="B73" s="493"/>
      <c r="C73" s="493"/>
      <c r="D73" s="493"/>
      <c r="E73" s="493"/>
      <c r="F73" s="493"/>
      <c r="G73" s="493"/>
      <c r="H73" s="493"/>
      <c r="I73" s="493"/>
      <c r="J73" s="493"/>
      <c r="K73" s="493"/>
      <c r="L73" s="493"/>
      <c r="M73" s="493"/>
    </row>
    <row r="74" spans="1:14" x14ac:dyDescent="0.25">
      <c r="A74" s="493"/>
      <c r="B74" s="493"/>
      <c r="C74" s="493"/>
      <c r="D74" s="493"/>
      <c r="E74" s="493"/>
      <c r="F74" s="493"/>
      <c r="G74" s="493"/>
      <c r="H74" s="493"/>
      <c r="I74" s="493"/>
      <c r="J74" s="493"/>
      <c r="K74" s="493"/>
      <c r="L74" s="493"/>
      <c r="M74" s="493"/>
    </row>
    <row r="75" spans="1:14" x14ac:dyDescent="0.25">
      <c r="A75" s="493"/>
      <c r="B75" s="493"/>
      <c r="C75" s="493"/>
      <c r="D75" s="493"/>
      <c r="E75" s="493"/>
      <c r="F75" s="493"/>
      <c r="G75" s="493"/>
      <c r="H75" s="493"/>
      <c r="I75" s="493"/>
      <c r="J75" s="493"/>
      <c r="K75" s="493"/>
      <c r="L75" s="493"/>
      <c r="M75" s="493"/>
    </row>
    <row r="76" spans="1:14" x14ac:dyDescent="0.25">
      <c r="A76" s="493"/>
      <c r="B76" s="493"/>
      <c r="C76" s="493"/>
      <c r="D76" s="493"/>
      <c r="E76" s="493"/>
      <c r="F76" s="493"/>
      <c r="G76" s="493"/>
      <c r="H76" s="493"/>
      <c r="I76" s="493"/>
      <c r="J76" s="493"/>
      <c r="K76" s="493"/>
      <c r="L76" s="493"/>
      <c r="M76" s="493"/>
    </row>
    <row r="77" spans="1:14" x14ac:dyDescent="0.25">
      <c r="A77" s="493"/>
      <c r="B77" s="493"/>
      <c r="C77" s="493"/>
      <c r="D77" s="493"/>
      <c r="E77" s="493"/>
      <c r="F77" s="493"/>
      <c r="G77" s="493"/>
      <c r="H77" s="493"/>
      <c r="I77" s="493"/>
      <c r="J77" s="493"/>
      <c r="K77" s="493"/>
      <c r="L77" s="493"/>
      <c r="M77" s="493"/>
    </row>
    <row r="78" spans="1:14" x14ac:dyDescent="0.25">
      <c r="A78" s="493"/>
      <c r="B78" s="493"/>
      <c r="C78" s="493"/>
      <c r="D78" s="493"/>
      <c r="E78" s="493"/>
      <c r="F78" s="493"/>
      <c r="G78" s="493"/>
      <c r="H78" s="493"/>
      <c r="I78" s="493"/>
      <c r="J78" s="493"/>
      <c r="K78" s="493"/>
      <c r="L78" s="493"/>
      <c r="M78" s="493"/>
    </row>
    <row r="79" spans="1:14" x14ac:dyDescent="0.25">
      <c r="A79" s="493"/>
      <c r="B79" s="493"/>
      <c r="C79" s="493"/>
      <c r="D79" s="493"/>
      <c r="E79" s="493"/>
      <c r="F79" s="493"/>
      <c r="G79" s="493"/>
      <c r="H79" s="493"/>
      <c r="I79" s="493"/>
      <c r="J79" s="493"/>
      <c r="K79" s="493"/>
      <c r="L79" s="493"/>
      <c r="M79" s="493"/>
    </row>
    <row r="80" spans="1:14" x14ac:dyDescent="0.25">
      <c r="A80" s="493"/>
      <c r="B80" s="493"/>
      <c r="C80" s="493"/>
      <c r="D80" s="493"/>
      <c r="E80" s="493"/>
      <c r="F80" s="493"/>
      <c r="G80" s="493"/>
      <c r="H80" s="493"/>
      <c r="I80" s="493"/>
      <c r="J80" s="493"/>
      <c r="K80" s="493"/>
      <c r="L80" s="493"/>
      <c r="M80" s="493"/>
    </row>
    <row r="81" spans="1:14" x14ac:dyDescent="0.25">
      <c r="A81" s="493"/>
      <c r="B81" s="493"/>
      <c r="C81" s="493"/>
      <c r="D81" s="493"/>
      <c r="E81" s="493"/>
      <c r="F81" s="493"/>
      <c r="G81" s="493"/>
      <c r="H81" s="493"/>
      <c r="I81" s="493"/>
      <c r="J81" s="493"/>
      <c r="K81" s="493"/>
      <c r="L81" s="493"/>
      <c r="M81" s="493"/>
    </row>
    <row r="82" spans="1:14" x14ac:dyDescent="0.25">
      <c r="A82" s="493"/>
      <c r="B82" s="493"/>
      <c r="C82" s="493"/>
      <c r="D82" s="493"/>
      <c r="E82" s="493"/>
      <c r="F82" s="493"/>
      <c r="G82" s="493"/>
      <c r="H82" s="493"/>
      <c r="I82" s="493"/>
      <c r="J82" s="493"/>
      <c r="K82" s="493"/>
      <c r="L82" s="493"/>
      <c r="M82" s="493"/>
    </row>
    <row r="83" spans="1:14" x14ac:dyDescent="0.25">
      <c r="A83" s="493"/>
      <c r="B83" s="493"/>
      <c r="C83" s="493"/>
      <c r="D83" s="493"/>
      <c r="E83" s="493"/>
      <c r="F83" s="493"/>
      <c r="G83" s="493"/>
      <c r="H83" s="493"/>
      <c r="I83" s="493"/>
      <c r="J83" s="493"/>
      <c r="K83" s="493"/>
      <c r="L83" s="493"/>
      <c r="M83" s="493"/>
    </row>
    <row r="84" spans="1:14" x14ac:dyDescent="0.25">
      <c r="A84" s="493"/>
      <c r="B84" s="493"/>
      <c r="C84" s="493"/>
      <c r="D84" s="493"/>
      <c r="E84" s="493"/>
      <c r="F84" s="493"/>
      <c r="G84" s="493"/>
      <c r="H84" s="493"/>
      <c r="I84" s="493"/>
      <c r="J84" s="493"/>
      <c r="K84" s="493"/>
      <c r="L84" s="493"/>
      <c r="M84" s="493"/>
      <c r="N84" s="493"/>
    </row>
    <row r="85" spans="1:14" x14ac:dyDescent="0.25">
      <c r="A85" s="493"/>
      <c r="B85" s="493"/>
      <c r="C85" s="493"/>
      <c r="D85" s="493"/>
      <c r="E85" s="493"/>
      <c r="F85" s="493"/>
      <c r="G85" s="493"/>
      <c r="H85" s="493"/>
      <c r="I85" s="493"/>
      <c r="J85" s="493"/>
      <c r="K85" s="493"/>
      <c r="L85" s="493"/>
      <c r="M85" s="493"/>
      <c r="N85" s="493"/>
    </row>
    <row r="86" spans="1:14" x14ac:dyDescent="0.25">
      <c r="A86" s="493"/>
      <c r="B86" s="493"/>
      <c r="C86" s="493"/>
      <c r="D86" s="493"/>
      <c r="E86" s="493"/>
      <c r="F86" s="493"/>
      <c r="G86" s="493"/>
      <c r="H86" s="493"/>
      <c r="I86" s="493"/>
      <c r="J86" s="493"/>
      <c r="K86" s="493"/>
      <c r="L86" s="493"/>
      <c r="M86" s="493"/>
      <c r="N86" s="493"/>
    </row>
    <row r="87" spans="1:14" x14ac:dyDescent="0.25">
      <c r="A87" s="493"/>
      <c r="B87" s="493"/>
      <c r="C87" s="493"/>
      <c r="D87" s="493"/>
      <c r="E87" s="493"/>
      <c r="F87" s="493"/>
      <c r="G87" s="493"/>
      <c r="H87" s="493"/>
      <c r="I87" s="493"/>
      <c r="J87" s="493"/>
      <c r="K87" s="493"/>
      <c r="L87" s="493"/>
      <c r="M87" s="493"/>
      <c r="N87" s="493"/>
    </row>
    <row r="88" spans="1:14" x14ac:dyDescent="0.25">
      <c r="A88" s="493"/>
      <c r="B88" s="493"/>
      <c r="C88" s="493"/>
      <c r="D88" s="493"/>
      <c r="E88" s="493"/>
      <c r="F88" s="493"/>
      <c r="G88" s="493"/>
      <c r="H88" s="493"/>
      <c r="I88" s="493"/>
      <c r="J88" s="493"/>
      <c r="K88" s="493"/>
      <c r="L88" s="493"/>
      <c r="M88" s="493"/>
    </row>
    <row r="89" spans="1:14" x14ac:dyDescent="0.25">
      <c r="A89" s="493"/>
      <c r="B89" s="493"/>
      <c r="C89" s="493"/>
      <c r="D89" s="493"/>
      <c r="E89" s="493"/>
      <c r="F89" s="493"/>
      <c r="G89" s="493"/>
      <c r="H89" s="493"/>
      <c r="I89" s="493"/>
      <c r="J89" s="493"/>
      <c r="K89" s="493"/>
      <c r="L89" s="493"/>
      <c r="M89" s="493"/>
    </row>
    <row r="90" spans="1:14" x14ac:dyDescent="0.25">
      <c r="A90" s="493"/>
      <c r="B90" s="493"/>
      <c r="C90" s="493"/>
      <c r="D90" s="493"/>
      <c r="E90" s="493"/>
      <c r="F90" s="493"/>
      <c r="G90" s="493"/>
      <c r="H90" s="493"/>
      <c r="I90" s="493"/>
      <c r="J90" s="493"/>
      <c r="K90" s="493"/>
      <c r="L90" s="493"/>
      <c r="M90" s="493"/>
    </row>
    <row r="91" spans="1:14" x14ac:dyDescent="0.25">
      <c r="A91" s="493"/>
      <c r="B91" s="493"/>
      <c r="C91" s="493"/>
      <c r="D91" s="493"/>
      <c r="E91" s="493"/>
      <c r="F91" s="493"/>
      <c r="G91" s="493"/>
      <c r="H91" s="493"/>
      <c r="I91" s="493"/>
      <c r="J91" s="493"/>
      <c r="K91" s="493"/>
      <c r="L91" s="493"/>
      <c r="M91" s="493"/>
    </row>
    <row r="92" spans="1:14" x14ac:dyDescent="0.25">
      <c r="A92" s="493"/>
      <c r="B92" s="493"/>
      <c r="C92" s="493"/>
      <c r="D92" s="493"/>
      <c r="E92" s="493"/>
      <c r="F92" s="493"/>
      <c r="G92" s="493"/>
      <c r="H92" s="493"/>
      <c r="I92" s="493"/>
      <c r="J92" s="493"/>
      <c r="K92" s="493"/>
      <c r="L92" s="493"/>
      <c r="M92" s="493"/>
    </row>
    <row r="93" spans="1:14" x14ac:dyDescent="0.25">
      <c r="A93" s="493"/>
      <c r="B93" s="493"/>
      <c r="C93" s="493"/>
      <c r="D93" s="493"/>
      <c r="E93" s="493"/>
      <c r="F93" s="493"/>
      <c r="G93" s="493"/>
      <c r="H93" s="493"/>
      <c r="I93" s="493"/>
      <c r="J93" s="493"/>
      <c r="K93" s="493"/>
      <c r="L93" s="493"/>
      <c r="M93" s="493"/>
    </row>
    <row r="94" spans="1:14" x14ac:dyDescent="0.25">
      <c r="A94" s="493"/>
      <c r="B94" s="493"/>
      <c r="C94" s="493"/>
      <c r="D94" s="493"/>
      <c r="E94" s="493"/>
      <c r="F94" s="493"/>
      <c r="G94" s="493"/>
      <c r="H94" s="493"/>
      <c r="I94" s="493"/>
      <c r="J94" s="493"/>
      <c r="K94" s="493"/>
      <c r="L94" s="493"/>
      <c r="M94" s="493"/>
    </row>
    <row r="95" spans="1:14" x14ac:dyDescent="0.25">
      <c r="A95" s="493"/>
      <c r="B95" s="493"/>
      <c r="C95" s="493"/>
      <c r="D95" s="493"/>
      <c r="E95" s="493"/>
      <c r="F95" s="493"/>
      <c r="G95" s="493"/>
      <c r="H95" s="493"/>
      <c r="I95" s="493"/>
      <c r="J95" s="493"/>
      <c r="K95" s="493"/>
      <c r="L95" s="493"/>
      <c r="M95" s="493"/>
    </row>
    <row r="96" spans="1:14" x14ac:dyDescent="0.25">
      <c r="A96" s="493"/>
      <c r="B96" s="493"/>
      <c r="C96" s="493"/>
      <c r="D96" s="493"/>
      <c r="E96" s="493"/>
      <c r="F96" s="493"/>
      <c r="G96" s="493"/>
      <c r="H96" s="493"/>
      <c r="I96" s="493"/>
      <c r="J96" s="493"/>
      <c r="K96" s="493"/>
      <c r="L96" s="493"/>
      <c r="M96" s="493"/>
    </row>
    <row r="97" spans="1:13" x14ac:dyDescent="0.25">
      <c r="A97" s="493"/>
      <c r="B97" s="493"/>
      <c r="C97" s="493"/>
      <c r="D97" s="493"/>
      <c r="E97" s="493"/>
      <c r="F97" s="493"/>
      <c r="G97" s="493"/>
      <c r="H97" s="493"/>
      <c r="I97" s="493"/>
      <c r="J97" s="493"/>
      <c r="K97" s="493"/>
      <c r="L97" s="493"/>
      <c r="M97" s="493"/>
    </row>
    <row r="98" spans="1:13" x14ac:dyDescent="0.25">
      <c r="A98" s="493"/>
      <c r="B98" s="493"/>
      <c r="C98" s="493"/>
      <c r="D98" s="493"/>
      <c r="E98" s="493"/>
      <c r="F98" s="493"/>
      <c r="G98" s="493"/>
      <c r="H98" s="493"/>
      <c r="I98" s="493"/>
      <c r="J98" s="493"/>
      <c r="K98" s="493"/>
      <c r="L98" s="493"/>
      <c r="M98" s="493"/>
    </row>
    <row r="99" spans="1:13" x14ac:dyDescent="0.25">
      <c r="A99" s="493"/>
      <c r="B99" s="493"/>
      <c r="C99" s="493"/>
      <c r="D99" s="493"/>
      <c r="E99" s="493"/>
      <c r="F99" s="493"/>
      <c r="G99" s="493"/>
      <c r="H99" s="493"/>
      <c r="I99" s="493"/>
      <c r="J99" s="493"/>
      <c r="K99" s="493"/>
      <c r="L99" s="493"/>
      <c r="M99" s="493"/>
    </row>
    <row r="100" spans="1:13" x14ac:dyDescent="0.25">
      <c r="A100" s="493"/>
      <c r="B100" s="493"/>
      <c r="C100" s="493"/>
      <c r="D100" s="493"/>
      <c r="E100" s="493"/>
      <c r="F100" s="493"/>
      <c r="G100" s="493"/>
      <c r="H100" s="493"/>
      <c r="I100" s="493"/>
      <c r="J100" s="493"/>
      <c r="K100" s="493"/>
      <c r="L100" s="493"/>
      <c r="M100" s="493"/>
    </row>
    <row r="101" spans="1:13" x14ac:dyDescent="0.25">
      <c r="A101" s="493"/>
      <c r="B101" s="493"/>
      <c r="C101" s="493"/>
      <c r="D101" s="493"/>
      <c r="E101" s="493"/>
      <c r="F101" s="493"/>
      <c r="G101" s="493"/>
      <c r="H101" s="493"/>
      <c r="I101" s="493"/>
      <c r="J101" s="493"/>
      <c r="K101" s="493"/>
      <c r="L101" s="493"/>
      <c r="M101" s="493"/>
    </row>
    <row r="102" spans="1:13" x14ac:dyDescent="0.25">
      <c r="A102" s="493"/>
      <c r="B102" s="493"/>
      <c r="C102" s="493"/>
      <c r="D102" s="493"/>
      <c r="E102" s="493"/>
      <c r="F102" s="493"/>
      <c r="G102" s="493"/>
      <c r="H102" s="493"/>
      <c r="I102" s="493"/>
      <c r="J102" s="493"/>
      <c r="K102" s="493"/>
      <c r="L102" s="493"/>
      <c r="M102" s="493"/>
    </row>
    <row r="103" spans="1:13" x14ac:dyDescent="0.25">
      <c r="A103" s="493"/>
      <c r="B103" s="493"/>
      <c r="C103" s="493"/>
      <c r="D103" s="493"/>
      <c r="E103" s="493"/>
      <c r="F103" s="493"/>
      <c r="G103" s="493"/>
      <c r="H103" s="493"/>
      <c r="I103" s="493"/>
      <c r="J103" s="493"/>
      <c r="K103" s="493"/>
      <c r="L103" s="493"/>
      <c r="M103" s="493"/>
    </row>
    <row r="104" spans="1:13" x14ac:dyDescent="0.25">
      <c r="A104" s="493"/>
      <c r="B104" s="493"/>
      <c r="C104" s="493"/>
      <c r="D104" s="493"/>
      <c r="E104" s="493"/>
      <c r="F104" s="493"/>
      <c r="G104" s="493"/>
      <c r="H104" s="493"/>
      <c r="I104" s="493"/>
      <c r="J104" s="493"/>
      <c r="K104" s="493"/>
      <c r="L104" s="493"/>
      <c r="M104" s="493"/>
    </row>
    <row r="105" spans="1:13" x14ac:dyDescent="0.25">
      <c r="A105" s="493"/>
      <c r="B105" s="493"/>
      <c r="C105" s="493"/>
      <c r="D105" s="493"/>
      <c r="E105" s="493"/>
      <c r="F105" s="493"/>
      <c r="G105" s="493"/>
      <c r="H105" s="493"/>
      <c r="I105" s="493"/>
      <c r="J105" s="493"/>
      <c r="K105" s="493"/>
      <c r="L105" s="493"/>
      <c r="M105" s="493"/>
    </row>
    <row r="106" spans="1:13" x14ac:dyDescent="0.25">
      <c r="A106" s="493"/>
      <c r="B106" s="493"/>
      <c r="C106" s="493"/>
      <c r="D106" s="493"/>
      <c r="E106" s="493"/>
      <c r="F106" s="493"/>
      <c r="G106" s="493"/>
      <c r="H106" s="493"/>
      <c r="I106" s="493"/>
      <c r="J106" s="493"/>
      <c r="K106" s="493"/>
      <c r="L106" s="493"/>
      <c r="M106" s="493"/>
    </row>
    <row r="107" spans="1:13" x14ac:dyDescent="0.25">
      <c r="A107" s="493"/>
      <c r="B107" s="493"/>
      <c r="C107" s="493"/>
      <c r="D107" s="493"/>
      <c r="E107" s="493"/>
      <c r="F107" s="493"/>
      <c r="G107" s="493"/>
      <c r="H107" s="493"/>
      <c r="I107" s="493"/>
      <c r="J107" s="493"/>
      <c r="K107" s="493"/>
      <c r="L107" s="493"/>
      <c r="M107" s="493"/>
    </row>
    <row r="108" spans="1:13" x14ac:dyDescent="0.25">
      <c r="A108" s="493"/>
      <c r="B108" s="493"/>
      <c r="C108" s="493"/>
      <c r="D108" s="493"/>
      <c r="E108" s="493"/>
      <c r="F108" s="493"/>
      <c r="G108" s="493"/>
      <c r="H108" s="493"/>
      <c r="I108" s="493"/>
      <c r="J108" s="493"/>
      <c r="K108" s="493"/>
      <c r="L108" s="493"/>
      <c r="M108" s="493"/>
    </row>
    <row r="109" spans="1:13" x14ac:dyDescent="0.25">
      <c r="A109" s="493"/>
      <c r="B109" s="493"/>
      <c r="C109" s="493"/>
      <c r="D109" s="493"/>
      <c r="E109" s="493"/>
      <c r="F109" s="493"/>
      <c r="G109" s="493"/>
      <c r="H109" s="493"/>
      <c r="I109" s="493"/>
      <c r="J109" s="493"/>
      <c r="K109" s="493"/>
      <c r="L109" s="493"/>
      <c r="M109" s="493"/>
    </row>
    <row r="110" spans="1:13" x14ac:dyDescent="0.25">
      <c r="A110" s="493"/>
      <c r="B110" s="493"/>
      <c r="C110" s="493"/>
      <c r="D110" s="493"/>
      <c r="E110" s="493"/>
      <c r="F110" s="493"/>
      <c r="G110" s="493"/>
      <c r="H110" s="493"/>
      <c r="I110" s="493"/>
      <c r="J110" s="493"/>
      <c r="K110" s="493"/>
      <c r="L110" s="493"/>
      <c r="M110" s="493"/>
    </row>
    <row r="111" spans="1:13" x14ac:dyDescent="0.25">
      <c r="A111" s="493"/>
      <c r="B111" s="493"/>
      <c r="C111" s="493"/>
      <c r="D111" s="493"/>
      <c r="E111" s="493"/>
      <c r="F111" s="493"/>
      <c r="G111" s="493"/>
      <c r="H111" s="493"/>
      <c r="I111" s="493"/>
      <c r="J111" s="493"/>
      <c r="K111" s="493"/>
      <c r="L111" s="493"/>
      <c r="M111" s="493"/>
    </row>
    <row r="112" spans="1:13" x14ac:dyDescent="0.25">
      <c r="A112" s="493"/>
      <c r="B112" s="493"/>
      <c r="C112" s="493"/>
      <c r="D112" s="493"/>
      <c r="E112" s="493"/>
      <c r="F112" s="493"/>
      <c r="G112" s="493"/>
      <c r="H112" s="493"/>
      <c r="I112" s="493"/>
      <c r="J112" s="493"/>
      <c r="K112" s="493"/>
      <c r="L112" s="493"/>
      <c r="M112" s="493"/>
    </row>
    <row r="113" spans="1:13" x14ac:dyDescent="0.25">
      <c r="A113" s="493"/>
      <c r="B113" s="493"/>
      <c r="C113" s="493"/>
      <c r="D113" s="493"/>
      <c r="E113" s="493"/>
      <c r="F113" s="493"/>
      <c r="G113" s="493"/>
      <c r="H113" s="493"/>
      <c r="I113" s="493"/>
      <c r="J113" s="493"/>
      <c r="K113" s="493"/>
      <c r="L113" s="493"/>
      <c r="M113" s="493"/>
    </row>
    <row r="114" spans="1:13" x14ac:dyDescent="0.25">
      <c r="A114" s="493"/>
      <c r="B114" s="493"/>
      <c r="C114" s="493"/>
      <c r="D114" s="493"/>
      <c r="E114" s="493"/>
      <c r="F114" s="493"/>
      <c r="G114" s="493"/>
      <c r="H114" s="493"/>
      <c r="I114" s="493"/>
      <c r="J114" s="493"/>
      <c r="K114" s="493"/>
      <c r="L114" s="493"/>
      <c r="M114" s="493"/>
    </row>
    <row r="115" spans="1:13" x14ac:dyDescent="0.25">
      <c r="A115" s="493"/>
      <c r="B115" s="493"/>
      <c r="C115" s="493"/>
      <c r="D115" s="493"/>
      <c r="E115" s="493"/>
      <c r="F115" s="493"/>
      <c r="G115" s="493"/>
      <c r="H115" s="493"/>
      <c r="I115" s="493"/>
      <c r="J115" s="493"/>
      <c r="K115" s="493"/>
      <c r="L115" s="493"/>
      <c r="M115" s="493"/>
    </row>
    <row r="116" spans="1:13" x14ac:dyDescent="0.25">
      <c r="A116" s="493"/>
      <c r="B116" s="493"/>
      <c r="C116" s="493"/>
      <c r="D116" s="493"/>
      <c r="E116" s="493"/>
      <c r="F116" s="493"/>
      <c r="G116" s="493"/>
      <c r="H116" s="493"/>
      <c r="I116" s="493"/>
      <c r="J116" s="493"/>
      <c r="K116" s="493"/>
      <c r="L116" s="493"/>
      <c r="M116" s="493"/>
    </row>
    <row r="117" spans="1:13" x14ac:dyDescent="0.25">
      <c r="A117" s="493"/>
      <c r="B117" s="493"/>
      <c r="C117" s="493"/>
      <c r="D117" s="493"/>
      <c r="E117" s="493"/>
      <c r="F117" s="493"/>
      <c r="G117" s="493"/>
      <c r="H117" s="493"/>
      <c r="I117" s="493"/>
      <c r="J117" s="493"/>
      <c r="K117" s="493"/>
      <c r="L117" s="493"/>
      <c r="M117" s="493"/>
    </row>
    <row r="118" spans="1:13" x14ac:dyDescent="0.25">
      <c r="A118" s="493"/>
      <c r="B118" s="493"/>
      <c r="C118" s="493"/>
      <c r="D118" s="493"/>
      <c r="E118" s="493"/>
      <c r="F118" s="493"/>
      <c r="G118" s="493"/>
      <c r="H118" s="493"/>
      <c r="I118" s="493"/>
      <c r="J118" s="493"/>
      <c r="K118" s="493"/>
      <c r="L118" s="493"/>
      <c r="M118" s="493"/>
    </row>
    <row r="119" spans="1:13" x14ac:dyDescent="0.25">
      <c r="A119" s="493"/>
      <c r="B119" s="493"/>
      <c r="C119" s="493"/>
      <c r="D119" s="493"/>
      <c r="E119" s="493"/>
      <c r="F119" s="493"/>
      <c r="G119" s="493"/>
      <c r="H119" s="493"/>
      <c r="I119" s="493"/>
      <c r="J119" s="493"/>
      <c r="K119" s="493"/>
      <c r="L119" s="493"/>
      <c r="M119" s="493"/>
    </row>
    <row r="120" spans="1:13" x14ac:dyDescent="0.25">
      <c r="A120" s="493"/>
      <c r="B120" s="493"/>
      <c r="C120" s="493"/>
      <c r="D120" s="493"/>
      <c r="E120" s="493"/>
      <c r="F120" s="493"/>
      <c r="G120" s="493"/>
      <c r="H120" s="493"/>
      <c r="I120" s="493"/>
      <c r="J120" s="493"/>
      <c r="K120" s="493"/>
      <c r="L120" s="493"/>
      <c r="M120" s="493"/>
    </row>
    <row r="121" spans="1:13" x14ac:dyDescent="0.25">
      <c r="A121" s="493"/>
      <c r="B121" s="493"/>
      <c r="C121" s="493"/>
      <c r="D121" s="493"/>
      <c r="E121" s="493"/>
      <c r="F121" s="493"/>
      <c r="G121" s="493"/>
      <c r="H121" s="493"/>
      <c r="I121" s="493"/>
      <c r="J121" s="493"/>
      <c r="K121" s="493"/>
      <c r="L121" s="493"/>
      <c r="M121" s="493"/>
    </row>
    <row r="122" spans="1:13" x14ac:dyDescent="0.25">
      <c r="A122" s="493"/>
      <c r="B122" s="493"/>
      <c r="C122" s="493"/>
      <c r="D122" s="493"/>
      <c r="E122" s="493"/>
      <c r="F122" s="493"/>
      <c r="G122" s="493"/>
      <c r="H122" s="493"/>
      <c r="I122" s="493"/>
      <c r="J122" s="493"/>
      <c r="K122" s="493"/>
      <c r="L122" s="493"/>
      <c r="M122" s="493"/>
    </row>
    <row r="123" spans="1:13" x14ac:dyDescent="0.25">
      <c r="A123" s="493"/>
      <c r="B123" s="493"/>
      <c r="C123" s="493"/>
      <c r="D123" s="493"/>
      <c r="E123" s="493"/>
      <c r="F123" s="493"/>
      <c r="G123" s="493"/>
      <c r="H123" s="493"/>
      <c r="I123" s="493"/>
      <c r="J123" s="493"/>
      <c r="K123" s="493"/>
      <c r="L123" s="493"/>
      <c r="M123" s="493"/>
    </row>
    <row r="124" spans="1:13" x14ac:dyDescent="0.25">
      <c r="A124" s="493"/>
      <c r="B124" s="493"/>
      <c r="C124" s="493"/>
      <c r="D124" s="493"/>
      <c r="E124" s="493"/>
      <c r="F124" s="493"/>
      <c r="G124" s="493"/>
      <c r="H124" s="493"/>
      <c r="I124" s="493"/>
      <c r="J124" s="493"/>
      <c r="K124" s="493"/>
      <c r="L124" s="493"/>
      <c r="M124" s="493"/>
    </row>
    <row r="125" spans="1:13" x14ac:dyDescent="0.25">
      <c r="A125" s="493"/>
      <c r="B125" s="493"/>
      <c r="C125" s="493"/>
      <c r="D125" s="493"/>
      <c r="E125" s="493"/>
      <c r="F125" s="493"/>
      <c r="G125" s="493"/>
      <c r="H125" s="493"/>
      <c r="I125" s="493"/>
      <c r="J125" s="493"/>
      <c r="K125" s="493"/>
      <c r="L125" s="493"/>
      <c r="M125" s="493"/>
    </row>
    <row r="126" spans="1:13" x14ac:dyDescent="0.25">
      <c r="A126" s="493"/>
      <c r="B126" s="493"/>
      <c r="C126" s="493"/>
      <c r="D126" s="493"/>
      <c r="E126" s="493"/>
      <c r="F126" s="493"/>
      <c r="G126" s="493"/>
      <c r="H126" s="493"/>
      <c r="I126" s="493"/>
      <c r="J126" s="493"/>
      <c r="K126" s="493"/>
      <c r="L126" s="493"/>
      <c r="M126" s="493"/>
    </row>
    <row r="127" spans="1:13" x14ac:dyDescent="0.25">
      <c r="A127" s="493"/>
      <c r="B127" s="493"/>
      <c r="C127" s="493"/>
      <c r="D127" s="493"/>
      <c r="E127" s="493"/>
      <c r="F127" s="493"/>
      <c r="G127" s="493"/>
      <c r="H127" s="493"/>
      <c r="I127" s="493"/>
      <c r="J127" s="493"/>
      <c r="K127" s="493"/>
      <c r="L127" s="493"/>
      <c r="M127" s="493"/>
    </row>
    <row r="128" spans="1:13" x14ac:dyDescent="0.25">
      <c r="A128" s="493"/>
      <c r="B128" s="493"/>
      <c r="C128" s="493"/>
      <c r="D128" s="493"/>
      <c r="E128" s="493"/>
      <c r="F128" s="493"/>
      <c r="G128" s="493"/>
      <c r="H128" s="493"/>
      <c r="I128" s="493"/>
      <c r="J128" s="493"/>
      <c r="K128" s="493"/>
      <c r="L128" s="493"/>
      <c r="M128" s="493"/>
    </row>
    <row r="129" spans="1:13" x14ac:dyDescent="0.25">
      <c r="A129" s="493"/>
      <c r="B129" s="493"/>
      <c r="C129" s="493"/>
      <c r="D129" s="493"/>
      <c r="E129" s="493"/>
      <c r="F129" s="493"/>
      <c r="G129" s="493"/>
      <c r="H129" s="493"/>
      <c r="I129" s="493"/>
      <c r="J129" s="493"/>
      <c r="K129" s="493"/>
      <c r="L129" s="493"/>
      <c r="M129" s="493"/>
    </row>
    <row r="130" spans="1:13" x14ac:dyDescent="0.25">
      <c r="A130" s="493"/>
      <c r="B130" s="493"/>
      <c r="C130" s="493"/>
      <c r="D130" s="493"/>
      <c r="E130" s="493"/>
      <c r="F130" s="493"/>
      <c r="G130" s="493"/>
      <c r="H130" s="493"/>
      <c r="I130" s="493"/>
      <c r="J130" s="493"/>
      <c r="K130" s="493"/>
      <c r="L130" s="493"/>
      <c r="M130" s="493"/>
    </row>
    <row r="131" spans="1:13" x14ac:dyDescent="0.25">
      <c r="A131" s="493"/>
      <c r="B131" s="493"/>
      <c r="C131" s="493"/>
      <c r="D131" s="493"/>
      <c r="E131" s="493"/>
      <c r="F131" s="493"/>
      <c r="G131" s="493"/>
      <c r="H131" s="493"/>
      <c r="I131" s="493"/>
      <c r="J131" s="493"/>
      <c r="K131" s="493"/>
      <c r="L131" s="493"/>
      <c r="M131" s="493"/>
    </row>
    <row r="132" spans="1:13" x14ac:dyDescent="0.25">
      <c r="A132" s="493"/>
      <c r="B132" s="493"/>
      <c r="C132" s="493"/>
      <c r="D132" s="493"/>
      <c r="E132" s="493"/>
      <c r="F132" s="493"/>
      <c r="G132" s="493"/>
      <c r="H132" s="493"/>
      <c r="I132" s="493"/>
      <c r="J132" s="493"/>
      <c r="K132" s="493"/>
      <c r="L132" s="493"/>
      <c r="M132" s="493"/>
    </row>
    <row r="133" spans="1:13" x14ac:dyDescent="0.25">
      <c r="A133" s="493"/>
      <c r="B133" s="493"/>
      <c r="C133" s="493"/>
      <c r="D133" s="493"/>
      <c r="E133" s="493"/>
      <c r="F133" s="493"/>
      <c r="G133" s="493"/>
      <c r="H133" s="493"/>
      <c r="I133" s="493"/>
      <c r="J133" s="493"/>
      <c r="K133" s="493"/>
      <c r="L133" s="493"/>
      <c r="M133" s="493"/>
    </row>
    <row r="134" spans="1:13" x14ac:dyDescent="0.25">
      <c r="A134" s="493"/>
      <c r="B134" s="493"/>
      <c r="C134" s="493"/>
      <c r="D134" s="493"/>
      <c r="E134" s="493"/>
      <c r="F134" s="493"/>
      <c r="G134" s="493"/>
      <c r="H134" s="493"/>
      <c r="I134" s="493"/>
      <c r="J134" s="493"/>
      <c r="K134" s="493"/>
      <c r="L134" s="493"/>
      <c r="M134" s="493"/>
    </row>
    <row r="135" spans="1:13" x14ac:dyDescent="0.25">
      <c r="A135" s="493"/>
      <c r="B135" s="493"/>
      <c r="C135" s="493"/>
      <c r="D135" s="493"/>
      <c r="E135" s="493"/>
      <c r="F135" s="493"/>
      <c r="G135" s="493"/>
      <c r="H135" s="493"/>
      <c r="I135" s="493"/>
      <c r="J135" s="493"/>
      <c r="K135" s="493"/>
      <c r="L135" s="493"/>
      <c r="M135" s="493"/>
    </row>
    <row r="136" spans="1:13" x14ac:dyDescent="0.25">
      <c r="A136" s="493"/>
      <c r="B136" s="493"/>
      <c r="C136" s="493"/>
      <c r="D136" s="493"/>
      <c r="E136" s="493"/>
      <c r="F136" s="493"/>
      <c r="G136" s="493"/>
      <c r="H136" s="493"/>
      <c r="I136" s="493"/>
      <c r="J136" s="493"/>
      <c r="K136" s="493"/>
      <c r="L136" s="493"/>
      <c r="M136" s="493"/>
    </row>
    <row r="137" spans="1:13" x14ac:dyDescent="0.25">
      <c r="A137" s="493"/>
      <c r="B137" s="493"/>
      <c r="C137" s="493"/>
      <c r="D137" s="493"/>
      <c r="E137" s="493"/>
      <c r="F137" s="493"/>
      <c r="G137" s="493"/>
      <c r="H137" s="493"/>
      <c r="I137" s="493"/>
      <c r="J137" s="493"/>
      <c r="K137" s="493"/>
      <c r="L137" s="493"/>
      <c r="M137" s="493"/>
    </row>
    <row r="138" spans="1:13" x14ac:dyDescent="0.25">
      <c r="A138" s="493"/>
      <c r="B138" s="493"/>
      <c r="C138" s="493"/>
      <c r="D138" s="493"/>
      <c r="E138" s="493"/>
      <c r="F138" s="493"/>
      <c r="G138" s="493"/>
      <c r="H138" s="493"/>
      <c r="I138" s="493"/>
      <c r="J138" s="493"/>
      <c r="K138" s="493"/>
      <c r="L138" s="493"/>
      <c r="M138" s="493"/>
    </row>
    <row r="139" spans="1:13" x14ac:dyDescent="0.25">
      <c r="A139" s="493"/>
      <c r="B139" s="493"/>
      <c r="C139" s="493"/>
      <c r="D139" s="493"/>
      <c r="E139" s="493"/>
      <c r="F139" s="493"/>
      <c r="G139" s="493"/>
      <c r="H139" s="493"/>
      <c r="I139" s="493"/>
      <c r="J139" s="493"/>
      <c r="K139" s="493"/>
      <c r="L139" s="493"/>
      <c r="M139" s="493"/>
    </row>
    <row r="140" spans="1:13" x14ac:dyDescent="0.25">
      <c r="A140" s="493"/>
      <c r="B140" s="493"/>
      <c r="C140" s="493"/>
      <c r="D140" s="493"/>
      <c r="E140" s="493"/>
      <c r="F140" s="493"/>
      <c r="G140" s="493"/>
      <c r="H140" s="493"/>
      <c r="I140" s="493"/>
      <c r="J140" s="493"/>
      <c r="K140" s="493"/>
      <c r="L140" s="493"/>
      <c r="M140" s="493"/>
    </row>
    <row r="141" spans="1:13" x14ac:dyDescent="0.25">
      <c r="A141" s="493"/>
      <c r="B141" s="493"/>
      <c r="C141" s="493"/>
      <c r="D141" s="493"/>
      <c r="E141" s="493"/>
      <c r="F141" s="493"/>
      <c r="G141" s="493"/>
      <c r="H141" s="493"/>
      <c r="I141" s="493"/>
      <c r="J141" s="493"/>
      <c r="K141" s="493"/>
      <c r="L141" s="493"/>
      <c r="M141" s="493"/>
    </row>
    <row r="142" spans="1:13" x14ac:dyDescent="0.25">
      <c r="A142" s="493"/>
      <c r="B142" s="493"/>
      <c r="C142" s="493"/>
      <c r="D142" s="493"/>
      <c r="E142" s="493"/>
      <c r="F142" s="493"/>
      <c r="G142" s="493"/>
      <c r="H142" s="493"/>
      <c r="I142" s="493"/>
      <c r="J142" s="493"/>
      <c r="K142" s="493"/>
      <c r="L142" s="493"/>
      <c r="M142" s="493"/>
    </row>
    <row r="143" spans="1:13" x14ac:dyDescent="0.25">
      <c r="A143" s="493"/>
      <c r="B143" s="493"/>
      <c r="C143" s="493"/>
      <c r="D143" s="493"/>
      <c r="E143" s="493"/>
      <c r="F143" s="493"/>
      <c r="G143" s="493"/>
      <c r="H143" s="493"/>
      <c r="I143" s="493"/>
      <c r="J143" s="493"/>
      <c r="K143" s="493"/>
      <c r="L143" s="493"/>
      <c r="M143" s="493"/>
    </row>
    <row r="144" spans="1:13" x14ac:dyDescent="0.25">
      <c r="A144" s="493"/>
      <c r="B144" s="493"/>
      <c r="C144" s="493"/>
      <c r="D144" s="493"/>
      <c r="E144" s="493"/>
      <c r="F144" s="493"/>
      <c r="G144" s="493"/>
      <c r="H144" s="493"/>
      <c r="I144" s="493"/>
      <c r="J144" s="493"/>
      <c r="K144" s="493"/>
      <c r="L144" s="493"/>
      <c r="M144" s="493"/>
    </row>
    <row r="145" spans="1:13" x14ac:dyDescent="0.25">
      <c r="A145" s="493"/>
      <c r="B145" s="493"/>
      <c r="C145" s="493"/>
      <c r="D145" s="493"/>
      <c r="E145" s="493"/>
      <c r="F145" s="493"/>
      <c r="G145" s="493"/>
      <c r="H145" s="493"/>
      <c r="I145" s="493"/>
      <c r="J145" s="493"/>
      <c r="K145" s="493"/>
      <c r="L145" s="493"/>
      <c r="M145" s="493"/>
    </row>
    <row r="146" spans="1:13" x14ac:dyDescent="0.25">
      <c r="A146" s="493"/>
      <c r="B146" s="493"/>
      <c r="C146" s="493"/>
      <c r="D146" s="493"/>
      <c r="E146" s="493"/>
      <c r="F146" s="493"/>
      <c r="G146" s="493"/>
      <c r="H146" s="493"/>
      <c r="I146" s="493"/>
      <c r="J146" s="493"/>
      <c r="K146" s="493"/>
      <c r="L146" s="493"/>
      <c r="M146" s="493"/>
    </row>
    <row r="147" spans="1:13" x14ac:dyDescent="0.25">
      <c r="A147" s="493"/>
      <c r="B147" s="493"/>
      <c r="C147" s="493"/>
      <c r="D147" s="493"/>
      <c r="E147" s="493"/>
      <c r="F147" s="493"/>
      <c r="G147" s="493"/>
      <c r="H147" s="493"/>
      <c r="I147" s="493"/>
      <c r="J147" s="493"/>
      <c r="K147" s="493"/>
      <c r="L147" s="493"/>
      <c r="M147" s="493"/>
    </row>
    <row r="148" spans="1:13" x14ac:dyDescent="0.25">
      <c r="A148" s="493"/>
      <c r="B148" s="493"/>
      <c r="C148" s="493"/>
      <c r="D148" s="493"/>
      <c r="E148" s="493"/>
      <c r="F148" s="493"/>
      <c r="G148" s="493"/>
      <c r="H148" s="493"/>
      <c r="I148" s="493"/>
      <c r="J148" s="493"/>
      <c r="K148" s="493"/>
      <c r="L148" s="493"/>
      <c r="M148" s="493"/>
    </row>
    <row r="149" spans="1:13" x14ac:dyDescent="0.25">
      <c r="A149" s="493"/>
      <c r="B149" s="493"/>
      <c r="C149" s="493"/>
      <c r="D149" s="493"/>
      <c r="E149" s="493"/>
      <c r="F149" s="493"/>
      <c r="G149" s="493"/>
      <c r="H149" s="493"/>
      <c r="I149" s="493"/>
      <c r="J149" s="493"/>
      <c r="K149" s="493"/>
      <c r="L149" s="493"/>
      <c r="M149" s="493"/>
    </row>
    <row r="150" spans="1:13" x14ac:dyDescent="0.25">
      <c r="A150" s="493"/>
      <c r="B150" s="493"/>
      <c r="C150" s="493"/>
      <c r="D150" s="493"/>
      <c r="E150" s="493"/>
      <c r="F150" s="493"/>
      <c r="G150" s="493"/>
      <c r="H150" s="493"/>
      <c r="I150" s="493"/>
      <c r="J150" s="493"/>
      <c r="K150" s="493"/>
      <c r="L150" s="493"/>
      <c r="M150" s="493"/>
    </row>
    <row r="151" spans="1:13" x14ac:dyDescent="0.25">
      <c r="A151" s="493"/>
      <c r="B151" s="493"/>
      <c r="C151" s="493"/>
      <c r="D151" s="493"/>
      <c r="E151" s="493"/>
      <c r="F151" s="493"/>
      <c r="G151" s="493"/>
      <c r="H151" s="493"/>
      <c r="I151" s="493"/>
      <c r="J151" s="493"/>
      <c r="K151" s="493"/>
      <c r="L151" s="493"/>
      <c r="M151" s="493"/>
    </row>
    <row r="152" spans="1:13" x14ac:dyDescent="0.25">
      <c r="A152" s="493"/>
      <c r="B152" s="493"/>
      <c r="C152" s="493"/>
      <c r="D152" s="493"/>
      <c r="E152" s="493"/>
      <c r="F152" s="493"/>
      <c r="G152" s="493"/>
      <c r="H152" s="493"/>
      <c r="I152" s="493"/>
      <c r="J152" s="493"/>
      <c r="K152" s="493"/>
      <c r="L152" s="493"/>
      <c r="M152" s="493"/>
    </row>
    <row r="153" spans="1:13" x14ac:dyDescent="0.25">
      <c r="A153" s="493"/>
      <c r="B153" s="493"/>
      <c r="C153" s="493"/>
      <c r="D153" s="493"/>
      <c r="E153" s="493"/>
      <c r="F153" s="493"/>
      <c r="G153" s="493"/>
      <c r="H153" s="493"/>
      <c r="I153" s="493"/>
      <c r="J153" s="493"/>
      <c r="K153" s="493"/>
      <c r="L153" s="493"/>
      <c r="M153" s="493"/>
    </row>
    <row r="154" spans="1:13" x14ac:dyDescent="0.25">
      <c r="A154" s="493"/>
      <c r="B154" s="493"/>
      <c r="C154" s="493"/>
      <c r="D154" s="493"/>
      <c r="E154" s="493"/>
      <c r="F154" s="493"/>
      <c r="G154" s="493"/>
      <c r="H154" s="493"/>
      <c r="I154" s="493"/>
      <c r="J154" s="493"/>
      <c r="K154" s="493"/>
      <c r="L154" s="493"/>
      <c r="M154" s="493"/>
    </row>
    <row r="155" spans="1:13" x14ac:dyDescent="0.25">
      <c r="A155" s="493"/>
      <c r="B155" s="493"/>
      <c r="C155" s="493"/>
      <c r="D155" s="493"/>
      <c r="E155" s="493"/>
      <c r="F155" s="493"/>
      <c r="G155" s="493"/>
      <c r="H155" s="493"/>
      <c r="I155" s="493"/>
      <c r="J155" s="493"/>
      <c r="K155" s="493"/>
      <c r="L155" s="493"/>
      <c r="M155" s="493"/>
    </row>
    <row r="156" spans="1:13" x14ac:dyDescent="0.25">
      <c r="A156" s="493"/>
      <c r="B156" s="493"/>
      <c r="C156" s="493"/>
      <c r="D156" s="493"/>
      <c r="E156" s="493"/>
      <c r="F156" s="493"/>
      <c r="G156" s="493"/>
      <c r="H156" s="493"/>
      <c r="I156" s="493"/>
      <c r="J156" s="493"/>
      <c r="K156" s="493"/>
      <c r="L156" s="493"/>
      <c r="M156" s="493"/>
    </row>
    <row r="157" spans="1:13" x14ac:dyDescent="0.25">
      <c r="A157" s="493"/>
      <c r="B157" s="493"/>
      <c r="C157" s="493"/>
      <c r="D157" s="493"/>
      <c r="E157" s="493"/>
      <c r="F157" s="493"/>
      <c r="G157" s="493"/>
      <c r="H157" s="493"/>
      <c r="I157" s="493"/>
      <c r="J157" s="493"/>
      <c r="K157" s="493"/>
      <c r="L157" s="493"/>
      <c r="M157" s="493"/>
    </row>
    <row r="158" spans="1:13" x14ac:dyDescent="0.25">
      <c r="A158" s="493"/>
      <c r="B158" s="493"/>
      <c r="C158" s="493"/>
      <c r="D158" s="493"/>
      <c r="E158" s="493"/>
      <c r="F158" s="493"/>
      <c r="G158" s="493"/>
      <c r="H158" s="493"/>
      <c r="I158" s="493"/>
      <c r="J158" s="493"/>
      <c r="K158" s="493"/>
      <c r="L158" s="493"/>
      <c r="M158" s="493"/>
    </row>
    <row r="159" spans="1:13" x14ac:dyDescent="0.25">
      <c r="A159" s="493"/>
      <c r="B159" s="493"/>
      <c r="C159" s="493"/>
      <c r="D159" s="493"/>
      <c r="E159" s="493"/>
      <c r="F159" s="493"/>
      <c r="G159" s="493"/>
      <c r="H159" s="493"/>
      <c r="I159" s="493"/>
      <c r="J159" s="493"/>
      <c r="K159" s="493"/>
      <c r="L159" s="493"/>
      <c r="M159" s="493"/>
    </row>
    <row r="160" spans="1:13" x14ac:dyDescent="0.25">
      <c r="A160" s="493"/>
      <c r="B160" s="493"/>
      <c r="C160" s="493"/>
      <c r="D160" s="493"/>
      <c r="E160" s="493"/>
      <c r="F160" s="493"/>
      <c r="G160" s="493"/>
      <c r="H160" s="493"/>
      <c r="I160" s="493"/>
      <c r="J160" s="493"/>
      <c r="K160" s="493"/>
      <c r="L160" s="493"/>
      <c r="M160" s="493"/>
    </row>
    <row r="161" spans="1:13" x14ac:dyDescent="0.25">
      <c r="A161" s="493"/>
      <c r="B161" s="493"/>
      <c r="C161" s="493"/>
      <c r="D161" s="493"/>
      <c r="E161" s="493"/>
      <c r="F161" s="493"/>
      <c r="G161" s="493"/>
      <c r="H161" s="493"/>
      <c r="I161" s="493"/>
      <c r="J161" s="493"/>
      <c r="K161" s="493"/>
      <c r="L161" s="493"/>
      <c r="M161" s="493"/>
    </row>
    <row r="162" spans="1:13" x14ac:dyDescent="0.25">
      <c r="A162" s="493"/>
      <c r="B162" s="493"/>
      <c r="C162" s="493"/>
      <c r="D162" s="493"/>
      <c r="E162" s="493"/>
      <c r="F162" s="493"/>
      <c r="G162" s="493"/>
      <c r="H162" s="493"/>
      <c r="I162" s="493"/>
      <c r="J162" s="493"/>
      <c r="K162" s="493"/>
      <c r="L162" s="493"/>
      <c r="M162" s="493"/>
    </row>
    <row r="163" spans="1:13" x14ac:dyDescent="0.25">
      <c r="A163" s="493"/>
      <c r="B163" s="493"/>
      <c r="C163" s="493"/>
      <c r="D163" s="493"/>
      <c r="E163" s="493"/>
      <c r="F163" s="493"/>
      <c r="G163" s="493"/>
      <c r="H163" s="493"/>
      <c r="I163" s="493"/>
      <c r="J163" s="493"/>
      <c r="K163" s="493"/>
      <c r="L163" s="493"/>
      <c r="M163" s="493"/>
    </row>
    <row r="164" spans="1:13" x14ac:dyDescent="0.25">
      <c r="A164" s="493"/>
      <c r="B164" s="493"/>
      <c r="C164" s="493"/>
      <c r="D164" s="493"/>
      <c r="E164" s="493"/>
      <c r="F164" s="493"/>
      <c r="G164" s="493"/>
      <c r="H164" s="493"/>
      <c r="I164" s="493"/>
      <c r="J164" s="493"/>
      <c r="K164" s="493"/>
      <c r="L164" s="493"/>
      <c r="M164" s="493"/>
    </row>
    <row r="165" spans="1:13" x14ac:dyDescent="0.25">
      <c r="A165" s="493"/>
      <c r="B165" s="493"/>
      <c r="C165" s="493"/>
      <c r="D165" s="493"/>
      <c r="E165" s="493"/>
      <c r="F165" s="493"/>
      <c r="G165" s="493"/>
      <c r="H165" s="493"/>
      <c r="I165" s="493"/>
      <c r="J165" s="493"/>
      <c r="K165" s="493"/>
      <c r="L165" s="493"/>
      <c r="M165" s="493"/>
    </row>
    <row r="166" spans="1:13" x14ac:dyDescent="0.25">
      <c r="A166" s="493"/>
      <c r="B166" s="493"/>
      <c r="C166" s="493"/>
      <c r="D166" s="493"/>
      <c r="E166" s="493"/>
      <c r="F166" s="493"/>
      <c r="G166" s="493"/>
      <c r="H166" s="493"/>
      <c r="I166" s="493"/>
      <c r="J166" s="493"/>
      <c r="K166" s="493"/>
      <c r="L166" s="493"/>
      <c r="M166" s="493"/>
    </row>
    <row r="167" spans="1:13" x14ac:dyDescent="0.25">
      <c r="A167" s="493"/>
      <c r="B167" s="493"/>
      <c r="C167" s="493"/>
      <c r="D167" s="493"/>
      <c r="E167" s="493"/>
      <c r="F167" s="493"/>
      <c r="G167" s="493"/>
      <c r="H167" s="493"/>
      <c r="I167" s="493"/>
      <c r="J167" s="493"/>
      <c r="K167" s="493"/>
      <c r="L167" s="493"/>
      <c r="M167" s="493"/>
    </row>
    <row r="168" spans="1:13" x14ac:dyDescent="0.25">
      <c r="A168" s="493"/>
      <c r="B168" s="493"/>
      <c r="C168" s="493"/>
      <c r="D168" s="493"/>
      <c r="E168" s="493"/>
      <c r="F168" s="493"/>
      <c r="G168" s="493"/>
      <c r="H168" s="493"/>
      <c r="I168" s="493"/>
      <c r="J168" s="493"/>
      <c r="K168" s="493"/>
      <c r="L168" s="493"/>
      <c r="M168" s="493"/>
    </row>
    <row r="169" spans="1:13" x14ac:dyDescent="0.25">
      <c r="A169" s="493"/>
      <c r="B169" s="493"/>
      <c r="C169" s="493"/>
      <c r="D169" s="493"/>
      <c r="E169" s="493"/>
      <c r="F169" s="493"/>
      <c r="G169" s="493"/>
      <c r="H169" s="493"/>
      <c r="I169" s="493"/>
      <c r="J169" s="493"/>
      <c r="K169" s="493"/>
      <c r="L169" s="493"/>
      <c r="M169" s="493"/>
    </row>
    <row r="170" spans="1:13" x14ac:dyDescent="0.25">
      <c r="A170" s="493"/>
      <c r="B170" s="493"/>
      <c r="C170" s="493"/>
      <c r="D170" s="493"/>
      <c r="E170" s="493"/>
      <c r="F170" s="493"/>
      <c r="G170" s="493"/>
      <c r="H170" s="493"/>
      <c r="I170" s="493"/>
      <c r="J170" s="493"/>
      <c r="K170" s="493"/>
      <c r="L170" s="493"/>
      <c r="M170" s="493"/>
    </row>
    <row r="171" spans="1:13" x14ac:dyDescent="0.25">
      <c r="A171" s="493"/>
      <c r="B171" s="493"/>
      <c r="C171" s="493"/>
      <c r="D171" s="493"/>
      <c r="E171" s="493"/>
      <c r="F171" s="493"/>
      <c r="G171" s="493"/>
      <c r="H171" s="493"/>
      <c r="I171" s="493"/>
      <c r="J171" s="493"/>
      <c r="K171" s="493"/>
      <c r="L171" s="493"/>
      <c r="M171" s="493"/>
    </row>
    <row r="172" spans="1:13" x14ac:dyDescent="0.25">
      <c r="A172" s="493"/>
      <c r="B172" s="493"/>
      <c r="C172" s="493"/>
      <c r="D172" s="493"/>
      <c r="E172" s="493"/>
      <c r="F172" s="493"/>
      <c r="G172" s="493"/>
      <c r="H172" s="493"/>
      <c r="I172" s="493"/>
      <c r="J172" s="493"/>
      <c r="K172" s="493"/>
      <c r="L172" s="493"/>
      <c r="M172" s="493"/>
    </row>
    <row r="173" spans="1:13" x14ac:dyDescent="0.25">
      <c r="A173" s="493"/>
      <c r="B173" s="493"/>
      <c r="C173" s="493"/>
      <c r="D173" s="493"/>
      <c r="E173" s="493"/>
      <c r="F173" s="493"/>
      <c r="G173" s="493"/>
      <c r="H173" s="493"/>
      <c r="I173" s="493"/>
      <c r="J173" s="493"/>
      <c r="K173" s="493"/>
      <c r="L173" s="493"/>
      <c r="M173" s="493"/>
    </row>
    <row r="174" spans="1:13" x14ac:dyDescent="0.25">
      <c r="A174" s="493"/>
      <c r="B174" s="493"/>
      <c r="C174" s="493"/>
      <c r="D174" s="493"/>
      <c r="E174" s="493"/>
      <c r="F174" s="493"/>
      <c r="G174" s="493"/>
      <c r="H174" s="493"/>
      <c r="I174" s="493"/>
      <c r="J174" s="493"/>
      <c r="K174" s="493"/>
      <c r="L174" s="493"/>
      <c r="M174" s="493"/>
    </row>
    <row r="175" spans="1:13" x14ac:dyDescent="0.25">
      <c r="A175" s="493"/>
      <c r="B175" s="493"/>
      <c r="C175" s="493"/>
      <c r="D175" s="493"/>
      <c r="E175" s="493"/>
      <c r="F175" s="493"/>
      <c r="G175" s="493"/>
      <c r="H175" s="493"/>
      <c r="I175" s="493"/>
      <c r="J175" s="493"/>
      <c r="K175" s="493"/>
      <c r="L175" s="493"/>
      <c r="M175" s="493"/>
    </row>
    <row r="176" spans="1:13" x14ac:dyDescent="0.25">
      <c r="A176" s="493"/>
      <c r="B176" s="493"/>
      <c r="C176" s="493"/>
      <c r="D176" s="493"/>
      <c r="E176" s="493"/>
      <c r="F176" s="493"/>
      <c r="G176" s="493"/>
      <c r="H176" s="493"/>
      <c r="I176" s="493"/>
      <c r="J176" s="493"/>
      <c r="K176" s="493"/>
      <c r="L176" s="493"/>
      <c r="M176" s="493"/>
    </row>
    <row r="177" spans="1:13" x14ac:dyDescent="0.25">
      <c r="A177" s="493"/>
      <c r="B177" s="493"/>
      <c r="C177" s="493"/>
      <c r="D177" s="493"/>
      <c r="E177" s="493"/>
      <c r="F177" s="493"/>
      <c r="G177" s="493"/>
      <c r="H177" s="493"/>
      <c r="I177" s="493"/>
      <c r="J177" s="493"/>
      <c r="K177" s="493"/>
      <c r="L177" s="493"/>
      <c r="M177" s="493"/>
    </row>
    <row r="178" spans="1:13" x14ac:dyDescent="0.25">
      <c r="A178" s="493"/>
      <c r="B178" s="493"/>
      <c r="C178" s="493"/>
      <c r="D178" s="493"/>
      <c r="E178" s="493"/>
      <c r="F178" s="493"/>
      <c r="G178" s="493"/>
      <c r="H178" s="493"/>
      <c r="I178" s="493"/>
      <c r="J178" s="493"/>
      <c r="K178" s="493"/>
      <c r="L178" s="493"/>
      <c r="M178" s="493"/>
    </row>
    <row r="179" spans="1:13" x14ac:dyDescent="0.25">
      <c r="A179" s="493"/>
      <c r="B179" s="493"/>
      <c r="C179" s="493"/>
      <c r="D179" s="493"/>
      <c r="E179" s="493"/>
      <c r="F179" s="493"/>
      <c r="G179" s="493"/>
      <c r="H179" s="493"/>
      <c r="I179" s="493"/>
      <c r="J179" s="493"/>
      <c r="K179" s="493"/>
      <c r="L179" s="493"/>
      <c r="M179" s="493"/>
    </row>
    <row r="180" spans="1:13" x14ac:dyDescent="0.25">
      <c r="A180" s="493"/>
      <c r="B180" s="493"/>
      <c r="C180" s="493"/>
      <c r="D180" s="493"/>
      <c r="E180" s="493"/>
      <c r="F180" s="493"/>
      <c r="G180" s="493"/>
      <c r="H180" s="493"/>
      <c r="I180" s="493"/>
      <c r="J180" s="493"/>
      <c r="K180" s="493"/>
      <c r="L180" s="493"/>
      <c r="M180" s="493"/>
    </row>
    <row r="181" spans="1:13" x14ac:dyDescent="0.25">
      <c r="A181" s="493"/>
      <c r="B181" s="493"/>
      <c r="C181" s="493"/>
      <c r="D181" s="493"/>
      <c r="E181" s="493"/>
      <c r="F181" s="493"/>
      <c r="G181" s="493"/>
      <c r="H181" s="493"/>
      <c r="I181" s="493"/>
      <c r="J181" s="493"/>
      <c r="K181" s="493"/>
      <c r="L181" s="493"/>
      <c r="M181" s="493"/>
    </row>
    <row r="182" spans="1:13" x14ac:dyDescent="0.25">
      <c r="A182" s="493"/>
      <c r="B182" s="493"/>
      <c r="C182" s="493"/>
      <c r="D182" s="493"/>
      <c r="E182" s="493"/>
      <c r="F182" s="493"/>
      <c r="G182" s="493"/>
      <c r="H182" s="493"/>
      <c r="I182" s="493"/>
      <c r="J182" s="493"/>
      <c r="K182" s="493"/>
      <c r="L182" s="493"/>
      <c r="M182" s="493"/>
    </row>
    <row r="183" spans="1:13" x14ac:dyDescent="0.25">
      <c r="A183" s="493"/>
      <c r="B183" s="493"/>
      <c r="C183" s="493"/>
      <c r="D183" s="493"/>
      <c r="E183" s="493"/>
      <c r="F183" s="493"/>
      <c r="G183" s="493"/>
      <c r="H183" s="493"/>
      <c r="I183" s="493"/>
      <c r="J183" s="493"/>
      <c r="K183" s="493"/>
      <c r="L183" s="493"/>
      <c r="M183" s="493"/>
    </row>
    <row r="184" spans="1:13" x14ac:dyDescent="0.25">
      <c r="A184" s="493"/>
      <c r="B184" s="493"/>
      <c r="C184" s="493"/>
      <c r="D184" s="493"/>
      <c r="E184" s="493"/>
      <c r="F184" s="493"/>
      <c r="G184" s="493"/>
      <c r="H184" s="493"/>
      <c r="I184" s="493"/>
      <c r="J184" s="493"/>
      <c r="K184" s="493"/>
      <c r="L184" s="493"/>
      <c r="M184" s="493"/>
    </row>
    <row r="185" spans="1:13" x14ac:dyDescent="0.25">
      <c r="A185" s="493"/>
      <c r="B185" s="493"/>
      <c r="C185" s="493"/>
      <c r="D185" s="493"/>
      <c r="E185" s="493"/>
      <c r="F185" s="493"/>
      <c r="G185" s="493"/>
      <c r="H185" s="493"/>
      <c r="I185" s="493"/>
      <c r="J185" s="493"/>
      <c r="K185" s="493"/>
      <c r="L185" s="493"/>
      <c r="M185" s="493"/>
    </row>
  </sheetData>
  <mergeCells count="12">
    <mergeCell ref="B5:C5"/>
    <mergeCell ref="I5:K5"/>
    <mergeCell ref="N5:O5"/>
    <mergeCell ref="S5:U5"/>
    <mergeCell ref="Y5:AA5"/>
    <mergeCell ref="A1:W1"/>
    <mergeCell ref="Y1:AB1"/>
    <mergeCell ref="A2:V2"/>
    <mergeCell ref="Y2:AB2"/>
    <mergeCell ref="B4:L4"/>
    <mergeCell ref="N4:V4"/>
    <mergeCell ref="Y4:AB4"/>
  </mergeCells>
  <pageMargins left="0.75" right="0.75" top="1" bottom="1" header="0.5" footer="0.5"/>
  <pageSetup paperSize="5" scale="83" orientation="landscape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48">
    <pageSetUpPr fitToPage="1"/>
  </sheetPr>
  <dimension ref="A1:AD190"/>
  <sheetViews>
    <sheetView zoomScaleNormal="100" workbookViewId="0">
      <selection activeCell="B8" sqref="B8"/>
    </sheetView>
  </sheetViews>
  <sheetFormatPr defaultColWidth="9.1796875" defaultRowHeight="12.5" x14ac:dyDescent="0.25"/>
  <cols>
    <col min="1" max="1" width="13" style="492" customWidth="1"/>
    <col min="2" max="2" width="7.54296875" style="492" customWidth="1"/>
    <col min="3" max="3" width="4.81640625" style="492" hidden="1" customWidth="1"/>
    <col min="4" max="4" width="8.54296875" style="492" bestFit="1" customWidth="1"/>
    <col min="5" max="5" width="11.453125" style="492" customWidth="1"/>
    <col min="6" max="6" width="11.1796875" style="492" customWidth="1"/>
    <col min="7" max="7" width="12" style="492" bestFit="1" customWidth="1"/>
    <col min="8" max="8" width="11.1796875" style="492" customWidth="1"/>
    <col min="9" max="9" width="11.54296875" style="492" hidden="1" customWidth="1"/>
    <col min="10" max="10" width="10.7265625" style="492" bestFit="1" customWidth="1"/>
    <col min="11" max="11" width="4.81640625" style="492" hidden="1" customWidth="1"/>
    <col min="12" max="12" width="16.26953125" style="492" customWidth="1"/>
    <col min="13" max="13" width="2.54296875" style="492" customWidth="1"/>
    <col min="14" max="14" width="7" style="492" customWidth="1"/>
    <col min="15" max="15" width="7" style="492" hidden="1" customWidth="1"/>
    <col min="16" max="16" width="8.54296875" style="492" bestFit="1" customWidth="1"/>
    <col min="17" max="17" width="11.54296875" style="492" customWidth="1"/>
    <col min="18" max="18" width="9.81640625" style="492" bestFit="1" customWidth="1"/>
    <col min="19" max="19" width="10.7265625" style="492" hidden="1" customWidth="1"/>
    <col min="20" max="20" width="9.81640625" style="492" bestFit="1" customWidth="1"/>
    <col min="21" max="21" width="4.81640625" style="492" hidden="1" customWidth="1"/>
    <col min="22" max="22" width="10.81640625" style="492" bestFit="1" customWidth="1"/>
    <col min="23" max="23" width="2.7265625" style="492" customWidth="1"/>
    <col min="24" max="24" width="14" style="492" bestFit="1" customWidth="1"/>
    <col min="25" max="25" width="12.81640625" style="492" hidden="1" customWidth="1"/>
    <col min="26" max="26" width="10.7265625" style="492" bestFit="1" customWidth="1"/>
    <col min="27" max="27" width="4.81640625" style="492" hidden="1" customWidth="1"/>
    <col min="28" max="28" width="10.7265625" style="492" bestFit="1" customWidth="1"/>
    <col min="29" max="29" width="11.81640625" style="492" customWidth="1"/>
    <col min="30" max="30" width="9.7265625" style="492" bestFit="1" customWidth="1"/>
    <col min="31" max="16384" width="9.1796875" style="492"/>
  </cols>
  <sheetData>
    <row r="1" spans="1:30" ht="13" x14ac:dyDescent="0.3">
      <c r="A1" s="813" t="s">
        <v>497</v>
      </c>
      <c r="B1" s="813"/>
      <c r="C1" s="813"/>
      <c r="D1" s="813"/>
      <c r="E1" s="813"/>
      <c r="F1" s="813"/>
      <c r="G1" s="813"/>
      <c r="H1" s="813"/>
      <c r="I1" s="813"/>
      <c r="J1" s="813"/>
      <c r="K1" s="813"/>
      <c r="L1" s="813"/>
      <c r="M1" s="813"/>
      <c r="N1" s="813"/>
      <c r="O1" s="813"/>
      <c r="P1" s="813"/>
      <c r="Q1" s="813"/>
      <c r="R1" s="813"/>
      <c r="S1" s="813"/>
      <c r="T1" s="813"/>
      <c r="U1" s="813"/>
      <c r="V1" s="813"/>
      <c r="W1" s="813"/>
      <c r="X1" s="491"/>
      <c r="Y1" s="823"/>
      <c r="Z1" s="823"/>
      <c r="AA1" s="823"/>
      <c r="AB1" s="823"/>
    </row>
    <row r="2" spans="1:30" ht="13" x14ac:dyDescent="0.3">
      <c r="A2" s="815">
        <f>'[100]Sales Forecast'!L6</f>
        <v>43891</v>
      </c>
      <c r="B2" s="815"/>
      <c r="C2" s="815"/>
      <c r="D2" s="815"/>
      <c r="E2" s="815"/>
      <c r="F2" s="815"/>
      <c r="G2" s="815"/>
      <c r="H2" s="815"/>
      <c r="I2" s="815"/>
      <c r="J2" s="815"/>
      <c r="K2" s="815"/>
      <c r="L2" s="815"/>
      <c r="M2" s="815"/>
      <c r="N2" s="815"/>
      <c r="O2" s="815"/>
      <c r="P2" s="815"/>
      <c r="Q2" s="815"/>
      <c r="R2" s="815"/>
      <c r="S2" s="815"/>
      <c r="T2" s="815"/>
      <c r="U2" s="815"/>
      <c r="V2" s="815"/>
      <c r="Y2" s="824"/>
      <c r="Z2" s="824"/>
      <c r="AA2" s="824"/>
      <c r="AB2" s="824"/>
    </row>
    <row r="3" spans="1:30" ht="13" thickBot="1" x14ac:dyDescent="0.3">
      <c r="A3" s="493"/>
      <c r="B3" s="493"/>
      <c r="C3" s="493"/>
      <c r="D3" s="493"/>
      <c r="E3" s="493"/>
      <c r="F3" s="493"/>
      <c r="G3" s="493"/>
      <c r="H3" s="493"/>
      <c r="I3" s="493"/>
      <c r="J3" s="493"/>
      <c r="K3" s="493"/>
      <c r="L3" s="493"/>
      <c r="M3" s="493"/>
    </row>
    <row r="4" spans="1:30" ht="13.5" thickBot="1" x14ac:dyDescent="0.35">
      <c r="A4" s="493"/>
      <c r="B4" s="825" t="s">
        <v>498</v>
      </c>
      <c r="C4" s="826"/>
      <c r="D4" s="826"/>
      <c r="E4" s="826"/>
      <c r="F4" s="826"/>
      <c r="G4" s="826"/>
      <c r="H4" s="826"/>
      <c r="I4" s="826"/>
      <c r="J4" s="826"/>
      <c r="K4" s="826"/>
      <c r="L4" s="826"/>
      <c r="M4" s="493"/>
      <c r="N4" s="825" t="s">
        <v>499</v>
      </c>
      <c r="O4" s="826"/>
      <c r="P4" s="826"/>
      <c r="Q4" s="826"/>
      <c r="R4" s="826"/>
      <c r="S4" s="826"/>
      <c r="T4" s="826"/>
      <c r="U4" s="826"/>
      <c r="V4" s="826"/>
      <c r="Y4" s="827" t="s">
        <v>500</v>
      </c>
      <c r="Z4" s="828"/>
      <c r="AA4" s="828"/>
      <c r="AB4" s="828"/>
      <c r="AC4" s="494"/>
    </row>
    <row r="5" spans="1:30" x14ac:dyDescent="0.25">
      <c r="A5" s="493"/>
      <c r="B5" s="829" t="s">
        <v>501</v>
      </c>
      <c r="C5" s="829"/>
      <c r="D5" s="495" t="s">
        <v>284</v>
      </c>
      <c r="E5" s="495" t="s">
        <v>162</v>
      </c>
      <c r="F5" s="495" t="s">
        <v>162</v>
      </c>
      <c r="G5" s="495" t="s">
        <v>283</v>
      </c>
      <c r="H5" s="495" t="s">
        <v>283</v>
      </c>
      <c r="I5" s="829" t="s">
        <v>502</v>
      </c>
      <c r="J5" s="829"/>
      <c r="K5" s="829"/>
      <c r="L5" s="496" t="s">
        <v>503</v>
      </c>
      <c r="M5" s="493"/>
      <c r="N5" s="829" t="s">
        <v>501</v>
      </c>
      <c r="O5" s="829"/>
      <c r="P5" s="495" t="str">
        <f>D5</f>
        <v>Capacity</v>
      </c>
      <c r="Q5" s="495" t="s">
        <v>260</v>
      </c>
      <c r="R5" s="495" t="s">
        <v>260</v>
      </c>
      <c r="S5" s="829" t="s">
        <v>504</v>
      </c>
      <c r="T5" s="829"/>
      <c r="U5" s="829"/>
      <c r="V5" s="496" t="s">
        <v>505</v>
      </c>
      <c r="Y5" s="830" t="s">
        <v>506</v>
      </c>
      <c r="Z5" s="830"/>
      <c r="AA5" s="830"/>
      <c r="AB5" s="496" t="s">
        <v>507</v>
      </c>
      <c r="AC5" s="497"/>
    </row>
    <row r="6" spans="1:30" x14ac:dyDescent="0.25">
      <c r="A6" s="493" t="s">
        <v>508</v>
      </c>
      <c r="B6" s="498" t="s">
        <v>368</v>
      </c>
      <c r="C6" s="498" t="s">
        <v>366</v>
      </c>
      <c r="D6" s="498" t="s">
        <v>366</v>
      </c>
      <c r="E6" s="498" t="s">
        <v>509</v>
      </c>
      <c r="F6" s="498" t="s">
        <v>135</v>
      </c>
      <c r="G6" s="498" t="s">
        <v>509</v>
      </c>
      <c r="H6" s="498" t="s">
        <v>135</v>
      </c>
      <c r="I6" s="498" t="s">
        <v>510</v>
      </c>
      <c r="J6" s="498" t="str">
        <f>D5</f>
        <v>Capacity</v>
      </c>
      <c r="K6" s="498" t="s">
        <v>162</v>
      </c>
      <c r="L6" s="498" t="s">
        <v>162</v>
      </c>
      <c r="M6" s="499"/>
      <c r="N6" s="498" t="s">
        <v>368</v>
      </c>
      <c r="O6" s="498" t="s">
        <v>366</v>
      </c>
      <c r="P6" s="498" t="s">
        <v>366</v>
      </c>
      <c r="Q6" s="498" t="s">
        <v>509</v>
      </c>
      <c r="R6" s="498" t="s">
        <v>135</v>
      </c>
      <c r="S6" s="498" t="s">
        <v>510</v>
      </c>
      <c r="T6" s="498" t="str">
        <f>J6</f>
        <v>Capacity</v>
      </c>
      <c r="U6" s="498" t="s">
        <v>162</v>
      </c>
      <c r="V6" s="498" t="s">
        <v>162</v>
      </c>
      <c r="X6" s="498" t="s">
        <v>508</v>
      </c>
      <c r="Y6" s="498" t="s">
        <v>510</v>
      </c>
      <c r="Z6" s="498" t="str">
        <f>T6</f>
        <v>Capacity</v>
      </c>
      <c r="AA6" s="498" t="s">
        <v>162</v>
      </c>
      <c r="AB6" s="498" t="s">
        <v>162</v>
      </c>
      <c r="AC6" s="498"/>
    </row>
    <row r="7" spans="1:30" x14ac:dyDescent="0.25">
      <c r="A7" s="493"/>
      <c r="B7" s="493"/>
      <c r="C7" s="493"/>
      <c r="D7" s="493"/>
      <c r="E7" s="493"/>
      <c r="F7" s="493"/>
      <c r="G7" s="493"/>
      <c r="H7" s="493"/>
      <c r="I7" s="493"/>
      <c r="J7" s="493"/>
      <c r="K7" s="493"/>
      <c r="L7" s="493"/>
      <c r="M7" s="493"/>
      <c r="N7" s="493"/>
      <c r="O7" s="493"/>
      <c r="P7" s="493"/>
      <c r="Q7" s="493"/>
      <c r="R7" s="493"/>
      <c r="S7" s="493"/>
      <c r="T7" s="493"/>
      <c r="U7" s="493"/>
      <c r="V7" s="493"/>
    </row>
    <row r="8" spans="1:30" x14ac:dyDescent="0.25">
      <c r="A8" s="500">
        <v>1</v>
      </c>
      <c r="B8" s="501">
        <f>'Forecast MAC Total'!R28</f>
        <v>8.1300000000000001E-3</v>
      </c>
      <c r="C8" s="493" t="e">
        <f>#REF!</f>
        <v>#REF!</v>
      </c>
      <c r="D8" s="508">
        <f>'Nov Price Out'!D8</f>
        <v>8.5000000000000006E-3</v>
      </c>
      <c r="E8" s="502">
        <f>'[100]Adj Sales Forecast'!L8</f>
        <v>945738117</v>
      </c>
      <c r="F8" s="493">
        <v>0</v>
      </c>
      <c r="G8" s="8">
        <f>ROUND(E8*0.88,0)</f>
        <v>832249543</v>
      </c>
      <c r="H8" s="8">
        <f>ROUND(F8*0.88,0)</f>
        <v>0</v>
      </c>
      <c r="I8" s="169" t="e">
        <f>ROUND(C8*G8,0)</f>
        <v>#REF!</v>
      </c>
      <c r="J8" s="169">
        <f>ROUND(D8*G8,0)</f>
        <v>7074121</v>
      </c>
      <c r="K8" s="169" t="e">
        <f t="shared" ref="K8:K19" si="0">I8+J8</f>
        <v>#REF!</v>
      </c>
      <c r="L8" s="169">
        <f t="shared" ref="L8:L19" si="1">ROUND(B8*G8,0)</f>
        <v>6766189</v>
      </c>
      <c r="M8" s="493"/>
      <c r="N8" s="493">
        <f>B8</f>
        <v>8.1300000000000001E-3</v>
      </c>
      <c r="O8" s="493" t="e">
        <f>#REF!</f>
        <v>#REF!</v>
      </c>
      <c r="P8" s="508">
        <f>'Nov Price Out'!P8</f>
        <v>3.0100000000000001E-3</v>
      </c>
      <c r="Q8" s="502">
        <f>E8-G8</f>
        <v>113488574</v>
      </c>
      <c r="R8" s="502">
        <f>F8-H8</f>
        <v>0</v>
      </c>
      <c r="S8" s="169" t="e">
        <f t="shared" ref="S8:S19" si="2">ROUND(O8*Q8,0)</f>
        <v>#REF!</v>
      </c>
      <c r="T8" s="169">
        <f>ROUND(P8*Q8,0)</f>
        <v>341601</v>
      </c>
      <c r="U8" s="169" t="e">
        <f t="shared" ref="U8:U19" si="3">S8+T8</f>
        <v>#REF!</v>
      </c>
      <c r="V8" s="169">
        <f t="shared" ref="V8:V19" si="4">ROUND(N8*Q8,0)</f>
        <v>922662</v>
      </c>
      <c r="X8" s="500">
        <v>1</v>
      </c>
      <c r="Y8" s="503" t="e">
        <f t="shared" ref="Y8:Z19" si="5">I8+S8</f>
        <v>#REF!</v>
      </c>
      <c r="Z8" s="503">
        <f t="shared" si="5"/>
        <v>7415722</v>
      </c>
      <c r="AA8" s="503" t="e">
        <f t="shared" ref="AA8:AA19" si="6">Y8+Z8</f>
        <v>#REF!</v>
      </c>
      <c r="AB8" s="503">
        <f t="shared" ref="AB8:AB19" si="7">L8+V8</f>
        <v>7688851</v>
      </c>
    </row>
    <row r="9" spans="1:30" x14ac:dyDescent="0.25">
      <c r="A9" s="500" t="s">
        <v>511</v>
      </c>
      <c r="B9" s="501">
        <f>B8</f>
        <v>8.1300000000000001E-3</v>
      </c>
      <c r="C9" s="493" t="e">
        <f>#REF!</f>
        <v>#REF!</v>
      </c>
      <c r="D9" s="509">
        <f>'Nov Price Out'!D9</f>
        <v>3.2199999999999999E-2</v>
      </c>
      <c r="E9" s="502">
        <f>'[100]Adj Sales Forecast'!L37</f>
        <v>2049219</v>
      </c>
      <c r="F9" s="493">
        <v>0</v>
      </c>
      <c r="G9" s="8">
        <f>ROUND(E9*0.88,0)</f>
        <v>1803313</v>
      </c>
      <c r="H9" s="8">
        <f>ROUND(F9*0.88,0)</f>
        <v>0</v>
      </c>
      <c r="I9" s="169" t="e">
        <f t="shared" ref="I9:I19" si="8">ROUND(C9*G9,0)</f>
        <v>#REF!</v>
      </c>
      <c r="J9" s="169">
        <f t="shared" ref="J9:J19" si="9">ROUND(D9*G9,0)</f>
        <v>58067</v>
      </c>
      <c r="K9" s="169" t="e">
        <f t="shared" si="0"/>
        <v>#REF!</v>
      </c>
      <c r="L9" s="169">
        <f t="shared" si="1"/>
        <v>14661</v>
      </c>
      <c r="M9" s="493"/>
      <c r="N9" s="493">
        <f t="shared" ref="N9:N42" si="10">B9</f>
        <v>8.1300000000000001E-3</v>
      </c>
      <c r="O9" s="493" t="e">
        <f>#REF!</f>
        <v>#REF!</v>
      </c>
      <c r="P9" s="509">
        <f>'Nov Price Out'!P9</f>
        <v>6.6E-3</v>
      </c>
      <c r="Q9" s="502">
        <f>E9-G9</f>
        <v>245906</v>
      </c>
      <c r="R9" s="502">
        <f>F9-H9</f>
        <v>0</v>
      </c>
      <c r="S9" s="169" t="e">
        <f t="shared" si="2"/>
        <v>#REF!</v>
      </c>
      <c r="T9" s="169">
        <f t="shared" ref="T9:T19" si="11">ROUND(P9*Q9,0)</f>
        <v>1623</v>
      </c>
      <c r="U9" s="169" t="e">
        <f t="shared" si="3"/>
        <v>#REF!</v>
      </c>
      <c r="V9" s="169">
        <f t="shared" si="4"/>
        <v>1999</v>
      </c>
      <c r="X9" s="500" t="s">
        <v>511</v>
      </c>
      <c r="Y9" s="503" t="e">
        <f t="shared" si="5"/>
        <v>#REF!</v>
      </c>
      <c r="Z9" s="503">
        <f t="shared" si="5"/>
        <v>59690</v>
      </c>
      <c r="AA9" s="503" t="e">
        <f t="shared" si="6"/>
        <v>#REF!</v>
      </c>
      <c r="AB9" s="503">
        <f t="shared" si="7"/>
        <v>16660</v>
      </c>
      <c r="AD9" s="503"/>
    </row>
    <row r="10" spans="1:30" x14ac:dyDescent="0.25">
      <c r="A10" s="500" t="s">
        <v>512</v>
      </c>
      <c r="B10" s="501">
        <f>B9</f>
        <v>8.1300000000000001E-3</v>
      </c>
      <c r="C10" s="504" t="e">
        <f>#REF!</f>
        <v>#REF!</v>
      </c>
      <c r="D10" s="509">
        <f>'Nov Price Out'!D10</f>
        <v>0</v>
      </c>
      <c r="E10" s="502">
        <f>'[100]Adj Sales Forecast'!L38</f>
        <v>3212664</v>
      </c>
      <c r="F10" s="493">
        <v>0</v>
      </c>
      <c r="G10" s="8">
        <f t="shared" ref="G10:H19" si="12">ROUND(E10*0.88,0)</f>
        <v>2827144</v>
      </c>
      <c r="H10" s="8"/>
      <c r="I10" s="169" t="e">
        <f t="shared" si="8"/>
        <v>#REF!</v>
      </c>
      <c r="J10" s="169">
        <f t="shared" si="9"/>
        <v>0</v>
      </c>
      <c r="K10" s="169" t="e">
        <f t="shared" si="0"/>
        <v>#REF!</v>
      </c>
      <c r="L10" s="169">
        <f t="shared" si="1"/>
        <v>22985</v>
      </c>
      <c r="M10" s="493"/>
      <c r="N10" s="493">
        <f t="shared" si="10"/>
        <v>8.1300000000000001E-3</v>
      </c>
      <c r="O10" s="504" t="e">
        <f>#REF!</f>
        <v>#REF!</v>
      </c>
      <c r="P10" s="509">
        <f>'Nov Price Out'!P10</f>
        <v>0</v>
      </c>
      <c r="Q10" s="502">
        <f t="shared" ref="Q10:R19" si="13">E10-G10</f>
        <v>385520</v>
      </c>
      <c r="R10" s="502">
        <f>F10-H10</f>
        <v>0</v>
      </c>
      <c r="S10" s="169" t="e">
        <f t="shared" si="2"/>
        <v>#REF!</v>
      </c>
      <c r="T10" s="169">
        <f t="shared" si="11"/>
        <v>0</v>
      </c>
      <c r="U10" s="169" t="e">
        <f t="shared" si="3"/>
        <v>#REF!</v>
      </c>
      <c r="V10" s="169">
        <f t="shared" si="4"/>
        <v>3134</v>
      </c>
      <c r="X10" s="500" t="s">
        <v>512</v>
      </c>
      <c r="Y10" s="503" t="e">
        <f t="shared" si="5"/>
        <v>#REF!</v>
      </c>
      <c r="Z10" s="503">
        <f t="shared" si="5"/>
        <v>0</v>
      </c>
      <c r="AA10" s="503" t="e">
        <f t="shared" si="6"/>
        <v>#REF!</v>
      </c>
      <c r="AB10" s="503">
        <f t="shared" si="7"/>
        <v>26119</v>
      </c>
    </row>
    <row r="11" spans="1:30" x14ac:dyDescent="0.25">
      <c r="A11" s="500">
        <v>2</v>
      </c>
      <c r="B11" s="501">
        <f>B9</f>
        <v>8.1300000000000001E-3</v>
      </c>
      <c r="C11" s="504" t="e">
        <f>#REF!</f>
        <v>#REF!</v>
      </c>
      <c r="D11" s="509">
        <f>'Nov Price Out'!D11</f>
        <v>1.29E-2</v>
      </c>
      <c r="E11" s="502">
        <f>'[100]Adj Sales Forecast'!L15</f>
        <v>213221040</v>
      </c>
      <c r="F11" s="493">
        <v>0</v>
      </c>
      <c r="G11" s="8">
        <f t="shared" si="12"/>
        <v>187634515</v>
      </c>
      <c r="H11" s="8">
        <f t="shared" si="12"/>
        <v>0</v>
      </c>
      <c r="I11" s="169" t="e">
        <f t="shared" si="8"/>
        <v>#REF!</v>
      </c>
      <c r="J11" s="169">
        <f t="shared" si="9"/>
        <v>2420485</v>
      </c>
      <c r="K11" s="169" t="e">
        <f t="shared" si="0"/>
        <v>#REF!</v>
      </c>
      <c r="L11" s="169">
        <f t="shared" si="1"/>
        <v>1525469</v>
      </c>
      <c r="M11" s="493"/>
      <c r="N11" s="493">
        <f t="shared" si="10"/>
        <v>8.1300000000000001E-3</v>
      </c>
      <c r="O11" s="504" t="e">
        <f>#REF!</f>
        <v>#REF!</v>
      </c>
      <c r="P11" s="509">
        <f>'Nov Price Out'!P11</f>
        <v>2.5999999999999999E-3</v>
      </c>
      <c r="Q11" s="502">
        <f t="shared" si="13"/>
        <v>25586525</v>
      </c>
      <c r="R11" s="502">
        <f t="shared" si="13"/>
        <v>0</v>
      </c>
      <c r="S11" s="169" t="e">
        <f t="shared" si="2"/>
        <v>#REF!</v>
      </c>
      <c r="T11" s="169">
        <f t="shared" si="11"/>
        <v>66525</v>
      </c>
      <c r="U11" s="169" t="e">
        <f t="shared" si="3"/>
        <v>#REF!</v>
      </c>
      <c r="V11" s="169">
        <f t="shared" si="4"/>
        <v>208018</v>
      </c>
      <c r="X11" s="500">
        <v>2</v>
      </c>
      <c r="Y11" s="503" t="e">
        <f t="shared" si="5"/>
        <v>#REF!</v>
      </c>
      <c r="Z11" s="503">
        <f t="shared" si="5"/>
        <v>2487010</v>
      </c>
      <c r="AA11" s="503" t="e">
        <f t="shared" si="6"/>
        <v>#REF!</v>
      </c>
      <c r="AB11" s="503">
        <f t="shared" si="7"/>
        <v>1733487</v>
      </c>
    </row>
    <row r="12" spans="1:30" x14ac:dyDescent="0.25">
      <c r="A12" s="500" t="s">
        <v>513</v>
      </c>
      <c r="B12" s="501">
        <f>B9</f>
        <v>8.1300000000000001E-3</v>
      </c>
      <c r="C12" s="493" t="e">
        <f>#REF!</f>
        <v>#REF!</v>
      </c>
      <c r="D12" s="509">
        <f>'Nov Price Out'!D12</f>
        <v>2.4E-2</v>
      </c>
      <c r="E12" s="502">
        <f>'[100]Adj Sales Forecast'!L40</f>
        <v>311234</v>
      </c>
      <c r="F12" s="493">
        <v>0</v>
      </c>
      <c r="G12" s="8">
        <f t="shared" si="12"/>
        <v>273886</v>
      </c>
      <c r="H12" s="8">
        <f t="shared" si="12"/>
        <v>0</v>
      </c>
      <c r="I12" s="169" t="e">
        <f t="shared" si="8"/>
        <v>#REF!</v>
      </c>
      <c r="J12" s="169">
        <f t="shared" si="9"/>
        <v>6573</v>
      </c>
      <c r="K12" s="169" t="e">
        <f t="shared" si="0"/>
        <v>#REF!</v>
      </c>
      <c r="L12" s="169">
        <f t="shared" si="1"/>
        <v>2227</v>
      </c>
      <c r="M12" s="493"/>
      <c r="N12" s="493">
        <f t="shared" si="10"/>
        <v>8.1300000000000001E-3</v>
      </c>
      <c r="O12" s="493" t="e">
        <f>#REF!</f>
        <v>#REF!</v>
      </c>
      <c r="P12" s="509">
        <f>'Nov Price Out'!P12</f>
        <v>4.8999999999999998E-3</v>
      </c>
      <c r="Q12" s="502">
        <f t="shared" si="13"/>
        <v>37348</v>
      </c>
      <c r="R12" s="502">
        <f t="shared" si="13"/>
        <v>0</v>
      </c>
      <c r="S12" s="169" t="e">
        <f t="shared" si="2"/>
        <v>#REF!</v>
      </c>
      <c r="T12" s="169">
        <f t="shared" si="11"/>
        <v>183</v>
      </c>
      <c r="U12" s="169" t="e">
        <f t="shared" si="3"/>
        <v>#REF!</v>
      </c>
      <c r="V12" s="169">
        <f t="shared" si="4"/>
        <v>304</v>
      </c>
      <c r="X12" s="500" t="s">
        <v>513</v>
      </c>
      <c r="Y12" s="503" t="e">
        <f t="shared" si="5"/>
        <v>#REF!</v>
      </c>
      <c r="Z12" s="503">
        <f t="shared" si="5"/>
        <v>6756</v>
      </c>
      <c r="AA12" s="503" t="e">
        <f t="shared" si="6"/>
        <v>#REF!</v>
      </c>
      <c r="AB12" s="503">
        <f t="shared" si="7"/>
        <v>2531</v>
      </c>
    </row>
    <row r="13" spans="1:30" x14ac:dyDescent="0.25">
      <c r="A13" s="500" t="s">
        <v>514</v>
      </c>
      <c r="B13" s="501">
        <f>B12</f>
        <v>8.1300000000000001E-3</v>
      </c>
      <c r="C13" s="504" t="e">
        <f>#REF!</f>
        <v>#REF!</v>
      </c>
      <c r="D13" s="509">
        <f>'Nov Price Out'!D13</f>
        <v>0</v>
      </c>
      <c r="E13" s="502">
        <f>'[100]Adj Sales Forecast'!L41</f>
        <v>467726</v>
      </c>
      <c r="F13" s="493">
        <v>0</v>
      </c>
      <c r="G13" s="8">
        <f t="shared" si="12"/>
        <v>411599</v>
      </c>
      <c r="H13" s="8">
        <f t="shared" si="12"/>
        <v>0</v>
      </c>
      <c r="I13" s="169" t="e">
        <f t="shared" si="8"/>
        <v>#REF!</v>
      </c>
      <c r="J13" s="169">
        <f t="shared" si="9"/>
        <v>0</v>
      </c>
      <c r="K13" s="169" t="e">
        <f t="shared" si="0"/>
        <v>#REF!</v>
      </c>
      <c r="L13" s="169">
        <f t="shared" si="1"/>
        <v>3346</v>
      </c>
      <c r="M13" s="493"/>
      <c r="N13" s="493">
        <f t="shared" si="10"/>
        <v>8.1300000000000001E-3</v>
      </c>
      <c r="O13" s="504" t="e">
        <f>#REF!</f>
        <v>#REF!</v>
      </c>
      <c r="P13" s="509">
        <f>'Nov Price Out'!P13</f>
        <v>0</v>
      </c>
      <c r="Q13" s="502">
        <f t="shared" si="13"/>
        <v>56127</v>
      </c>
      <c r="R13" s="502">
        <f t="shared" si="13"/>
        <v>0</v>
      </c>
      <c r="S13" s="169" t="e">
        <f t="shared" si="2"/>
        <v>#REF!</v>
      </c>
      <c r="T13" s="169">
        <f t="shared" si="11"/>
        <v>0</v>
      </c>
      <c r="U13" s="169" t="e">
        <f t="shared" si="3"/>
        <v>#REF!</v>
      </c>
      <c r="V13" s="169">
        <f t="shared" si="4"/>
        <v>456</v>
      </c>
      <c r="X13" s="500" t="s">
        <v>514</v>
      </c>
      <c r="Y13" s="503" t="e">
        <f t="shared" si="5"/>
        <v>#REF!</v>
      </c>
      <c r="Z13" s="503">
        <f t="shared" si="5"/>
        <v>0</v>
      </c>
      <c r="AA13" s="503" t="e">
        <f t="shared" si="6"/>
        <v>#REF!</v>
      </c>
      <c r="AB13" s="503">
        <f t="shared" si="7"/>
        <v>3802</v>
      </c>
    </row>
    <row r="14" spans="1:30" x14ac:dyDescent="0.25">
      <c r="A14" s="500">
        <v>6</v>
      </c>
      <c r="B14" s="501">
        <f>B13</f>
        <v>8.1300000000000001E-3</v>
      </c>
      <c r="C14" s="493" t="e">
        <f>#REF!</f>
        <v>#REF!</v>
      </c>
      <c r="D14" s="509">
        <f>'Nov Price Out'!D14</f>
        <v>1E-4</v>
      </c>
      <c r="E14" s="502">
        <f>'[100]Adj Sales Forecast'!L18</f>
        <v>686414</v>
      </c>
      <c r="F14" s="493">
        <v>0</v>
      </c>
      <c r="G14" s="8">
        <f t="shared" si="12"/>
        <v>604044</v>
      </c>
      <c r="H14" s="8">
        <f t="shared" si="12"/>
        <v>0</v>
      </c>
      <c r="I14" s="169" t="e">
        <f t="shared" si="8"/>
        <v>#REF!</v>
      </c>
      <c r="J14" s="169">
        <f t="shared" si="9"/>
        <v>60</v>
      </c>
      <c r="K14" s="169" t="e">
        <f t="shared" si="0"/>
        <v>#REF!</v>
      </c>
      <c r="L14" s="169">
        <f t="shared" si="1"/>
        <v>4911</v>
      </c>
      <c r="M14" s="493"/>
      <c r="N14" s="493">
        <f t="shared" si="10"/>
        <v>8.1300000000000001E-3</v>
      </c>
      <c r="O14" s="493" t="e">
        <f>#REF!</f>
        <v>#REF!</v>
      </c>
      <c r="P14" s="509">
        <f>'Nov Price Out'!P14</f>
        <v>0</v>
      </c>
      <c r="Q14" s="502">
        <f t="shared" si="13"/>
        <v>82370</v>
      </c>
      <c r="R14" s="502">
        <f t="shared" si="13"/>
        <v>0</v>
      </c>
      <c r="S14" s="169" t="e">
        <f t="shared" si="2"/>
        <v>#REF!</v>
      </c>
      <c r="T14" s="169">
        <f t="shared" si="11"/>
        <v>0</v>
      </c>
      <c r="U14" s="169" t="e">
        <f t="shared" si="3"/>
        <v>#REF!</v>
      </c>
      <c r="V14" s="169">
        <f t="shared" si="4"/>
        <v>670</v>
      </c>
      <c r="X14" s="500">
        <v>6</v>
      </c>
      <c r="Y14" s="503" t="e">
        <f t="shared" si="5"/>
        <v>#REF!</v>
      </c>
      <c r="Z14" s="503">
        <f t="shared" si="5"/>
        <v>60</v>
      </c>
      <c r="AA14" s="503" t="e">
        <f t="shared" si="6"/>
        <v>#REF!</v>
      </c>
      <c r="AB14" s="503">
        <f t="shared" si="7"/>
        <v>5581</v>
      </c>
    </row>
    <row r="15" spans="1:30" hidden="1" x14ac:dyDescent="0.25">
      <c r="A15" s="500">
        <v>7</v>
      </c>
      <c r="B15" s="501">
        <f>B8</f>
        <v>8.1300000000000001E-3</v>
      </c>
      <c r="C15" s="493" t="e">
        <f>#REF!</f>
        <v>#REF!</v>
      </c>
      <c r="D15" s="508"/>
      <c r="E15" s="502"/>
      <c r="F15" s="493"/>
      <c r="G15" s="8"/>
      <c r="H15" s="8"/>
      <c r="I15" s="169"/>
      <c r="J15" s="169"/>
      <c r="K15" s="169"/>
      <c r="L15" s="169"/>
      <c r="M15" s="493"/>
      <c r="N15" s="493">
        <f t="shared" si="10"/>
        <v>8.1300000000000001E-3</v>
      </c>
      <c r="O15" s="493" t="e">
        <f>#REF!</f>
        <v>#REF!</v>
      </c>
      <c r="P15" s="508" t="e">
        <f>'Nov Price Out'!P15</f>
        <v>#DIV/0!</v>
      </c>
      <c r="Q15" s="502">
        <f t="shared" si="13"/>
        <v>0</v>
      </c>
      <c r="R15" s="502">
        <f t="shared" si="13"/>
        <v>0</v>
      </c>
      <c r="S15" s="169" t="e">
        <f t="shared" si="2"/>
        <v>#REF!</v>
      </c>
      <c r="T15" s="169" t="e">
        <f t="shared" si="11"/>
        <v>#DIV/0!</v>
      </c>
      <c r="U15" s="169" t="e">
        <f t="shared" si="3"/>
        <v>#REF!</v>
      </c>
      <c r="V15" s="169">
        <f t="shared" si="4"/>
        <v>0</v>
      </c>
      <c r="X15" s="500">
        <v>7</v>
      </c>
      <c r="Y15" s="503" t="e">
        <f t="shared" si="5"/>
        <v>#REF!</v>
      </c>
      <c r="Z15" s="503" t="e">
        <f t="shared" si="5"/>
        <v>#DIV/0!</v>
      </c>
      <c r="AA15" s="503" t="e">
        <f t="shared" si="6"/>
        <v>#REF!</v>
      </c>
      <c r="AB15" s="503">
        <f t="shared" si="7"/>
        <v>0</v>
      </c>
    </row>
    <row r="16" spans="1:30" hidden="1" x14ac:dyDescent="0.25">
      <c r="A16" s="500" t="s">
        <v>515</v>
      </c>
      <c r="B16" s="501">
        <f>B9</f>
        <v>8.1300000000000001E-3</v>
      </c>
      <c r="C16" s="493" t="e">
        <f>#REF!</f>
        <v>#REF!</v>
      </c>
      <c r="D16" s="509"/>
      <c r="E16" s="502"/>
      <c r="F16" s="493"/>
      <c r="G16" s="8"/>
      <c r="H16" s="8"/>
      <c r="I16" s="169"/>
      <c r="J16" s="169"/>
      <c r="K16" s="169"/>
      <c r="L16" s="169"/>
      <c r="M16" s="493"/>
      <c r="N16" s="493">
        <f t="shared" si="10"/>
        <v>8.1300000000000001E-3</v>
      </c>
      <c r="O16" s="493" t="e">
        <f>#REF!</f>
        <v>#REF!</v>
      </c>
      <c r="P16" s="509" t="e">
        <f>'Nov Price Out'!P16</f>
        <v>#DIV/0!</v>
      </c>
      <c r="Q16" s="502">
        <f t="shared" si="13"/>
        <v>0</v>
      </c>
      <c r="R16" s="502">
        <f t="shared" si="13"/>
        <v>0</v>
      </c>
      <c r="S16" s="169" t="e">
        <f t="shared" si="2"/>
        <v>#REF!</v>
      </c>
      <c r="T16" s="169" t="e">
        <f t="shared" si="11"/>
        <v>#DIV/0!</v>
      </c>
      <c r="U16" s="169" t="e">
        <f t="shared" si="3"/>
        <v>#REF!</v>
      </c>
      <c r="V16" s="169">
        <f t="shared" si="4"/>
        <v>0</v>
      </c>
      <c r="X16" s="500" t="s">
        <v>515</v>
      </c>
      <c r="Y16" s="503" t="e">
        <f t="shared" si="5"/>
        <v>#REF!</v>
      </c>
      <c r="Z16" s="503" t="e">
        <f t="shared" si="5"/>
        <v>#DIV/0!</v>
      </c>
      <c r="AA16" s="503" t="e">
        <f t="shared" si="6"/>
        <v>#REF!</v>
      </c>
      <c r="AB16" s="503">
        <f t="shared" si="7"/>
        <v>0</v>
      </c>
    </row>
    <row r="17" spans="1:28" hidden="1" x14ac:dyDescent="0.25">
      <c r="A17" s="500" t="s">
        <v>516</v>
      </c>
      <c r="B17" s="501">
        <f>B9</f>
        <v>8.1300000000000001E-3</v>
      </c>
      <c r="C17" s="504" t="e">
        <f>#REF!</f>
        <v>#REF!</v>
      </c>
      <c r="D17" s="509"/>
      <c r="E17" s="502"/>
      <c r="F17" s="493"/>
      <c r="G17" s="8"/>
      <c r="H17" s="8"/>
      <c r="I17" s="169"/>
      <c r="J17" s="169"/>
      <c r="K17" s="169"/>
      <c r="L17" s="169"/>
      <c r="M17" s="493"/>
      <c r="N17" s="493">
        <f t="shared" si="10"/>
        <v>8.1300000000000001E-3</v>
      </c>
      <c r="O17" s="504" t="e">
        <f>#REF!</f>
        <v>#REF!</v>
      </c>
      <c r="P17" s="509">
        <f>'Nov Price Out'!P17</f>
        <v>0</v>
      </c>
      <c r="Q17" s="502">
        <f t="shared" si="13"/>
        <v>0</v>
      </c>
      <c r="R17" s="502">
        <f t="shared" si="13"/>
        <v>0</v>
      </c>
      <c r="S17" s="169" t="e">
        <f t="shared" si="2"/>
        <v>#REF!</v>
      </c>
      <c r="T17" s="169">
        <f t="shared" si="11"/>
        <v>0</v>
      </c>
      <c r="U17" s="169" t="e">
        <f t="shared" si="3"/>
        <v>#REF!</v>
      </c>
      <c r="V17" s="169">
        <f t="shared" si="4"/>
        <v>0</v>
      </c>
      <c r="X17" s="500" t="s">
        <v>516</v>
      </c>
      <c r="Y17" s="503" t="e">
        <f t="shared" si="5"/>
        <v>#REF!</v>
      </c>
      <c r="Z17" s="503">
        <f t="shared" si="5"/>
        <v>0</v>
      </c>
      <c r="AA17" s="503" t="e">
        <f t="shared" si="6"/>
        <v>#REF!</v>
      </c>
      <c r="AB17" s="503">
        <f t="shared" si="7"/>
        <v>0</v>
      </c>
    </row>
    <row r="18" spans="1:28" x14ac:dyDescent="0.25">
      <c r="A18" s="500" t="s">
        <v>56</v>
      </c>
      <c r="B18" s="501">
        <f>B9</f>
        <v>8.1300000000000001E-3</v>
      </c>
      <c r="C18" s="493" t="e">
        <f>#REF!</f>
        <v>#REF!</v>
      </c>
      <c r="D18" s="509">
        <f>'Nov Price Out'!D18</f>
        <v>0</v>
      </c>
      <c r="E18" s="502">
        <f>'[100]Adj Sales Forecast'!L26</f>
        <v>606024</v>
      </c>
      <c r="F18" s="493">
        <v>0</v>
      </c>
      <c r="G18" s="8">
        <f t="shared" si="12"/>
        <v>533301</v>
      </c>
      <c r="H18" s="8">
        <f t="shared" si="12"/>
        <v>0</v>
      </c>
      <c r="I18" s="169" t="e">
        <f t="shared" si="8"/>
        <v>#REF!</v>
      </c>
      <c r="J18" s="169">
        <f t="shared" si="9"/>
        <v>0</v>
      </c>
      <c r="K18" s="169" t="e">
        <f t="shared" si="0"/>
        <v>#REF!</v>
      </c>
      <c r="L18" s="169">
        <f t="shared" si="1"/>
        <v>4336</v>
      </c>
      <c r="M18" s="493"/>
      <c r="N18" s="493">
        <f t="shared" si="10"/>
        <v>8.1300000000000001E-3</v>
      </c>
      <c r="O18" s="493" t="e">
        <f>#REF!</f>
        <v>#REF!</v>
      </c>
      <c r="P18" s="509">
        <f>'Nov Price Out'!P18</f>
        <v>0</v>
      </c>
      <c r="Q18" s="502">
        <f t="shared" si="13"/>
        <v>72723</v>
      </c>
      <c r="R18" s="502">
        <f t="shared" si="13"/>
        <v>0</v>
      </c>
      <c r="S18" s="169" t="e">
        <f t="shared" si="2"/>
        <v>#REF!</v>
      </c>
      <c r="T18" s="169">
        <f t="shared" si="11"/>
        <v>0</v>
      </c>
      <c r="U18" s="169" t="e">
        <f t="shared" si="3"/>
        <v>#REF!</v>
      </c>
      <c r="V18" s="169">
        <f t="shared" si="4"/>
        <v>591</v>
      </c>
      <c r="X18" s="500" t="s">
        <v>56</v>
      </c>
      <c r="Y18" s="503" t="e">
        <f t="shared" si="5"/>
        <v>#REF!</v>
      </c>
      <c r="Z18" s="503">
        <f t="shared" si="5"/>
        <v>0</v>
      </c>
      <c r="AA18" s="503" t="e">
        <f t="shared" si="6"/>
        <v>#REF!</v>
      </c>
      <c r="AB18" s="503">
        <f t="shared" si="7"/>
        <v>4927</v>
      </c>
    </row>
    <row r="19" spans="1:28" x14ac:dyDescent="0.25">
      <c r="A19" s="500" t="s">
        <v>517</v>
      </c>
      <c r="B19" s="501">
        <f>B9</f>
        <v>8.1300000000000001E-3</v>
      </c>
      <c r="C19" s="493" t="e">
        <f>#REF!</f>
        <v>#REF!</v>
      </c>
      <c r="D19" s="509">
        <f>'Nov Price Out'!D19</f>
        <v>3.8999999999999998E-3</v>
      </c>
      <c r="E19" s="502">
        <f>'[100]Adj Sales Forecast'!L31</f>
        <v>165864</v>
      </c>
      <c r="F19" s="493">
        <v>0</v>
      </c>
      <c r="G19" s="8">
        <f t="shared" si="12"/>
        <v>145960</v>
      </c>
      <c r="H19" s="8">
        <f t="shared" si="12"/>
        <v>0</v>
      </c>
      <c r="I19" s="169" t="e">
        <f t="shared" si="8"/>
        <v>#REF!</v>
      </c>
      <c r="J19" s="169">
        <f t="shared" si="9"/>
        <v>569</v>
      </c>
      <c r="K19" s="169" t="e">
        <f t="shared" si="0"/>
        <v>#REF!</v>
      </c>
      <c r="L19" s="169">
        <f t="shared" si="1"/>
        <v>1187</v>
      </c>
      <c r="M19" s="493"/>
      <c r="N19" s="493">
        <f t="shared" si="10"/>
        <v>8.1300000000000001E-3</v>
      </c>
      <c r="O19" s="493" t="e">
        <f>#REF!</f>
        <v>#REF!</v>
      </c>
      <c r="P19" s="509">
        <f>'Nov Price Out'!P19</f>
        <v>8.0000000000000004E-4</v>
      </c>
      <c r="Q19" s="502">
        <f t="shared" si="13"/>
        <v>19904</v>
      </c>
      <c r="R19" s="502">
        <f t="shared" si="13"/>
        <v>0</v>
      </c>
      <c r="S19" s="169" t="e">
        <f t="shared" si="2"/>
        <v>#REF!</v>
      </c>
      <c r="T19" s="169">
        <f t="shared" si="11"/>
        <v>16</v>
      </c>
      <c r="U19" s="169" t="e">
        <f t="shared" si="3"/>
        <v>#REF!</v>
      </c>
      <c r="V19" s="169">
        <f t="shared" si="4"/>
        <v>162</v>
      </c>
      <c r="X19" s="500" t="s">
        <v>517</v>
      </c>
      <c r="Y19" s="503" t="e">
        <f t="shared" si="5"/>
        <v>#REF!</v>
      </c>
      <c r="Z19" s="503">
        <f t="shared" si="5"/>
        <v>585</v>
      </c>
      <c r="AA19" s="503" t="e">
        <f t="shared" si="6"/>
        <v>#REF!</v>
      </c>
      <c r="AB19" s="503">
        <f t="shared" si="7"/>
        <v>1349</v>
      </c>
    </row>
    <row r="20" spans="1:28" x14ac:dyDescent="0.25">
      <c r="A20" s="493"/>
      <c r="B20" s="501"/>
      <c r="C20" s="493"/>
      <c r="D20" s="493"/>
      <c r="E20" s="493"/>
      <c r="F20" s="493"/>
      <c r="G20" s="493"/>
      <c r="H20" s="493"/>
      <c r="I20" s="493"/>
      <c r="J20" s="493"/>
      <c r="K20" s="493"/>
      <c r="L20" s="493"/>
      <c r="M20" s="493"/>
      <c r="N20" s="493"/>
      <c r="O20" s="493"/>
      <c r="P20" s="493"/>
      <c r="Q20" s="493"/>
      <c r="R20" s="493"/>
      <c r="S20" s="493"/>
      <c r="T20" s="493"/>
      <c r="U20" s="493"/>
      <c r="V20" s="493"/>
      <c r="X20" s="493"/>
      <c r="Y20" s="503"/>
      <c r="Z20" s="503"/>
      <c r="AA20" s="503"/>
      <c r="AB20" s="503"/>
    </row>
    <row r="21" spans="1:28" x14ac:dyDescent="0.25">
      <c r="A21" s="493" t="s">
        <v>518</v>
      </c>
      <c r="B21" s="501">
        <f>B9</f>
        <v>8.1300000000000001E-3</v>
      </c>
      <c r="C21" s="493" t="e">
        <f>#REF!</f>
        <v>#REF!</v>
      </c>
      <c r="D21" s="505">
        <f>'Nov Price Out'!D21</f>
        <v>2.93</v>
      </c>
      <c r="E21" s="502">
        <f>'[100]Adj Sales Forecast'!L16</f>
        <v>78594.000000000015</v>
      </c>
      <c r="F21" s="8">
        <f>'[100]Adj Demand Forecast '!L6</f>
        <v>213</v>
      </c>
      <c r="G21" s="8">
        <f t="shared" ref="G21:H24" si="14">ROUND(E21*0.88,0)</f>
        <v>69163</v>
      </c>
      <c r="H21" s="8">
        <f t="shared" si="14"/>
        <v>187</v>
      </c>
      <c r="I21" s="169" t="e">
        <f>ROUND(C21*G21,0)</f>
        <v>#REF!</v>
      </c>
      <c r="J21" s="169">
        <f t="shared" ref="J21:J42" si="15">ROUND(D21*H21,0)</f>
        <v>548</v>
      </c>
      <c r="K21" s="169" t="e">
        <f>I21+J21</f>
        <v>#REF!</v>
      </c>
      <c r="L21" s="169">
        <f>ROUND(B21*G21,0)</f>
        <v>562</v>
      </c>
      <c r="M21" s="493"/>
      <c r="N21" s="493">
        <f t="shared" si="10"/>
        <v>8.1300000000000001E-3</v>
      </c>
      <c r="O21" s="493" t="e">
        <f>#REF!</f>
        <v>#REF!</v>
      </c>
      <c r="P21" s="505">
        <f>'Nov Price Out'!P21</f>
        <v>0.6</v>
      </c>
      <c r="Q21" s="502">
        <f t="shared" ref="Q21:R24" si="16">E21-G21</f>
        <v>9431.0000000000146</v>
      </c>
      <c r="R21" s="502">
        <f t="shared" si="16"/>
        <v>26</v>
      </c>
      <c r="S21" s="169" t="e">
        <f t="shared" ref="S21:T24" si="17">ROUND(O21*Q21,0)</f>
        <v>#REF!</v>
      </c>
      <c r="T21" s="169">
        <f t="shared" si="17"/>
        <v>16</v>
      </c>
      <c r="U21" s="169" t="e">
        <f>S21+T21</f>
        <v>#REF!</v>
      </c>
      <c r="V21" s="169">
        <f>ROUND(N21*Q21,0)</f>
        <v>77</v>
      </c>
      <c r="X21" s="493" t="s">
        <v>518</v>
      </c>
      <c r="Y21" s="503" t="e">
        <f t="shared" ref="Y21:Z24" si="18">I21+S21</f>
        <v>#REF!</v>
      </c>
      <c r="Z21" s="503">
        <f t="shared" si="18"/>
        <v>564</v>
      </c>
      <c r="AA21" s="503" t="e">
        <f>Y21+Z21</f>
        <v>#REF!</v>
      </c>
      <c r="AB21" s="503">
        <f>L21+V21</f>
        <v>639</v>
      </c>
    </row>
    <row r="22" spans="1:28" x14ac:dyDescent="0.25">
      <c r="A22" s="493" t="s">
        <v>303</v>
      </c>
      <c r="B22" s="501">
        <f>B9</f>
        <v>8.1300000000000001E-3</v>
      </c>
      <c r="C22" s="493" t="e">
        <f>#REF!</f>
        <v>#REF!</v>
      </c>
      <c r="D22" s="505">
        <f>'Nov Price Out'!D22</f>
        <v>5.14</v>
      </c>
      <c r="E22" s="502">
        <f>'[100]Adj Sales Forecast'!L22</f>
        <v>109000000</v>
      </c>
      <c r="F22" s="8">
        <f>'[100]Adj Demand Forecast '!L8</f>
        <v>231040</v>
      </c>
      <c r="G22" s="8">
        <f t="shared" si="14"/>
        <v>95920000</v>
      </c>
      <c r="H22" s="8">
        <f t="shared" si="14"/>
        <v>203315</v>
      </c>
      <c r="I22" s="169" t="e">
        <f>ROUND(C22*G22,0)</f>
        <v>#REF!</v>
      </c>
      <c r="J22" s="169">
        <f t="shared" si="15"/>
        <v>1045039</v>
      </c>
      <c r="K22" s="169" t="e">
        <f>I22+J22</f>
        <v>#REF!</v>
      </c>
      <c r="L22" s="169">
        <f>ROUND(B22*G22,0)</f>
        <v>779830</v>
      </c>
      <c r="M22" s="493"/>
      <c r="N22" s="493">
        <f t="shared" si="10"/>
        <v>8.1300000000000001E-3</v>
      </c>
      <c r="O22" s="493" t="e">
        <f>#REF!</f>
        <v>#REF!</v>
      </c>
      <c r="P22" s="505">
        <f>'Nov Price Out'!P22</f>
        <v>1.05</v>
      </c>
      <c r="Q22" s="502">
        <f t="shared" si="16"/>
        <v>13080000</v>
      </c>
      <c r="R22" s="502">
        <f t="shared" si="16"/>
        <v>27725</v>
      </c>
      <c r="S22" s="169" t="e">
        <f t="shared" si="17"/>
        <v>#REF!</v>
      </c>
      <c r="T22" s="169">
        <f t="shared" si="17"/>
        <v>29111</v>
      </c>
      <c r="U22" s="169" t="e">
        <f>S22+T22</f>
        <v>#REF!</v>
      </c>
      <c r="V22" s="169">
        <f>ROUND(N22*Q22,0)</f>
        <v>106340</v>
      </c>
      <c r="X22" s="493" t="s">
        <v>303</v>
      </c>
      <c r="Y22" s="503" t="e">
        <f t="shared" si="18"/>
        <v>#REF!</v>
      </c>
      <c r="Z22" s="503">
        <f t="shared" si="18"/>
        <v>1074150</v>
      </c>
      <c r="AA22" s="503" t="e">
        <f>Y22+Z22</f>
        <v>#REF!</v>
      </c>
      <c r="AB22" s="503">
        <f>L22+V22</f>
        <v>886170</v>
      </c>
    </row>
    <row r="23" spans="1:28" x14ac:dyDescent="0.25">
      <c r="A23" s="493" t="s">
        <v>305</v>
      </c>
      <c r="B23" s="501">
        <f>B9</f>
        <v>8.1300000000000001E-3</v>
      </c>
      <c r="C23" s="493" t="e">
        <f>#REF!</f>
        <v>#REF!</v>
      </c>
      <c r="D23" s="505">
        <f>'Nov Price Out'!D23</f>
        <v>3.45</v>
      </c>
      <c r="E23" s="502">
        <f>'[100]Adj Sales Forecast'!L27</f>
        <v>1367393976</v>
      </c>
      <c r="F23" s="8">
        <f>'[100]Adj Demand Forecast '!L14</f>
        <v>3839268.1999999997</v>
      </c>
      <c r="G23" s="8">
        <f t="shared" si="14"/>
        <v>1203306699</v>
      </c>
      <c r="H23" s="8">
        <f t="shared" si="14"/>
        <v>3378556</v>
      </c>
      <c r="I23" s="169" t="e">
        <f>ROUND(C23*G23,0)</f>
        <v>#REF!</v>
      </c>
      <c r="J23" s="169">
        <f t="shared" si="15"/>
        <v>11656018</v>
      </c>
      <c r="K23" s="169" t="e">
        <f>I23+J23</f>
        <v>#REF!</v>
      </c>
      <c r="L23" s="169">
        <f>ROUND(B23*G23,0)</f>
        <v>9782883</v>
      </c>
      <c r="M23" s="493"/>
      <c r="N23" s="493">
        <f t="shared" si="10"/>
        <v>8.1300000000000001E-3</v>
      </c>
      <c r="O23" s="493" t="e">
        <f>#REF!</f>
        <v>#REF!</v>
      </c>
      <c r="P23" s="505">
        <f>'Nov Price Out'!P23</f>
        <v>0.7</v>
      </c>
      <c r="Q23" s="502">
        <f t="shared" si="16"/>
        <v>164087277</v>
      </c>
      <c r="R23" s="502">
        <f t="shared" si="16"/>
        <v>460712.19999999972</v>
      </c>
      <c r="S23" s="169" t="e">
        <f t="shared" si="17"/>
        <v>#REF!</v>
      </c>
      <c r="T23" s="169">
        <f t="shared" si="17"/>
        <v>322499</v>
      </c>
      <c r="U23" s="169" t="e">
        <f>S23+T23</f>
        <v>#REF!</v>
      </c>
      <c r="V23" s="169">
        <f>ROUND(N23*Q23,0)</f>
        <v>1334030</v>
      </c>
      <c r="X23" s="493" t="s">
        <v>305</v>
      </c>
      <c r="Y23" s="503" t="e">
        <f t="shared" si="18"/>
        <v>#REF!</v>
      </c>
      <c r="Z23" s="503">
        <f t="shared" si="18"/>
        <v>11978517</v>
      </c>
      <c r="AA23" s="503" t="e">
        <f>Y23+Z23</f>
        <v>#REF!</v>
      </c>
      <c r="AB23" s="503">
        <f>L23+V23</f>
        <v>11116913</v>
      </c>
    </row>
    <row r="24" spans="1:28" x14ac:dyDescent="0.25">
      <c r="A24" s="493" t="s">
        <v>310</v>
      </c>
      <c r="B24" s="501">
        <f>B9</f>
        <v>8.1300000000000001E-3</v>
      </c>
      <c r="C24" s="493" t="e">
        <f>#REF!</f>
        <v>#REF!</v>
      </c>
      <c r="D24" s="505">
        <f>'Nov Price Out'!D24</f>
        <v>1.75</v>
      </c>
      <c r="E24" s="502">
        <f>'[100]Adj Sales Forecast'!L32</f>
        <v>23834136</v>
      </c>
      <c r="F24" s="8">
        <f>'[100]Adj Demand Forecast '!L20</f>
        <v>53000</v>
      </c>
      <c r="G24" s="8">
        <f t="shared" si="14"/>
        <v>20974040</v>
      </c>
      <c r="H24" s="8">
        <f t="shared" si="14"/>
        <v>46640</v>
      </c>
      <c r="I24" s="169" t="e">
        <f>ROUND(C24*G24,0)</f>
        <v>#REF!</v>
      </c>
      <c r="J24" s="169">
        <f t="shared" si="15"/>
        <v>81620</v>
      </c>
      <c r="K24" s="169" t="e">
        <f>I24+J24</f>
        <v>#REF!</v>
      </c>
      <c r="L24" s="169">
        <f>ROUND(B24*G24,0)</f>
        <v>170519</v>
      </c>
      <c r="M24" s="493"/>
      <c r="N24" s="493">
        <f t="shared" si="10"/>
        <v>8.1300000000000001E-3</v>
      </c>
      <c r="O24" s="493" t="e">
        <f>#REF!</f>
        <v>#REF!</v>
      </c>
      <c r="P24" s="505">
        <f>'Nov Price Out'!P24</f>
        <v>0.36</v>
      </c>
      <c r="Q24" s="502">
        <f t="shared" si="16"/>
        <v>2860096</v>
      </c>
      <c r="R24" s="502">
        <f t="shared" si="16"/>
        <v>6360</v>
      </c>
      <c r="S24" s="169" t="e">
        <f t="shared" si="17"/>
        <v>#REF!</v>
      </c>
      <c r="T24" s="169">
        <f t="shared" si="17"/>
        <v>2290</v>
      </c>
      <c r="U24" s="169" t="e">
        <f>S24+T24</f>
        <v>#REF!</v>
      </c>
      <c r="V24" s="169">
        <f>ROUND(N24*Q24,0)</f>
        <v>23253</v>
      </c>
      <c r="X24" s="493" t="s">
        <v>310</v>
      </c>
      <c r="Y24" s="503" t="e">
        <f t="shared" si="18"/>
        <v>#REF!</v>
      </c>
      <c r="Z24" s="503">
        <f t="shared" si="18"/>
        <v>83910</v>
      </c>
      <c r="AA24" s="503" t="e">
        <f>Y24+Z24</f>
        <v>#REF!</v>
      </c>
      <c r="AB24" s="503">
        <f>L24+V24</f>
        <v>193772</v>
      </c>
    </row>
    <row r="25" spans="1:28" x14ac:dyDescent="0.25">
      <c r="A25" s="493"/>
      <c r="B25" s="501"/>
      <c r="C25" s="493"/>
      <c r="D25" s="493"/>
      <c r="E25" s="493"/>
      <c r="F25" s="8"/>
      <c r="G25" s="8"/>
      <c r="H25" s="8"/>
      <c r="I25" s="493"/>
      <c r="J25" s="493"/>
      <c r="K25" s="493"/>
      <c r="L25" s="493"/>
      <c r="M25" s="493"/>
      <c r="N25" s="493"/>
      <c r="O25" s="493"/>
      <c r="P25" s="493"/>
      <c r="Q25" s="493"/>
      <c r="R25" s="8"/>
      <c r="S25" s="169"/>
      <c r="T25" s="169"/>
      <c r="U25" s="169"/>
      <c r="V25" s="169"/>
      <c r="X25" s="493"/>
      <c r="Y25" s="503"/>
      <c r="Z25" s="503"/>
      <c r="AA25" s="503"/>
      <c r="AB25" s="503"/>
    </row>
    <row r="26" spans="1:28" x14ac:dyDescent="0.25">
      <c r="A26" s="493" t="s">
        <v>519</v>
      </c>
      <c r="B26" s="501">
        <f>$B$8</f>
        <v>8.1300000000000001E-3</v>
      </c>
      <c r="C26" s="504" t="e">
        <f>#REF!</f>
        <v>#REF!</v>
      </c>
      <c r="D26" s="505">
        <f>'Nov Price Out'!D26</f>
        <v>5.22</v>
      </c>
      <c r="E26" s="8">
        <f>'[100]Forecasted TOD kWh by Period'!L54</f>
        <v>5304000</v>
      </c>
      <c r="F26" s="8">
        <f>'[100]Forecasted TOD kW by Period'!E26</f>
        <v>20733</v>
      </c>
      <c r="G26" s="8">
        <f t="shared" ref="G26:G31" si="19">ROUND(E26*0.88,0)</f>
        <v>4667520</v>
      </c>
      <c r="H26" s="8">
        <f>ROUND(F26*0.88,0)</f>
        <v>18245</v>
      </c>
      <c r="I26" s="169" t="e">
        <f t="shared" ref="I26:I31" si="20">ROUND(C26*G26,0)</f>
        <v>#REF!</v>
      </c>
      <c r="J26" s="169">
        <f t="shared" si="15"/>
        <v>95239</v>
      </c>
      <c r="K26" s="169" t="e">
        <f t="shared" ref="K26:K31" si="21">I26+J26</f>
        <v>#REF!</v>
      </c>
      <c r="L26" s="169">
        <f>ROUND(B26*G26,0)</f>
        <v>37947</v>
      </c>
      <c r="M26" s="493"/>
      <c r="N26" s="493">
        <f t="shared" si="10"/>
        <v>8.1300000000000001E-3</v>
      </c>
      <c r="O26" s="504" t="e">
        <f>#REF!</f>
        <v>#REF!</v>
      </c>
      <c r="P26" s="505">
        <f>'Nov Price Out'!P26</f>
        <v>1.07</v>
      </c>
      <c r="Q26" s="502">
        <f t="shared" ref="Q26:R30" si="22">E26-G26</f>
        <v>636480</v>
      </c>
      <c r="R26" s="502">
        <f t="shared" si="22"/>
        <v>2488</v>
      </c>
      <c r="S26" s="169" t="e">
        <f t="shared" ref="S26:T31" si="23">ROUND(O26*Q26,0)</f>
        <v>#REF!</v>
      </c>
      <c r="T26" s="169">
        <f t="shared" si="23"/>
        <v>2662</v>
      </c>
      <c r="U26" s="169" t="e">
        <f t="shared" ref="U26:U31" si="24">S26+T26</f>
        <v>#REF!</v>
      </c>
      <c r="V26" s="169">
        <f t="shared" ref="V26:V31" si="25">ROUND(N26*Q26,0)</f>
        <v>5175</v>
      </c>
      <c r="X26" s="493" t="s">
        <v>519</v>
      </c>
      <c r="Y26" s="503" t="e">
        <f t="shared" ref="Y26:Z31" si="26">I26+S26</f>
        <v>#REF!</v>
      </c>
      <c r="Z26" s="503">
        <f t="shared" si="26"/>
        <v>97901</v>
      </c>
      <c r="AA26" s="503" t="e">
        <f t="shared" ref="AA26:AA31" si="27">Y26+Z26</f>
        <v>#REF!</v>
      </c>
      <c r="AB26" s="503">
        <f t="shared" ref="AB26:AB31" si="28">L26+V26</f>
        <v>43122</v>
      </c>
    </row>
    <row r="27" spans="1:28" x14ac:dyDescent="0.25">
      <c r="A27" s="493" t="s">
        <v>520</v>
      </c>
      <c r="B27" s="501">
        <f t="shared" ref="B27:B42" si="29">$B$8</f>
        <v>8.1300000000000001E-3</v>
      </c>
      <c r="C27" s="504" t="e">
        <f>#REF!</f>
        <v>#REF!</v>
      </c>
      <c r="D27" s="493">
        <f>'Nov Price Out'!D27</f>
        <v>0</v>
      </c>
      <c r="E27" s="8">
        <f>'[100]Forecasted TOD kWh by Period'!L55</f>
        <v>6696000</v>
      </c>
      <c r="F27" s="8"/>
      <c r="G27" s="8">
        <f t="shared" si="19"/>
        <v>5892480</v>
      </c>
      <c r="H27" s="8"/>
      <c r="I27" s="169" t="e">
        <f t="shared" si="20"/>
        <v>#REF!</v>
      </c>
      <c r="J27" s="169">
        <f t="shared" si="15"/>
        <v>0</v>
      </c>
      <c r="K27" s="169" t="e">
        <f t="shared" si="21"/>
        <v>#REF!</v>
      </c>
      <c r="L27" s="169">
        <f>ROUND(B27*G27,0)</f>
        <v>47906</v>
      </c>
      <c r="M27" s="493"/>
      <c r="N27" s="493">
        <f t="shared" si="10"/>
        <v>8.1300000000000001E-3</v>
      </c>
      <c r="O27" s="504" t="e">
        <f>#REF!</f>
        <v>#REF!</v>
      </c>
      <c r="P27" s="493">
        <f>'Nov Price Out'!P27</f>
        <v>0</v>
      </c>
      <c r="Q27" s="502">
        <f t="shared" si="22"/>
        <v>803520</v>
      </c>
      <c r="R27" s="502">
        <f t="shared" si="22"/>
        <v>0</v>
      </c>
      <c r="S27" s="169" t="e">
        <f t="shared" si="23"/>
        <v>#REF!</v>
      </c>
      <c r="T27" s="169">
        <f t="shared" si="23"/>
        <v>0</v>
      </c>
      <c r="U27" s="169" t="e">
        <f t="shared" si="24"/>
        <v>#REF!</v>
      </c>
      <c r="V27" s="169">
        <f t="shared" si="25"/>
        <v>6533</v>
      </c>
      <c r="X27" s="493" t="s">
        <v>520</v>
      </c>
      <c r="Y27" s="503" t="e">
        <f t="shared" si="26"/>
        <v>#REF!</v>
      </c>
      <c r="Z27" s="503">
        <f t="shared" si="26"/>
        <v>0</v>
      </c>
      <c r="AA27" s="503" t="e">
        <f t="shared" si="27"/>
        <v>#REF!</v>
      </c>
      <c r="AB27" s="503">
        <f t="shared" si="28"/>
        <v>54439</v>
      </c>
    </row>
    <row r="28" spans="1:28" x14ac:dyDescent="0.25">
      <c r="A28" s="493" t="s">
        <v>521</v>
      </c>
      <c r="B28" s="501">
        <f t="shared" si="29"/>
        <v>8.1300000000000001E-3</v>
      </c>
      <c r="C28" s="504" t="e">
        <f>#REF!</f>
        <v>#REF!</v>
      </c>
      <c r="D28" s="505">
        <f>'Nov Price Out'!D28</f>
        <v>3.49</v>
      </c>
      <c r="E28" s="502">
        <f>'[100]Forecasted TOD kWh by Period'!L58</f>
        <v>49605900</v>
      </c>
      <c r="F28" s="8">
        <f>'[100]Forecasted TOD kW by Period'!E30</f>
        <v>189012</v>
      </c>
      <c r="G28" s="8">
        <f t="shared" si="19"/>
        <v>43653192</v>
      </c>
      <c r="H28" s="8">
        <f>ROUND(F28*0.88,0)</f>
        <v>166331</v>
      </c>
      <c r="I28" s="169" t="e">
        <f t="shared" si="20"/>
        <v>#REF!</v>
      </c>
      <c r="J28" s="169">
        <f t="shared" si="15"/>
        <v>580495</v>
      </c>
      <c r="K28" s="169" t="e">
        <f t="shared" si="21"/>
        <v>#REF!</v>
      </c>
      <c r="L28" s="169">
        <f>ROUND(B28*G28,0)</f>
        <v>354900</v>
      </c>
      <c r="M28" s="493"/>
      <c r="N28" s="493">
        <f t="shared" si="10"/>
        <v>8.1300000000000001E-3</v>
      </c>
      <c r="O28" s="504" t="e">
        <f>#REF!</f>
        <v>#REF!</v>
      </c>
      <c r="P28" s="505">
        <f>'Nov Price Out'!P28</f>
        <v>0.71</v>
      </c>
      <c r="Q28" s="502">
        <f t="shared" si="22"/>
        <v>5952708</v>
      </c>
      <c r="R28" s="502">
        <f t="shared" si="22"/>
        <v>22681</v>
      </c>
      <c r="S28" s="169" t="e">
        <f t="shared" si="23"/>
        <v>#REF!</v>
      </c>
      <c r="T28" s="169">
        <f t="shared" si="23"/>
        <v>16104</v>
      </c>
      <c r="U28" s="169" t="e">
        <f t="shared" si="24"/>
        <v>#REF!</v>
      </c>
      <c r="V28" s="169">
        <f t="shared" si="25"/>
        <v>48396</v>
      </c>
      <c r="X28" s="493" t="s">
        <v>521</v>
      </c>
      <c r="Y28" s="503" t="e">
        <f t="shared" si="26"/>
        <v>#REF!</v>
      </c>
      <c r="Z28" s="503">
        <f t="shared" si="26"/>
        <v>596599</v>
      </c>
      <c r="AA28" s="503" t="e">
        <f t="shared" si="27"/>
        <v>#REF!</v>
      </c>
      <c r="AB28" s="503">
        <f t="shared" si="28"/>
        <v>403296</v>
      </c>
    </row>
    <row r="29" spans="1:28" x14ac:dyDescent="0.25">
      <c r="A29" s="493" t="s">
        <v>522</v>
      </c>
      <c r="B29" s="501">
        <f t="shared" si="29"/>
        <v>8.1300000000000001E-3</v>
      </c>
      <c r="C29" s="504" t="e">
        <f>#REF!</f>
        <v>#REF!</v>
      </c>
      <c r="D29" s="493">
        <f>'Nov Price Out'!D29</f>
        <v>0</v>
      </c>
      <c r="E29" s="502">
        <f>'[100]Forecasted TOD kWh by Period'!L59</f>
        <v>61394100</v>
      </c>
      <c r="F29" s="8"/>
      <c r="G29" s="8">
        <f t="shared" si="19"/>
        <v>54026808</v>
      </c>
      <c r="H29" s="8"/>
      <c r="I29" s="169" t="e">
        <f t="shared" si="20"/>
        <v>#REF!</v>
      </c>
      <c r="J29" s="169">
        <f t="shared" si="15"/>
        <v>0</v>
      </c>
      <c r="K29" s="169" t="e">
        <f t="shared" si="21"/>
        <v>#REF!</v>
      </c>
      <c r="L29" s="169">
        <f>ROUND(B29*G29,0)</f>
        <v>439238</v>
      </c>
      <c r="M29" s="493"/>
      <c r="N29" s="493">
        <f t="shared" si="10"/>
        <v>8.1300000000000001E-3</v>
      </c>
      <c r="O29" s="504" t="e">
        <f>#REF!</f>
        <v>#REF!</v>
      </c>
      <c r="P29" s="493">
        <f>'Nov Price Out'!P29</f>
        <v>0</v>
      </c>
      <c r="Q29" s="502">
        <f t="shared" si="22"/>
        <v>7367292</v>
      </c>
      <c r="R29" s="502">
        <f t="shared" si="22"/>
        <v>0</v>
      </c>
      <c r="S29" s="169" t="e">
        <f t="shared" si="23"/>
        <v>#REF!</v>
      </c>
      <c r="T29" s="169">
        <f t="shared" si="23"/>
        <v>0</v>
      </c>
      <c r="U29" s="169" t="e">
        <f t="shared" si="24"/>
        <v>#REF!</v>
      </c>
      <c r="V29" s="169">
        <f t="shared" si="25"/>
        <v>59896</v>
      </c>
      <c r="X29" s="493" t="s">
        <v>522</v>
      </c>
      <c r="Y29" s="503" t="e">
        <f t="shared" si="26"/>
        <v>#REF!</v>
      </c>
      <c r="Z29" s="503">
        <f t="shared" si="26"/>
        <v>0</v>
      </c>
      <c r="AA29" s="503" t="e">
        <f t="shared" si="27"/>
        <v>#REF!</v>
      </c>
      <c r="AB29" s="503">
        <f t="shared" si="28"/>
        <v>499134</v>
      </c>
    </row>
    <row r="30" spans="1:28" x14ac:dyDescent="0.25">
      <c r="A30" s="493" t="s">
        <v>523</v>
      </c>
      <c r="B30" s="501">
        <f t="shared" si="29"/>
        <v>8.1300000000000001E-3</v>
      </c>
      <c r="C30" s="504" t="e">
        <f>#REF!</f>
        <v>#REF!</v>
      </c>
      <c r="D30" s="505">
        <f>'Nov Price Out'!D30</f>
        <v>1.77</v>
      </c>
      <c r="E30" s="8">
        <f>'[100]Adj Sales Forecast'!L33</f>
        <v>0</v>
      </c>
      <c r="F30" s="8">
        <f>'[100]Adj Demand Forecast '!B21</f>
        <v>0</v>
      </c>
      <c r="G30" s="8">
        <f t="shared" si="19"/>
        <v>0</v>
      </c>
      <c r="H30" s="8">
        <f>ROUND(F30*0.88,0)</f>
        <v>0</v>
      </c>
      <c r="I30" s="169" t="e">
        <f t="shared" si="20"/>
        <v>#REF!</v>
      </c>
      <c r="J30" s="169">
        <f t="shared" si="15"/>
        <v>0</v>
      </c>
      <c r="K30" s="169" t="e">
        <f t="shared" si="21"/>
        <v>#REF!</v>
      </c>
      <c r="L30" s="169">
        <f>ROUND(B30*G30,0)</f>
        <v>0</v>
      </c>
      <c r="M30" s="493"/>
      <c r="N30" s="493">
        <f t="shared" si="10"/>
        <v>8.1300000000000001E-3</v>
      </c>
      <c r="O30" s="504" t="e">
        <f>#REF!</f>
        <v>#REF!</v>
      </c>
      <c r="P30" s="505">
        <f>'Nov Price Out'!P30</f>
        <v>0.36</v>
      </c>
      <c r="Q30" s="65">
        <f t="shared" si="22"/>
        <v>0</v>
      </c>
      <c r="R30" s="65">
        <f t="shared" si="22"/>
        <v>0</v>
      </c>
      <c r="S30" s="169" t="e">
        <f t="shared" si="23"/>
        <v>#REF!</v>
      </c>
      <c r="T30" s="169">
        <f t="shared" si="23"/>
        <v>0</v>
      </c>
      <c r="U30" s="169" t="e">
        <f t="shared" si="24"/>
        <v>#REF!</v>
      </c>
      <c r="V30" s="169">
        <f t="shared" si="25"/>
        <v>0</v>
      </c>
      <c r="X30" s="493" t="s">
        <v>523</v>
      </c>
      <c r="Y30" s="503" t="e">
        <f t="shared" si="26"/>
        <v>#REF!</v>
      </c>
      <c r="Z30" s="503">
        <f t="shared" si="26"/>
        <v>0</v>
      </c>
      <c r="AA30" s="503" t="e">
        <f t="shared" si="27"/>
        <v>#REF!</v>
      </c>
      <c r="AB30" s="503">
        <f t="shared" si="28"/>
        <v>0</v>
      </c>
    </row>
    <row r="31" spans="1:28" x14ac:dyDescent="0.25">
      <c r="A31" s="493" t="s">
        <v>524</v>
      </c>
      <c r="B31" s="501">
        <f t="shared" si="29"/>
        <v>8.1300000000000001E-3</v>
      </c>
      <c r="C31" s="504" t="e">
        <f>#REF!</f>
        <v>#REF!</v>
      </c>
      <c r="D31" s="493">
        <f>'Nov Price Out'!D31</f>
        <v>0</v>
      </c>
      <c r="E31" s="65">
        <v>0</v>
      </c>
      <c r="F31" s="8"/>
      <c r="G31" s="8">
        <f t="shared" si="19"/>
        <v>0</v>
      </c>
      <c r="H31" s="8"/>
      <c r="I31" s="169" t="e">
        <f t="shared" si="20"/>
        <v>#REF!</v>
      </c>
      <c r="J31" s="169">
        <f t="shared" si="15"/>
        <v>0</v>
      </c>
      <c r="K31" s="169" t="e">
        <f t="shared" si="21"/>
        <v>#REF!</v>
      </c>
      <c r="L31" s="169">
        <f>ROUND(E31*J31,0)</f>
        <v>0</v>
      </c>
      <c r="M31" s="493"/>
      <c r="N31" s="493">
        <f t="shared" si="10"/>
        <v>8.1300000000000001E-3</v>
      </c>
      <c r="O31" s="504" t="e">
        <f>#REF!</f>
        <v>#REF!</v>
      </c>
      <c r="P31" s="493">
        <f>'Nov Price Out'!P31</f>
        <v>0</v>
      </c>
      <c r="Q31" s="65">
        <v>0</v>
      </c>
      <c r="R31" s="65">
        <v>0</v>
      </c>
      <c r="S31" s="169" t="e">
        <f t="shared" si="23"/>
        <v>#REF!</v>
      </c>
      <c r="T31" s="169">
        <f t="shared" si="23"/>
        <v>0</v>
      </c>
      <c r="U31" s="169" t="e">
        <f t="shared" si="24"/>
        <v>#REF!</v>
      </c>
      <c r="V31" s="169">
        <f t="shared" si="25"/>
        <v>0</v>
      </c>
      <c r="X31" s="493" t="s">
        <v>524</v>
      </c>
      <c r="Y31" s="503" t="e">
        <f t="shared" si="26"/>
        <v>#REF!</v>
      </c>
      <c r="Z31" s="503">
        <f t="shared" si="26"/>
        <v>0</v>
      </c>
      <c r="AA31" s="503" t="e">
        <f t="shared" si="27"/>
        <v>#REF!</v>
      </c>
      <c r="AB31" s="503">
        <f t="shared" si="28"/>
        <v>0</v>
      </c>
    </row>
    <row r="32" spans="1:28" x14ac:dyDescent="0.25">
      <c r="A32" s="493"/>
      <c r="B32" s="501"/>
      <c r="C32" s="504"/>
      <c r="D32" s="493"/>
      <c r="E32" s="493"/>
      <c r="F32" s="8"/>
      <c r="G32" s="8"/>
      <c r="H32" s="8"/>
      <c r="I32" s="493"/>
      <c r="J32" s="493"/>
      <c r="K32" s="493"/>
      <c r="L32" s="493"/>
      <c r="M32" s="493"/>
      <c r="N32" s="493"/>
      <c r="O32" s="504"/>
      <c r="P32" s="493"/>
      <c r="Q32" s="493"/>
      <c r="R32" s="8"/>
      <c r="S32" s="493"/>
      <c r="T32" s="493"/>
      <c r="U32" s="493"/>
      <c r="V32" s="493"/>
      <c r="X32" s="493"/>
      <c r="Y32" s="503"/>
      <c r="Z32" s="503"/>
      <c r="AA32" s="503"/>
      <c r="AB32" s="503"/>
    </row>
    <row r="33" spans="1:28" x14ac:dyDescent="0.25">
      <c r="A33" s="493" t="s">
        <v>525</v>
      </c>
      <c r="B33" s="501">
        <f t="shared" si="29"/>
        <v>8.1300000000000001E-3</v>
      </c>
      <c r="C33" s="504" t="e">
        <f>#REF!</f>
        <v>#REF!</v>
      </c>
      <c r="D33" s="505">
        <f>'Nov Price Out'!D33</f>
        <v>2.93</v>
      </c>
      <c r="E33" s="502">
        <f>'[100]Forecasted TOD kWh by Period'!L8</f>
        <v>3939300</v>
      </c>
      <c r="F33" s="8">
        <f>'[100]Forecasted TOD kW by Period'!E6</f>
        <v>18878</v>
      </c>
      <c r="G33" s="8">
        <f t="shared" ref="G33:G42" si="30">ROUND(E33*0.88,0)</f>
        <v>3466584</v>
      </c>
      <c r="H33" s="8">
        <f>ROUND(F33*0.88,0)</f>
        <v>16613</v>
      </c>
      <c r="I33" s="169" t="e">
        <f t="shared" ref="I33:I42" si="31">ROUND(C33*G33,0)</f>
        <v>#REF!</v>
      </c>
      <c r="J33" s="169">
        <f t="shared" si="15"/>
        <v>48676</v>
      </c>
      <c r="K33" s="169" t="e">
        <f t="shared" ref="K33:K42" si="32">I33+J33</f>
        <v>#REF!</v>
      </c>
      <c r="L33" s="169">
        <f t="shared" ref="L33:L42" si="33">ROUND(B33*G33,0)</f>
        <v>28183</v>
      </c>
      <c r="M33" s="493"/>
      <c r="N33" s="493">
        <f t="shared" si="10"/>
        <v>8.1300000000000001E-3</v>
      </c>
      <c r="O33" s="504" t="e">
        <f>#REF!</f>
        <v>#REF!</v>
      </c>
      <c r="P33" s="505">
        <f>'Nov Price Out'!P33</f>
        <v>0.6</v>
      </c>
      <c r="Q33" s="502">
        <f t="shared" ref="Q33:R42" si="34">E33-G33</f>
        <v>472716</v>
      </c>
      <c r="R33" s="502">
        <f t="shared" si="34"/>
        <v>2265</v>
      </c>
      <c r="S33" s="169" t="e">
        <f t="shared" ref="S33:T42" si="35">ROUND(O33*Q33,0)</f>
        <v>#REF!</v>
      </c>
      <c r="T33" s="169">
        <f t="shared" si="35"/>
        <v>1359</v>
      </c>
      <c r="U33" s="169" t="e">
        <f t="shared" ref="U33:U42" si="36">S33+T33</f>
        <v>#REF!</v>
      </c>
      <c r="V33" s="169">
        <f t="shared" ref="V33:V42" si="37">ROUND(N33*Q33,0)</f>
        <v>3843</v>
      </c>
      <c r="X33" s="493" t="s">
        <v>525</v>
      </c>
      <c r="Y33" s="503" t="e">
        <f t="shared" ref="Y33:Z42" si="38">I33+S33</f>
        <v>#REF!</v>
      </c>
      <c r="Z33" s="503">
        <f t="shared" si="38"/>
        <v>50035</v>
      </c>
      <c r="AA33" s="503" t="e">
        <f t="shared" ref="AA33:AA42" si="39">Y33+Z33</f>
        <v>#REF!</v>
      </c>
      <c r="AB33" s="503">
        <f t="shared" ref="AB33:AB42" si="40">L33+V33</f>
        <v>32026</v>
      </c>
    </row>
    <row r="34" spans="1:28" x14ac:dyDescent="0.25">
      <c r="A34" s="493" t="s">
        <v>526</v>
      </c>
      <c r="B34" s="501">
        <f t="shared" si="29"/>
        <v>8.1300000000000001E-3</v>
      </c>
      <c r="C34" s="504" t="e">
        <f>#REF!</f>
        <v>#REF!</v>
      </c>
      <c r="D34" s="493">
        <f>'Nov Price Out'!D34</f>
        <v>0</v>
      </c>
      <c r="E34" s="502">
        <f>'[100]Forecasted TOD kWh by Period'!L9</f>
        <v>5060700</v>
      </c>
      <c r="F34" s="8"/>
      <c r="G34" s="8">
        <f t="shared" si="30"/>
        <v>4453416</v>
      </c>
      <c r="H34" s="8"/>
      <c r="I34" s="169" t="e">
        <f t="shared" si="31"/>
        <v>#REF!</v>
      </c>
      <c r="J34" s="169">
        <f t="shared" si="15"/>
        <v>0</v>
      </c>
      <c r="K34" s="169" t="e">
        <f t="shared" si="32"/>
        <v>#REF!</v>
      </c>
      <c r="L34" s="169">
        <f t="shared" si="33"/>
        <v>36206</v>
      </c>
      <c r="M34" s="493"/>
      <c r="N34" s="493">
        <f t="shared" si="10"/>
        <v>8.1300000000000001E-3</v>
      </c>
      <c r="O34" s="504" t="e">
        <f>#REF!</f>
        <v>#REF!</v>
      </c>
      <c r="P34" s="493">
        <f>'Nov Price Out'!P34</f>
        <v>0</v>
      </c>
      <c r="Q34" s="502">
        <f t="shared" si="34"/>
        <v>607284</v>
      </c>
      <c r="R34" s="502">
        <f t="shared" si="34"/>
        <v>0</v>
      </c>
      <c r="S34" s="169" t="e">
        <f t="shared" si="35"/>
        <v>#REF!</v>
      </c>
      <c r="T34" s="169">
        <f t="shared" si="35"/>
        <v>0</v>
      </c>
      <c r="U34" s="169" t="e">
        <f t="shared" si="36"/>
        <v>#REF!</v>
      </c>
      <c r="V34" s="169">
        <f t="shared" si="37"/>
        <v>4937</v>
      </c>
      <c r="X34" s="493" t="s">
        <v>526</v>
      </c>
      <c r="Y34" s="503" t="e">
        <f t="shared" si="38"/>
        <v>#REF!</v>
      </c>
      <c r="Z34" s="503">
        <f t="shared" si="38"/>
        <v>0</v>
      </c>
      <c r="AA34" s="503" t="e">
        <f t="shared" si="39"/>
        <v>#REF!</v>
      </c>
      <c r="AB34" s="503">
        <f t="shared" si="40"/>
        <v>41143</v>
      </c>
    </row>
    <row r="35" spans="1:28" x14ac:dyDescent="0.25">
      <c r="A35" s="493" t="s">
        <v>527</v>
      </c>
      <c r="B35" s="501">
        <f t="shared" si="29"/>
        <v>8.1300000000000001E-3</v>
      </c>
      <c r="C35" s="504" t="e">
        <f>#REF!</f>
        <v>#REF!</v>
      </c>
      <c r="D35" s="505">
        <f>'Nov Price Out'!D35</f>
        <v>5.99</v>
      </c>
      <c r="E35" s="502">
        <f>'[100]Forecasted TOD kWh by Period'!L12</f>
        <v>4538000</v>
      </c>
      <c r="F35" s="8">
        <f>'[100]Forecasted TOD kW by Period'!E10</f>
        <v>18947</v>
      </c>
      <c r="G35" s="8">
        <f t="shared" si="30"/>
        <v>3993440</v>
      </c>
      <c r="H35" s="8">
        <f>ROUND(F35*0.88,0)</f>
        <v>16673</v>
      </c>
      <c r="I35" s="169" t="e">
        <f t="shared" si="31"/>
        <v>#REF!</v>
      </c>
      <c r="J35" s="169">
        <f t="shared" si="15"/>
        <v>99871</v>
      </c>
      <c r="K35" s="169" t="e">
        <f t="shared" si="32"/>
        <v>#REF!</v>
      </c>
      <c r="L35" s="169">
        <f t="shared" si="33"/>
        <v>32467</v>
      </c>
      <c r="M35" s="493"/>
      <c r="N35" s="493">
        <f t="shared" si="10"/>
        <v>8.1300000000000001E-3</v>
      </c>
      <c r="O35" s="504" t="e">
        <f>#REF!</f>
        <v>#REF!</v>
      </c>
      <c r="P35" s="505">
        <f>'Nov Price Out'!P35</f>
        <v>1.22</v>
      </c>
      <c r="Q35" s="502">
        <f t="shared" si="34"/>
        <v>544560</v>
      </c>
      <c r="R35" s="502">
        <f t="shared" si="34"/>
        <v>2274</v>
      </c>
      <c r="S35" s="169" t="e">
        <f t="shared" si="35"/>
        <v>#REF!</v>
      </c>
      <c r="T35" s="169">
        <f t="shared" si="35"/>
        <v>2774</v>
      </c>
      <c r="U35" s="169" t="e">
        <f t="shared" si="36"/>
        <v>#REF!</v>
      </c>
      <c r="V35" s="169">
        <f t="shared" si="37"/>
        <v>4427</v>
      </c>
      <c r="X35" s="493" t="s">
        <v>527</v>
      </c>
      <c r="Y35" s="503" t="e">
        <f t="shared" si="38"/>
        <v>#REF!</v>
      </c>
      <c r="Z35" s="503">
        <f t="shared" si="38"/>
        <v>102645</v>
      </c>
      <c r="AA35" s="503" t="e">
        <f t="shared" si="39"/>
        <v>#REF!</v>
      </c>
      <c r="AB35" s="503">
        <f t="shared" si="40"/>
        <v>36894</v>
      </c>
    </row>
    <row r="36" spans="1:28" x14ac:dyDescent="0.25">
      <c r="A36" s="493" t="s">
        <v>528</v>
      </c>
      <c r="B36" s="501">
        <f t="shared" si="29"/>
        <v>8.1300000000000001E-3</v>
      </c>
      <c r="C36" s="504" t="e">
        <f>#REF!</f>
        <v>#REF!</v>
      </c>
      <c r="D36" s="493">
        <f>'Nov Price Out'!D36</f>
        <v>0</v>
      </c>
      <c r="E36" s="502">
        <f>'[100]Forecasted TOD kWh by Period'!L13</f>
        <v>5462000</v>
      </c>
      <c r="F36" s="8"/>
      <c r="G36" s="8">
        <f t="shared" si="30"/>
        <v>4806560</v>
      </c>
      <c r="H36" s="8"/>
      <c r="I36" s="169" t="e">
        <f t="shared" si="31"/>
        <v>#REF!</v>
      </c>
      <c r="J36" s="169">
        <f t="shared" si="15"/>
        <v>0</v>
      </c>
      <c r="K36" s="169" t="e">
        <f t="shared" si="32"/>
        <v>#REF!</v>
      </c>
      <c r="L36" s="169">
        <f t="shared" si="33"/>
        <v>39077</v>
      </c>
      <c r="M36" s="493"/>
      <c r="N36" s="493">
        <f t="shared" si="10"/>
        <v>8.1300000000000001E-3</v>
      </c>
      <c r="O36" s="504" t="e">
        <f>#REF!</f>
        <v>#REF!</v>
      </c>
      <c r="P36" s="493">
        <f>'Nov Price Out'!P36</f>
        <v>0</v>
      </c>
      <c r="Q36" s="502">
        <f t="shared" si="34"/>
        <v>655440</v>
      </c>
      <c r="R36" s="502">
        <f t="shared" si="34"/>
        <v>0</v>
      </c>
      <c r="S36" s="169" t="e">
        <f t="shared" si="35"/>
        <v>#REF!</v>
      </c>
      <c r="T36" s="169">
        <f t="shared" si="35"/>
        <v>0</v>
      </c>
      <c r="U36" s="169" t="e">
        <f t="shared" si="36"/>
        <v>#REF!</v>
      </c>
      <c r="V36" s="169">
        <f t="shared" si="37"/>
        <v>5329</v>
      </c>
      <c r="X36" s="493" t="s">
        <v>528</v>
      </c>
      <c r="Y36" s="503" t="e">
        <f t="shared" si="38"/>
        <v>#REF!</v>
      </c>
      <c r="Z36" s="503">
        <f t="shared" si="38"/>
        <v>0</v>
      </c>
      <c r="AA36" s="503" t="e">
        <f t="shared" si="39"/>
        <v>#REF!</v>
      </c>
      <c r="AB36" s="503">
        <f t="shared" si="40"/>
        <v>44406</v>
      </c>
    </row>
    <row r="37" spans="1:28" x14ac:dyDescent="0.25">
      <c r="A37" s="493" t="s">
        <v>529</v>
      </c>
      <c r="B37" s="501">
        <f t="shared" si="29"/>
        <v>8.1300000000000001E-3</v>
      </c>
      <c r="C37" s="504" t="e">
        <f>#REF!</f>
        <v>#REF!</v>
      </c>
      <c r="D37" s="505">
        <f>'Nov Price Out'!D37</f>
        <v>5.05</v>
      </c>
      <c r="E37" s="502">
        <f>'[100]Forecasted TOD kWh by Period'!L16</f>
        <v>261082500</v>
      </c>
      <c r="F37" s="8">
        <f>'[100]Forecasted TOD kW by Period'!E14</f>
        <v>1166337</v>
      </c>
      <c r="G37" s="8">
        <f t="shared" si="30"/>
        <v>229752600</v>
      </c>
      <c r="H37" s="8">
        <f>ROUND(F37*0.88,0)</f>
        <v>1026377</v>
      </c>
      <c r="I37" s="169" t="e">
        <f t="shared" si="31"/>
        <v>#REF!</v>
      </c>
      <c r="J37" s="169">
        <f t="shared" si="15"/>
        <v>5183204</v>
      </c>
      <c r="K37" s="169" t="e">
        <f t="shared" si="32"/>
        <v>#REF!</v>
      </c>
      <c r="L37" s="169">
        <f t="shared" si="33"/>
        <v>1867889</v>
      </c>
      <c r="M37" s="493"/>
      <c r="N37" s="493">
        <f t="shared" si="10"/>
        <v>8.1300000000000001E-3</v>
      </c>
      <c r="O37" s="504" t="e">
        <f>#REF!</f>
        <v>#REF!</v>
      </c>
      <c r="P37" s="505">
        <f>'Nov Price Out'!P37</f>
        <v>1.03</v>
      </c>
      <c r="Q37" s="502">
        <f t="shared" si="34"/>
        <v>31329900</v>
      </c>
      <c r="R37" s="502">
        <f t="shared" si="34"/>
        <v>139960</v>
      </c>
      <c r="S37" s="169" t="e">
        <f t="shared" si="35"/>
        <v>#REF!</v>
      </c>
      <c r="T37" s="169">
        <f t="shared" si="35"/>
        <v>144159</v>
      </c>
      <c r="U37" s="169" t="e">
        <f t="shared" si="36"/>
        <v>#REF!</v>
      </c>
      <c r="V37" s="169">
        <f t="shared" si="37"/>
        <v>254712</v>
      </c>
      <c r="X37" s="493" t="s">
        <v>529</v>
      </c>
      <c r="Y37" s="503" t="e">
        <f t="shared" si="38"/>
        <v>#REF!</v>
      </c>
      <c r="Z37" s="503">
        <f t="shared" si="38"/>
        <v>5327363</v>
      </c>
      <c r="AA37" s="503" t="e">
        <f t="shared" si="39"/>
        <v>#REF!</v>
      </c>
      <c r="AB37" s="503">
        <f t="shared" si="40"/>
        <v>2122601</v>
      </c>
    </row>
    <row r="38" spans="1:28" x14ac:dyDescent="0.25">
      <c r="A38" s="493" t="s">
        <v>530</v>
      </c>
      <c r="B38" s="501">
        <f t="shared" si="29"/>
        <v>8.1300000000000001E-3</v>
      </c>
      <c r="C38" s="504" t="e">
        <f>#REF!</f>
        <v>#REF!</v>
      </c>
      <c r="D38" s="493">
        <f>'Nov Price Out'!D38</f>
        <v>0</v>
      </c>
      <c r="E38" s="502">
        <f>'[100]Forecasted TOD kWh by Period'!L17</f>
        <v>263917500</v>
      </c>
      <c r="F38" s="8"/>
      <c r="G38" s="8">
        <f t="shared" si="30"/>
        <v>232247400</v>
      </c>
      <c r="H38" s="8"/>
      <c r="I38" s="169" t="e">
        <f t="shared" si="31"/>
        <v>#REF!</v>
      </c>
      <c r="J38" s="169">
        <f t="shared" si="15"/>
        <v>0</v>
      </c>
      <c r="K38" s="169" t="e">
        <f t="shared" si="32"/>
        <v>#REF!</v>
      </c>
      <c r="L38" s="169">
        <f t="shared" si="33"/>
        <v>1888171</v>
      </c>
      <c r="M38" s="493"/>
      <c r="N38" s="493">
        <f t="shared" si="10"/>
        <v>8.1300000000000001E-3</v>
      </c>
      <c r="O38" s="504" t="e">
        <f>#REF!</f>
        <v>#REF!</v>
      </c>
      <c r="P38" s="493">
        <f>'Nov Price Out'!P38</f>
        <v>0</v>
      </c>
      <c r="Q38" s="502">
        <f t="shared" si="34"/>
        <v>31670100</v>
      </c>
      <c r="R38" s="502">
        <f t="shared" si="34"/>
        <v>0</v>
      </c>
      <c r="S38" s="169" t="e">
        <f t="shared" si="35"/>
        <v>#REF!</v>
      </c>
      <c r="T38" s="169">
        <f t="shared" si="35"/>
        <v>0</v>
      </c>
      <c r="U38" s="169" t="e">
        <f t="shared" si="36"/>
        <v>#REF!</v>
      </c>
      <c r="V38" s="169">
        <f t="shared" si="37"/>
        <v>257478</v>
      </c>
      <c r="X38" s="493" t="s">
        <v>530</v>
      </c>
      <c r="Y38" s="503" t="e">
        <f t="shared" si="38"/>
        <v>#REF!</v>
      </c>
      <c r="Z38" s="503">
        <f t="shared" si="38"/>
        <v>0</v>
      </c>
      <c r="AA38" s="503" t="e">
        <f t="shared" si="39"/>
        <v>#REF!</v>
      </c>
      <c r="AB38" s="503">
        <f t="shared" si="40"/>
        <v>2145649</v>
      </c>
    </row>
    <row r="39" spans="1:28" x14ac:dyDescent="0.25">
      <c r="A39" s="493" t="s">
        <v>531</v>
      </c>
      <c r="B39" s="501">
        <f t="shared" si="29"/>
        <v>8.1300000000000001E-3</v>
      </c>
      <c r="C39" s="504" t="e">
        <f>#REF!</f>
        <v>#REF!</v>
      </c>
      <c r="D39" s="505">
        <f>'Nov Price Out'!D39</f>
        <v>2.69</v>
      </c>
      <c r="E39" s="502">
        <f>'[100]Forecasted TOD kWh by Period'!L20</f>
        <v>6638400</v>
      </c>
      <c r="F39" s="8">
        <f>'[100]Forecasted TOD kW by Period'!E18</f>
        <v>34846</v>
      </c>
      <c r="G39" s="8">
        <f t="shared" si="30"/>
        <v>5841792</v>
      </c>
      <c r="H39" s="8">
        <f>ROUND(F39*0.88,0)</f>
        <v>30664</v>
      </c>
      <c r="I39" s="169" t="e">
        <f t="shared" si="31"/>
        <v>#REF!</v>
      </c>
      <c r="J39" s="169">
        <f t="shared" si="15"/>
        <v>82486</v>
      </c>
      <c r="K39" s="169" t="e">
        <f t="shared" si="32"/>
        <v>#REF!</v>
      </c>
      <c r="L39" s="169">
        <f t="shared" si="33"/>
        <v>47494</v>
      </c>
      <c r="M39" s="493"/>
      <c r="N39" s="493">
        <f t="shared" si="10"/>
        <v>8.1300000000000001E-3</v>
      </c>
      <c r="O39" s="504" t="e">
        <f>#REF!</f>
        <v>#REF!</v>
      </c>
      <c r="P39" s="505">
        <f>'Nov Price Out'!P39</f>
        <v>0.55000000000000004</v>
      </c>
      <c r="Q39" s="502">
        <f t="shared" si="34"/>
        <v>796608</v>
      </c>
      <c r="R39" s="502">
        <f t="shared" si="34"/>
        <v>4182</v>
      </c>
      <c r="S39" s="169" t="e">
        <f t="shared" si="35"/>
        <v>#REF!</v>
      </c>
      <c r="T39" s="169">
        <f t="shared" si="35"/>
        <v>2300</v>
      </c>
      <c r="U39" s="169" t="e">
        <f t="shared" si="36"/>
        <v>#REF!</v>
      </c>
      <c r="V39" s="169">
        <f t="shared" si="37"/>
        <v>6476</v>
      </c>
      <c r="X39" s="493" t="s">
        <v>531</v>
      </c>
      <c r="Y39" s="503" t="e">
        <f t="shared" si="38"/>
        <v>#REF!</v>
      </c>
      <c r="Z39" s="503">
        <f t="shared" si="38"/>
        <v>84786</v>
      </c>
      <c r="AA39" s="503" t="e">
        <f t="shared" si="39"/>
        <v>#REF!</v>
      </c>
      <c r="AB39" s="503">
        <f t="shared" si="40"/>
        <v>53970</v>
      </c>
    </row>
    <row r="40" spans="1:28" x14ac:dyDescent="0.25">
      <c r="A40" s="493" t="s">
        <v>532</v>
      </c>
      <c r="B40" s="501">
        <f t="shared" si="29"/>
        <v>8.1300000000000001E-3</v>
      </c>
      <c r="C40" s="504" t="e">
        <f>#REF!</f>
        <v>#REF!</v>
      </c>
      <c r="D40" s="493">
        <f>'Nov Price Out'!D40</f>
        <v>0</v>
      </c>
      <c r="E40" s="502">
        <f>'[100]Forecasted TOD kWh by Period'!L21</f>
        <v>9361600</v>
      </c>
      <c r="F40" s="8"/>
      <c r="G40" s="8">
        <f t="shared" si="30"/>
        <v>8238208</v>
      </c>
      <c r="H40" s="8"/>
      <c r="I40" s="169" t="e">
        <f t="shared" si="31"/>
        <v>#REF!</v>
      </c>
      <c r="J40" s="169">
        <f t="shared" si="15"/>
        <v>0</v>
      </c>
      <c r="K40" s="169" t="e">
        <f t="shared" si="32"/>
        <v>#REF!</v>
      </c>
      <c r="L40" s="169">
        <f t="shared" si="33"/>
        <v>66977</v>
      </c>
      <c r="M40" s="493"/>
      <c r="N40" s="493">
        <f t="shared" si="10"/>
        <v>8.1300000000000001E-3</v>
      </c>
      <c r="O40" s="504" t="e">
        <f>#REF!</f>
        <v>#REF!</v>
      </c>
      <c r="P40" s="493">
        <f>'Nov Price Out'!P40</f>
        <v>0</v>
      </c>
      <c r="Q40" s="502">
        <f t="shared" si="34"/>
        <v>1123392</v>
      </c>
      <c r="R40" s="502">
        <f t="shared" si="34"/>
        <v>0</v>
      </c>
      <c r="S40" s="169" t="e">
        <f t="shared" si="35"/>
        <v>#REF!</v>
      </c>
      <c r="T40" s="169">
        <f t="shared" si="35"/>
        <v>0</v>
      </c>
      <c r="U40" s="169" t="e">
        <f t="shared" si="36"/>
        <v>#REF!</v>
      </c>
      <c r="V40" s="169">
        <f t="shared" si="37"/>
        <v>9133</v>
      </c>
      <c r="X40" s="493" t="s">
        <v>532</v>
      </c>
      <c r="Y40" s="503" t="e">
        <f t="shared" si="38"/>
        <v>#REF!</v>
      </c>
      <c r="Z40" s="503">
        <f t="shared" si="38"/>
        <v>0</v>
      </c>
      <c r="AA40" s="503" t="e">
        <f t="shared" si="39"/>
        <v>#REF!</v>
      </c>
      <c r="AB40" s="503">
        <f t="shared" si="40"/>
        <v>76110</v>
      </c>
    </row>
    <row r="41" spans="1:28" x14ac:dyDescent="0.25">
      <c r="A41" s="493" t="s">
        <v>533</v>
      </c>
      <c r="B41" s="501">
        <f t="shared" si="29"/>
        <v>8.1300000000000001E-3</v>
      </c>
      <c r="C41" s="504" t="e">
        <f>#REF!</f>
        <v>#REF!</v>
      </c>
      <c r="D41" s="505">
        <f>'Nov Price Out'!D41</f>
        <v>0</v>
      </c>
      <c r="E41" s="502">
        <f>'[100]Forecasted TOD kWh by Period'!L24</f>
        <v>580878</v>
      </c>
      <c r="F41" s="8">
        <f>'[100]Forecasted TOD kW by Period'!E22</f>
        <v>13155</v>
      </c>
      <c r="G41" s="8">
        <f t="shared" si="30"/>
        <v>511173</v>
      </c>
      <c r="H41" s="8">
        <f>ROUND(F41*0.88,0)</f>
        <v>11576</v>
      </c>
      <c r="I41" s="169" t="e">
        <f t="shared" si="31"/>
        <v>#REF!</v>
      </c>
      <c r="J41" s="169">
        <f t="shared" si="15"/>
        <v>0</v>
      </c>
      <c r="K41" s="169" t="e">
        <f t="shared" si="32"/>
        <v>#REF!</v>
      </c>
      <c r="L41" s="169">
        <f t="shared" si="33"/>
        <v>4156</v>
      </c>
      <c r="M41" s="493"/>
      <c r="N41" s="493">
        <f t="shared" si="10"/>
        <v>8.1300000000000001E-3</v>
      </c>
      <c r="O41" s="504" t="e">
        <f>#REF!</f>
        <v>#REF!</v>
      </c>
      <c r="P41" s="505">
        <f>'Nov Price Out'!P41</f>
        <v>0</v>
      </c>
      <c r="Q41" s="502">
        <f t="shared" si="34"/>
        <v>69705</v>
      </c>
      <c r="R41" s="502">
        <f>F41-H41</f>
        <v>1579</v>
      </c>
      <c r="S41" s="169" t="e">
        <f t="shared" si="35"/>
        <v>#REF!</v>
      </c>
      <c r="T41" s="169">
        <f t="shared" si="35"/>
        <v>0</v>
      </c>
      <c r="U41" s="169" t="e">
        <f t="shared" si="36"/>
        <v>#REF!</v>
      </c>
      <c r="V41" s="169">
        <f t="shared" si="37"/>
        <v>567</v>
      </c>
      <c r="X41" s="493" t="s">
        <v>533</v>
      </c>
      <c r="Y41" s="503" t="e">
        <f t="shared" si="38"/>
        <v>#REF!</v>
      </c>
      <c r="Z41" s="503">
        <f t="shared" si="38"/>
        <v>0</v>
      </c>
      <c r="AA41" s="503" t="e">
        <f t="shared" si="39"/>
        <v>#REF!</v>
      </c>
      <c r="AB41" s="503">
        <f t="shared" si="40"/>
        <v>4723</v>
      </c>
    </row>
    <row r="42" spans="1:28" x14ac:dyDescent="0.25">
      <c r="A42" s="493" t="s">
        <v>534</v>
      </c>
      <c r="B42" s="501">
        <f t="shared" si="29"/>
        <v>8.1300000000000001E-3</v>
      </c>
      <c r="C42" s="504" t="e">
        <f>#REF!</f>
        <v>#REF!</v>
      </c>
      <c r="D42" s="493">
        <f>'Nov Price Out'!D42</f>
        <v>0</v>
      </c>
      <c r="E42" s="502">
        <f>'[100]Forecasted TOD kWh by Period'!L25</f>
        <v>538347</v>
      </c>
      <c r="F42" s="493"/>
      <c r="G42" s="8">
        <f t="shared" si="30"/>
        <v>473745</v>
      </c>
      <c r="H42" s="8"/>
      <c r="I42" s="169" t="e">
        <f t="shared" si="31"/>
        <v>#REF!</v>
      </c>
      <c r="J42" s="169">
        <f t="shared" si="15"/>
        <v>0</v>
      </c>
      <c r="K42" s="169" t="e">
        <f t="shared" si="32"/>
        <v>#REF!</v>
      </c>
      <c r="L42" s="169">
        <f t="shared" si="33"/>
        <v>3852</v>
      </c>
      <c r="M42" s="493"/>
      <c r="N42" s="493">
        <f t="shared" si="10"/>
        <v>8.1300000000000001E-3</v>
      </c>
      <c r="O42" s="504" t="e">
        <f>#REF!</f>
        <v>#REF!</v>
      </c>
      <c r="P42" s="492">
        <f>'Nov Price Out'!P42</f>
        <v>0</v>
      </c>
      <c r="Q42" s="502">
        <f t="shared" si="34"/>
        <v>64602</v>
      </c>
      <c r="R42" s="502"/>
      <c r="S42" s="169" t="e">
        <f t="shared" si="35"/>
        <v>#REF!</v>
      </c>
      <c r="T42" s="169">
        <f t="shared" si="35"/>
        <v>0</v>
      </c>
      <c r="U42" s="169" t="e">
        <f t="shared" si="36"/>
        <v>#REF!</v>
      </c>
      <c r="V42" s="169">
        <f t="shared" si="37"/>
        <v>525</v>
      </c>
      <c r="X42" s="493" t="s">
        <v>534</v>
      </c>
      <c r="Y42" s="503" t="e">
        <f t="shared" si="38"/>
        <v>#REF!</v>
      </c>
      <c r="Z42" s="503">
        <f t="shared" si="38"/>
        <v>0</v>
      </c>
      <c r="AA42" s="503" t="e">
        <f t="shared" si="39"/>
        <v>#REF!</v>
      </c>
      <c r="AB42" s="503">
        <f t="shared" si="40"/>
        <v>4377</v>
      </c>
    </row>
    <row r="43" spans="1:28" x14ac:dyDescent="0.25">
      <c r="A43" s="493"/>
      <c r="B43" s="493"/>
      <c r="C43" s="493"/>
      <c r="D43" s="493"/>
      <c r="E43" s="493"/>
      <c r="F43" s="493"/>
      <c r="G43" s="493"/>
      <c r="H43" s="493"/>
      <c r="I43" s="493"/>
      <c r="J43" s="493"/>
      <c r="K43" s="493"/>
      <c r="L43" s="493"/>
      <c r="M43" s="493"/>
      <c r="O43" s="493"/>
      <c r="S43" s="493"/>
      <c r="T43" s="493"/>
      <c r="U43" s="493"/>
      <c r="V43" s="493"/>
      <c r="X43" s="493"/>
      <c r="Y43" s="503"/>
      <c r="Z43" s="503"/>
      <c r="AA43" s="503"/>
      <c r="AB43" s="503"/>
    </row>
    <row r="44" spans="1:28" x14ac:dyDescent="0.25">
      <c r="A44" s="493" t="s">
        <v>162</v>
      </c>
      <c r="B44" s="493"/>
      <c r="C44" s="493"/>
      <c r="D44" s="493"/>
      <c r="E44" s="493"/>
      <c r="F44" s="493"/>
      <c r="G44" s="507">
        <f>SUM(G8:G19)+SUM(G21:G24)+SUM(G26:G31)+SUM(G33:G42)</f>
        <v>2948778125</v>
      </c>
      <c r="H44" s="493"/>
      <c r="I44" s="503" t="e">
        <f>SUM(I8:I43)</f>
        <v>#REF!</v>
      </c>
      <c r="J44" s="169">
        <f>SUM(J8:J19)+SUM(J21:J24)+SUM(J26:J31)+SUM(J33:J42)</f>
        <v>28433071</v>
      </c>
      <c r="K44" s="503" t="e">
        <f>SUM(K8:K43)</f>
        <v>#REF!</v>
      </c>
      <c r="L44" s="169">
        <f>SUM(L8:L19)+SUM(L21:L24)+SUM(L26:L31)+SUM(L33:L42)</f>
        <v>23973568</v>
      </c>
      <c r="M44" s="493"/>
      <c r="Q44" s="507">
        <f>SUM(Q8:Q19)+SUM(Q21:Q24)+SUM(Q26:Q31)+SUM(Q33:Q42)</f>
        <v>402106108</v>
      </c>
      <c r="S44" s="503" t="e">
        <f>SUM(S8:S43)</f>
        <v>#REF!</v>
      </c>
      <c r="T44" s="169" t="e">
        <f>SUM(T8:T19)+SUM(T21:T24)+SUM(T26:T31)+SUM(T33:T42)</f>
        <v>#DIV/0!</v>
      </c>
      <c r="U44" s="503" t="e">
        <f>SUM(U8:U43)</f>
        <v>#REF!</v>
      </c>
      <c r="V44" s="169">
        <f>SUM(V8:V19)+SUM(V21:V24)+SUM(V26:V31)+SUM(V33:V42)</f>
        <v>3269123</v>
      </c>
      <c r="X44" s="493" t="s">
        <v>162</v>
      </c>
      <c r="Y44" s="503" t="e">
        <f>I44+S44</f>
        <v>#REF!</v>
      </c>
      <c r="Z44" s="503" t="e">
        <f>J44+T44</f>
        <v>#DIV/0!</v>
      </c>
      <c r="AA44" s="503" t="e">
        <f>Y44+Z44</f>
        <v>#REF!</v>
      </c>
      <c r="AB44" s="503">
        <f>L44+V44</f>
        <v>27242691</v>
      </c>
    </row>
    <row r="45" spans="1:28" x14ac:dyDescent="0.25">
      <c r="A45" s="493"/>
      <c r="B45" s="493"/>
      <c r="C45" s="493"/>
      <c r="D45" s="493"/>
      <c r="E45" s="493"/>
      <c r="F45" s="493"/>
      <c r="G45" s="493"/>
      <c r="H45" s="493"/>
      <c r="I45" s="493"/>
      <c r="J45" s="493"/>
      <c r="K45" s="493"/>
      <c r="L45" s="493"/>
      <c r="M45" s="493"/>
      <c r="N45" s="493"/>
    </row>
    <row r="46" spans="1:28" x14ac:dyDescent="0.25">
      <c r="A46" s="493"/>
      <c r="B46" s="493"/>
      <c r="C46" s="493"/>
      <c r="D46" s="493"/>
      <c r="E46" s="493"/>
      <c r="F46" s="493"/>
      <c r="G46" s="493"/>
      <c r="H46" s="493"/>
      <c r="I46" s="493"/>
      <c r="J46" s="493"/>
      <c r="K46" s="493"/>
      <c r="L46" s="493"/>
    </row>
    <row r="47" spans="1:28" x14ac:dyDescent="0.25">
      <c r="A47" s="493"/>
      <c r="B47" s="493"/>
      <c r="C47" s="493"/>
      <c r="D47" s="493"/>
      <c r="E47" s="493"/>
      <c r="F47" s="493"/>
      <c r="G47" s="493"/>
      <c r="H47" s="493"/>
      <c r="I47" s="493"/>
      <c r="J47" s="493"/>
      <c r="K47" s="493"/>
      <c r="L47" s="493"/>
    </row>
    <row r="48" spans="1:28" x14ac:dyDescent="0.25">
      <c r="A48" s="493"/>
      <c r="B48" s="493"/>
      <c r="C48" s="493"/>
      <c r="D48" s="493"/>
      <c r="E48" s="493"/>
      <c r="F48" s="493"/>
      <c r="G48" s="493"/>
      <c r="H48" s="493"/>
      <c r="I48" s="493"/>
      <c r="J48" s="493"/>
      <c r="K48" s="493"/>
      <c r="L48" s="493"/>
    </row>
    <row r="49" spans="1:13" x14ac:dyDescent="0.25">
      <c r="A49" s="493"/>
      <c r="B49" s="493"/>
      <c r="C49" s="493"/>
      <c r="D49" s="493"/>
      <c r="E49" s="493"/>
      <c r="F49" s="493"/>
      <c r="G49" s="493"/>
      <c r="H49" s="493"/>
      <c r="I49" s="493"/>
      <c r="J49" s="493"/>
      <c r="K49" s="493"/>
      <c r="L49" s="493"/>
    </row>
    <row r="50" spans="1:13" x14ac:dyDescent="0.25">
      <c r="A50" s="493"/>
      <c r="B50" s="493"/>
      <c r="C50" s="493"/>
      <c r="D50" s="493"/>
      <c r="E50" s="493"/>
      <c r="F50" s="493"/>
      <c r="G50" s="493"/>
      <c r="H50" s="493"/>
      <c r="I50" s="493"/>
      <c r="J50" s="493"/>
      <c r="K50" s="493"/>
      <c r="L50" s="493"/>
    </row>
    <row r="51" spans="1:13" x14ac:dyDescent="0.25">
      <c r="A51" s="493"/>
      <c r="B51" s="493"/>
      <c r="C51" s="493"/>
      <c r="D51" s="493"/>
      <c r="E51" s="493"/>
      <c r="F51" s="493"/>
      <c r="G51" s="493"/>
      <c r="H51" s="493"/>
      <c r="I51" s="493"/>
      <c r="J51" s="493"/>
      <c r="K51" s="493"/>
      <c r="L51" s="493"/>
    </row>
    <row r="52" spans="1:13" x14ac:dyDescent="0.25">
      <c r="A52" s="493"/>
      <c r="B52" s="493"/>
      <c r="C52" s="493"/>
      <c r="D52" s="493"/>
      <c r="E52" s="493"/>
      <c r="F52" s="493"/>
      <c r="G52" s="493"/>
      <c r="H52" s="493"/>
      <c r="I52" s="493"/>
      <c r="J52" s="493"/>
      <c r="K52" s="493"/>
      <c r="L52" s="493"/>
    </row>
    <row r="53" spans="1:13" x14ac:dyDescent="0.25">
      <c r="A53" s="493"/>
      <c r="B53" s="493"/>
      <c r="C53" s="493"/>
      <c r="D53" s="493"/>
      <c r="E53" s="493"/>
      <c r="F53" s="493"/>
      <c r="G53" s="493"/>
      <c r="H53" s="493"/>
      <c r="I53" s="493"/>
      <c r="J53" s="493"/>
      <c r="K53" s="493"/>
      <c r="L53" s="493"/>
    </row>
    <row r="54" spans="1:13" x14ac:dyDescent="0.25">
      <c r="A54" s="493"/>
      <c r="B54" s="493"/>
      <c r="C54" s="493"/>
      <c r="D54" s="493"/>
      <c r="E54" s="493"/>
      <c r="F54" s="493"/>
      <c r="G54" s="493"/>
      <c r="H54" s="493"/>
      <c r="I54" s="493"/>
      <c r="J54" s="493"/>
      <c r="K54" s="493"/>
      <c r="L54" s="493"/>
      <c r="M54" s="493"/>
    </row>
    <row r="55" spans="1:13" x14ac:dyDescent="0.25">
      <c r="A55" s="493"/>
      <c r="B55" s="493"/>
      <c r="C55" s="493"/>
      <c r="D55" s="493"/>
      <c r="E55" s="493"/>
      <c r="F55" s="493"/>
      <c r="G55" s="493"/>
      <c r="H55" s="493"/>
      <c r="I55" s="493"/>
      <c r="J55" s="493"/>
      <c r="K55" s="493"/>
      <c r="L55" s="493"/>
      <c r="M55" s="493"/>
    </row>
    <row r="56" spans="1:13" x14ac:dyDescent="0.25">
      <c r="A56" s="493"/>
      <c r="B56" s="493"/>
      <c r="C56" s="493"/>
      <c r="D56" s="493"/>
      <c r="E56" s="493"/>
      <c r="F56" s="493"/>
      <c r="G56" s="493"/>
      <c r="H56" s="493"/>
      <c r="I56" s="493"/>
      <c r="J56" s="493"/>
      <c r="K56" s="493"/>
      <c r="L56" s="493"/>
      <c r="M56" s="493"/>
    </row>
    <row r="57" spans="1:13" x14ac:dyDescent="0.25">
      <c r="A57" s="493"/>
      <c r="B57" s="493"/>
      <c r="C57" s="493"/>
      <c r="D57" s="493"/>
      <c r="E57" s="493"/>
      <c r="F57" s="493"/>
      <c r="G57" s="493"/>
      <c r="H57" s="493"/>
      <c r="I57" s="493"/>
      <c r="J57" s="493"/>
      <c r="K57" s="493"/>
      <c r="L57" s="493"/>
      <c r="M57" s="493"/>
    </row>
    <row r="58" spans="1:13" x14ac:dyDescent="0.25">
      <c r="A58" s="493"/>
      <c r="B58" s="493"/>
      <c r="C58" s="493"/>
      <c r="D58" s="493"/>
      <c r="E58" s="493"/>
      <c r="F58" s="493"/>
      <c r="G58" s="493"/>
      <c r="H58" s="493"/>
      <c r="I58" s="493"/>
      <c r="J58" s="493"/>
      <c r="K58" s="493"/>
      <c r="L58" s="493"/>
      <c r="M58" s="493"/>
    </row>
    <row r="59" spans="1:13" x14ac:dyDescent="0.25">
      <c r="A59" s="493"/>
      <c r="B59" s="493"/>
      <c r="C59" s="493"/>
      <c r="D59" s="493"/>
      <c r="E59" s="493"/>
      <c r="F59" s="493"/>
      <c r="G59" s="493"/>
      <c r="H59" s="493"/>
      <c r="I59" s="493"/>
      <c r="J59" s="493"/>
      <c r="K59" s="493"/>
      <c r="L59" s="493"/>
      <c r="M59" s="493"/>
    </row>
    <row r="60" spans="1:13" x14ac:dyDescent="0.25">
      <c r="A60" s="493"/>
      <c r="B60" s="493"/>
      <c r="C60" s="493"/>
      <c r="D60" s="493"/>
      <c r="E60" s="493"/>
      <c r="F60" s="493"/>
      <c r="G60" s="493"/>
      <c r="H60" s="493"/>
      <c r="I60" s="493"/>
      <c r="J60" s="493"/>
      <c r="K60" s="493"/>
      <c r="L60" s="493"/>
      <c r="M60" s="493"/>
    </row>
    <row r="61" spans="1:13" x14ac:dyDescent="0.25">
      <c r="A61" s="493"/>
      <c r="B61" s="493"/>
      <c r="C61" s="493"/>
      <c r="D61" s="493"/>
      <c r="E61" s="493"/>
      <c r="F61" s="493"/>
      <c r="G61" s="493"/>
      <c r="H61" s="493"/>
      <c r="I61" s="493"/>
      <c r="J61" s="493"/>
      <c r="K61" s="493"/>
      <c r="L61" s="493"/>
      <c r="M61" s="493"/>
    </row>
    <row r="62" spans="1:13" x14ac:dyDescent="0.25">
      <c r="A62" s="493"/>
      <c r="B62" s="493"/>
      <c r="C62" s="493"/>
      <c r="D62" s="493"/>
      <c r="E62" s="493"/>
      <c r="F62" s="493"/>
      <c r="G62" s="493"/>
      <c r="H62" s="493"/>
      <c r="I62" s="493"/>
      <c r="J62" s="493"/>
      <c r="K62" s="493"/>
      <c r="L62" s="493"/>
      <c r="M62" s="493"/>
    </row>
    <row r="63" spans="1:13" x14ac:dyDescent="0.25">
      <c r="A63" s="493"/>
      <c r="B63" s="493"/>
      <c r="C63" s="493"/>
      <c r="D63" s="493"/>
      <c r="E63" s="493"/>
      <c r="F63" s="493"/>
      <c r="G63" s="493"/>
      <c r="H63" s="493"/>
      <c r="I63" s="493"/>
      <c r="J63" s="493"/>
      <c r="K63" s="493"/>
      <c r="L63" s="493"/>
      <c r="M63" s="493"/>
    </row>
    <row r="64" spans="1:13" x14ac:dyDescent="0.25">
      <c r="A64" s="493"/>
      <c r="B64" s="493"/>
      <c r="C64" s="493"/>
      <c r="D64" s="493"/>
      <c r="E64" s="493"/>
      <c r="F64" s="493"/>
      <c r="G64" s="493"/>
      <c r="H64" s="493"/>
      <c r="I64" s="493"/>
      <c r="J64" s="493"/>
      <c r="K64" s="493"/>
      <c r="L64" s="493"/>
      <c r="M64" s="493"/>
    </row>
    <row r="65" spans="1:14" x14ac:dyDescent="0.25">
      <c r="A65" s="493"/>
      <c r="B65" s="493"/>
      <c r="C65" s="493"/>
      <c r="D65" s="493"/>
      <c r="E65" s="493"/>
      <c r="F65" s="493"/>
      <c r="G65" s="493"/>
      <c r="H65" s="493"/>
      <c r="I65" s="493"/>
      <c r="J65" s="493"/>
      <c r="K65" s="493"/>
      <c r="L65" s="493"/>
      <c r="M65" s="493"/>
    </row>
    <row r="66" spans="1:14" x14ac:dyDescent="0.25">
      <c r="A66" s="493"/>
      <c r="B66" s="493"/>
      <c r="C66" s="493"/>
      <c r="D66" s="493"/>
      <c r="E66" s="493"/>
      <c r="F66" s="493"/>
      <c r="G66" s="493"/>
      <c r="H66" s="493"/>
      <c r="I66" s="493"/>
      <c r="J66" s="493"/>
      <c r="K66" s="493"/>
      <c r="L66" s="493"/>
      <c r="M66" s="493"/>
    </row>
    <row r="67" spans="1:14" x14ac:dyDescent="0.25">
      <c r="A67" s="493"/>
      <c r="B67" s="493"/>
      <c r="C67" s="493"/>
      <c r="D67" s="493"/>
      <c r="E67" s="493"/>
      <c r="F67" s="493"/>
      <c r="G67" s="493"/>
      <c r="H67" s="493"/>
      <c r="I67" s="493"/>
      <c r="J67" s="493"/>
      <c r="K67" s="493"/>
      <c r="L67" s="493"/>
      <c r="M67" s="493"/>
    </row>
    <row r="68" spans="1:14" x14ac:dyDescent="0.25">
      <c r="A68" s="493"/>
      <c r="B68" s="493"/>
      <c r="C68" s="493"/>
      <c r="D68" s="493"/>
      <c r="E68" s="493"/>
      <c r="F68" s="493"/>
      <c r="G68" s="493"/>
      <c r="H68" s="493"/>
      <c r="I68" s="493"/>
      <c r="J68" s="493"/>
      <c r="K68" s="493"/>
      <c r="L68" s="493"/>
      <c r="M68" s="493"/>
    </row>
    <row r="69" spans="1:14" x14ac:dyDescent="0.25">
      <c r="A69" s="493"/>
      <c r="B69" s="493"/>
      <c r="C69" s="493"/>
      <c r="D69" s="493"/>
      <c r="E69" s="493"/>
      <c r="F69" s="493"/>
      <c r="G69" s="493"/>
      <c r="H69" s="493"/>
      <c r="I69" s="493"/>
      <c r="J69" s="493"/>
      <c r="K69" s="493"/>
      <c r="L69" s="493"/>
      <c r="M69" s="493"/>
      <c r="N69" s="493"/>
    </row>
    <row r="70" spans="1:14" x14ac:dyDescent="0.25">
      <c r="A70" s="493"/>
      <c r="B70" s="493"/>
      <c r="C70" s="493"/>
      <c r="D70" s="493"/>
      <c r="E70" s="493"/>
      <c r="F70" s="493"/>
      <c r="G70" s="493"/>
      <c r="H70" s="493"/>
      <c r="I70" s="493"/>
      <c r="J70" s="493"/>
      <c r="K70" s="493"/>
      <c r="L70" s="493"/>
      <c r="M70" s="493"/>
      <c r="N70" s="493"/>
    </row>
    <row r="71" spans="1:14" x14ac:dyDescent="0.25">
      <c r="A71" s="493"/>
      <c r="B71" s="493"/>
      <c r="C71" s="493"/>
      <c r="D71" s="493"/>
      <c r="E71" s="493"/>
      <c r="F71" s="493"/>
      <c r="G71" s="493"/>
      <c r="H71" s="493"/>
      <c r="I71" s="493"/>
      <c r="J71" s="493"/>
      <c r="K71" s="493"/>
      <c r="L71" s="493"/>
      <c r="M71" s="493"/>
      <c r="N71" s="493"/>
    </row>
    <row r="72" spans="1:14" x14ac:dyDescent="0.25">
      <c r="A72" s="493"/>
      <c r="B72" s="493"/>
      <c r="C72" s="493"/>
      <c r="D72" s="493"/>
      <c r="E72" s="493"/>
      <c r="F72" s="493"/>
      <c r="G72" s="493"/>
      <c r="H72" s="493"/>
      <c r="I72" s="493"/>
      <c r="J72" s="493"/>
      <c r="K72" s="493"/>
      <c r="L72" s="493"/>
      <c r="M72" s="493"/>
    </row>
    <row r="73" spans="1:14" x14ac:dyDescent="0.25">
      <c r="A73" s="493"/>
      <c r="B73" s="493"/>
      <c r="C73" s="493"/>
      <c r="D73" s="493"/>
      <c r="E73" s="493"/>
      <c r="F73" s="493"/>
      <c r="G73" s="493"/>
      <c r="H73" s="493"/>
      <c r="I73" s="493"/>
      <c r="J73" s="493"/>
      <c r="K73" s="493"/>
      <c r="L73" s="493"/>
      <c r="M73" s="493"/>
    </row>
    <row r="74" spans="1:14" x14ac:dyDescent="0.25">
      <c r="A74" s="493"/>
      <c r="B74" s="493"/>
      <c r="C74" s="493"/>
      <c r="D74" s="493"/>
      <c r="E74" s="493"/>
      <c r="F74" s="493"/>
      <c r="G74" s="493"/>
      <c r="H74" s="493"/>
      <c r="I74" s="493"/>
      <c r="J74" s="493"/>
      <c r="K74" s="493"/>
      <c r="L74" s="493"/>
      <c r="M74" s="493"/>
    </row>
    <row r="75" spans="1:14" x14ac:dyDescent="0.25">
      <c r="A75" s="493"/>
      <c r="B75" s="493"/>
      <c r="C75" s="493"/>
      <c r="D75" s="493"/>
      <c r="E75" s="493"/>
      <c r="F75" s="493"/>
      <c r="G75" s="493"/>
      <c r="H75" s="493"/>
      <c r="I75" s="493"/>
      <c r="J75" s="493"/>
      <c r="K75" s="493"/>
      <c r="L75" s="493"/>
      <c r="M75" s="493"/>
    </row>
    <row r="76" spans="1:14" x14ac:dyDescent="0.25">
      <c r="A76" s="493"/>
      <c r="B76" s="493"/>
      <c r="C76" s="493"/>
      <c r="D76" s="493"/>
      <c r="E76" s="493"/>
      <c r="F76" s="493"/>
      <c r="G76" s="493"/>
      <c r="H76" s="493"/>
      <c r="I76" s="493"/>
      <c r="J76" s="493"/>
      <c r="K76" s="493"/>
      <c r="L76" s="493"/>
      <c r="M76" s="493"/>
    </row>
    <row r="77" spans="1:14" x14ac:dyDescent="0.25">
      <c r="A77" s="493"/>
      <c r="B77" s="493"/>
      <c r="C77" s="493"/>
      <c r="D77" s="493"/>
      <c r="E77" s="493"/>
      <c r="F77" s="493"/>
      <c r="G77" s="493"/>
      <c r="H77" s="493"/>
      <c r="I77" s="493"/>
      <c r="J77" s="493"/>
      <c r="K77" s="493"/>
      <c r="L77" s="493"/>
      <c r="M77" s="493"/>
    </row>
    <row r="78" spans="1:14" x14ac:dyDescent="0.25">
      <c r="A78" s="493"/>
      <c r="B78" s="493"/>
      <c r="C78" s="493"/>
      <c r="D78" s="493"/>
      <c r="E78" s="493"/>
      <c r="F78" s="493"/>
      <c r="G78" s="493"/>
      <c r="H78" s="493"/>
      <c r="I78" s="493"/>
      <c r="J78" s="493"/>
      <c r="K78" s="493"/>
      <c r="L78" s="493"/>
      <c r="M78" s="493"/>
    </row>
    <row r="79" spans="1:14" x14ac:dyDescent="0.25">
      <c r="A79" s="493"/>
      <c r="B79" s="493"/>
      <c r="C79" s="493"/>
      <c r="D79" s="493"/>
      <c r="E79" s="493"/>
      <c r="F79" s="493"/>
      <c r="G79" s="493"/>
      <c r="H79" s="493"/>
      <c r="I79" s="493"/>
      <c r="J79" s="493"/>
      <c r="K79" s="493"/>
      <c r="L79" s="493"/>
      <c r="M79" s="493"/>
    </row>
    <row r="80" spans="1:14" x14ac:dyDescent="0.25">
      <c r="A80" s="493"/>
      <c r="B80" s="493"/>
      <c r="C80" s="493"/>
      <c r="D80" s="493"/>
      <c r="E80" s="493"/>
      <c r="F80" s="493"/>
      <c r="G80" s="493"/>
      <c r="H80" s="493"/>
      <c r="I80" s="493"/>
      <c r="J80" s="493"/>
      <c r="K80" s="493"/>
      <c r="L80" s="493"/>
      <c r="M80" s="493"/>
    </row>
    <row r="81" spans="1:14" x14ac:dyDescent="0.25">
      <c r="A81" s="493"/>
      <c r="B81" s="493"/>
      <c r="C81" s="493"/>
      <c r="D81" s="493"/>
      <c r="E81" s="493"/>
      <c r="F81" s="493"/>
      <c r="G81" s="493"/>
      <c r="H81" s="493"/>
      <c r="I81" s="493"/>
      <c r="J81" s="493"/>
      <c r="K81" s="493"/>
      <c r="L81" s="493"/>
      <c r="M81" s="493"/>
    </row>
    <row r="82" spans="1:14" x14ac:dyDescent="0.25">
      <c r="A82" s="493"/>
      <c r="B82" s="493"/>
      <c r="C82" s="493"/>
      <c r="D82" s="493"/>
      <c r="E82" s="493"/>
      <c r="F82" s="493"/>
      <c r="G82" s="493"/>
      <c r="H82" s="493"/>
      <c r="I82" s="493"/>
      <c r="J82" s="493"/>
      <c r="K82" s="493"/>
      <c r="L82" s="493"/>
      <c r="M82" s="493"/>
    </row>
    <row r="83" spans="1:14" x14ac:dyDescent="0.25">
      <c r="A83" s="493"/>
      <c r="B83" s="493"/>
      <c r="C83" s="493"/>
      <c r="D83" s="493"/>
      <c r="E83" s="493"/>
      <c r="F83" s="493"/>
      <c r="G83" s="493"/>
      <c r="H83" s="493"/>
      <c r="I83" s="493"/>
      <c r="J83" s="493"/>
      <c r="K83" s="493"/>
      <c r="L83" s="493"/>
      <c r="M83" s="493"/>
    </row>
    <row r="84" spans="1:14" x14ac:dyDescent="0.25">
      <c r="A84" s="493"/>
      <c r="B84" s="493"/>
      <c r="C84" s="493"/>
      <c r="D84" s="493"/>
      <c r="E84" s="493"/>
      <c r="F84" s="493"/>
      <c r="G84" s="493"/>
      <c r="H84" s="493"/>
      <c r="I84" s="493"/>
      <c r="J84" s="493"/>
      <c r="K84" s="493"/>
      <c r="L84" s="493"/>
      <c r="M84" s="493"/>
    </row>
    <row r="85" spans="1:14" x14ac:dyDescent="0.25">
      <c r="A85" s="493"/>
      <c r="B85" s="493"/>
      <c r="C85" s="493"/>
      <c r="D85" s="493"/>
      <c r="E85" s="493"/>
      <c r="F85" s="493"/>
      <c r="G85" s="493"/>
      <c r="H85" s="493"/>
      <c r="I85" s="493"/>
      <c r="J85" s="493"/>
      <c r="K85" s="493"/>
      <c r="L85" s="493"/>
      <c r="M85" s="493"/>
    </row>
    <row r="86" spans="1:14" x14ac:dyDescent="0.25">
      <c r="A86" s="493"/>
      <c r="B86" s="493"/>
      <c r="C86" s="493"/>
      <c r="D86" s="493"/>
      <c r="E86" s="493"/>
      <c r="F86" s="493"/>
      <c r="G86" s="493"/>
      <c r="H86" s="493"/>
      <c r="I86" s="493"/>
      <c r="J86" s="493"/>
      <c r="K86" s="493"/>
      <c r="L86" s="493"/>
      <c r="M86" s="493"/>
    </row>
    <row r="87" spans="1:14" x14ac:dyDescent="0.25">
      <c r="A87" s="493"/>
      <c r="B87" s="493"/>
      <c r="C87" s="493"/>
      <c r="D87" s="493"/>
      <c r="E87" s="493"/>
      <c r="F87" s="493"/>
      <c r="G87" s="493"/>
      <c r="H87" s="493"/>
      <c r="I87" s="493"/>
      <c r="J87" s="493"/>
      <c r="K87" s="493"/>
      <c r="L87" s="493"/>
      <c r="M87" s="493"/>
    </row>
    <row r="88" spans="1:14" x14ac:dyDescent="0.25">
      <c r="A88" s="493"/>
      <c r="B88" s="493"/>
      <c r="C88" s="493"/>
      <c r="D88" s="493"/>
      <c r="E88" s="493"/>
      <c r="F88" s="493"/>
      <c r="G88" s="493"/>
      <c r="H88" s="493"/>
      <c r="I88" s="493"/>
      <c r="J88" s="493"/>
      <c r="K88" s="493"/>
      <c r="L88" s="493"/>
      <c r="M88" s="493"/>
    </row>
    <row r="89" spans="1:14" x14ac:dyDescent="0.25">
      <c r="A89" s="493"/>
      <c r="B89" s="493"/>
      <c r="C89" s="493"/>
      <c r="D89" s="493"/>
      <c r="E89" s="493"/>
      <c r="F89" s="493"/>
      <c r="G89" s="493"/>
      <c r="H89" s="493"/>
      <c r="I89" s="493"/>
      <c r="J89" s="493"/>
      <c r="K89" s="493"/>
      <c r="L89" s="493"/>
      <c r="M89" s="493"/>
      <c r="N89" s="493"/>
    </row>
    <row r="90" spans="1:14" x14ac:dyDescent="0.25">
      <c r="A90" s="493"/>
      <c r="B90" s="493"/>
      <c r="C90" s="493"/>
      <c r="D90" s="493"/>
      <c r="E90" s="493"/>
      <c r="F90" s="493"/>
      <c r="G90" s="493"/>
      <c r="H90" s="493"/>
      <c r="I90" s="493"/>
      <c r="J90" s="493"/>
      <c r="K90" s="493"/>
      <c r="L90" s="493"/>
      <c r="M90" s="493"/>
      <c r="N90" s="493"/>
    </row>
    <row r="91" spans="1:14" x14ac:dyDescent="0.25">
      <c r="A91" s="493"/>
      <c r="B91" s="493"/>
      <c r="C91" s="493"/>
      <c r="D91" s="493"/>
      <c r="E91" s="493"/>
      <c r="F91" s="493"/>
      <c r="G91" s="493"/>
      <c r="H91" s="493"/>
      <c r="I91" s="493"/>
      <c r="J91" s="493"/>
      <c r="K91" s="493"/>
      <c r="L91" s="493"/>
      <c r="M91" s="493"/>
      <c r="N91" s="493"/>
    </row>
    <row r="92" spans="1:14" x14ac:dyDescent="0.25">
      <c r="A92" s="493"/>
      <c r="B92" s="493"/>
      <c r="C92" s="493"/>
      <c r="D92" s="493"/>
      <c r="E92" s="493"/>
      <c r="F92" s="493"/>
      <c r="G92" s="493"/>
      <c r="H92" s="493"/>
      <c r="I92" s="493"/>
      <c r="J92" s="493"/>
      <c r="K92" s="493"/>
      <c r="L92" s="493"/>
      <c r="M92" s="493"/>
      <c r="N92" s="493"/>
    </row>
    <row r="93" spans="1:14" x14ac:dyDescent="0.25">
      <c r="A93" s="493"/>
      <c r="B93" s="493"/>
      <c r="C93" s="493"/>
      <c r="D93" s="493"/>
      <c r="E93" s="493"/>
      <c r="F93" s="493"/>
      <c r="G93" s="493"/>
      <c r="H93" s="493"/>
      <c r="I93" s="493"/>
      <c r="J93" s="493"/>
      <c r="K93" s="493"/>
      <c r="L93" s="493"/>
      <c r="M93" s="493"/>
    </row>
    <row r="94" spans="1:14" x14ac:dyDescent="0.25">
      <c r="A94" s="493"/>
      <c r="B94" s="493"/>
      <c r="C94" s="493"/>
      <c r="D94" s="493"/>
      <c r="E94" s="493"/>
      <c r="F94" s="493"/>
      <c r="G94" s="493"/>
      <c r="H94" s="493"/>
      <c r="I94" s="493"/>
      <c r="J94" s="493"/>
      <c r="K94" s="493"/>
      <c r="L94" s="493"/>
      <c r="M94" s="493"/>
    </row>
    <row r="95" spans="1:14" x14ac:dyDescent="0.25">
      <c r="A95" s="493"/>
      <c r="B95" s="493"/>
      <c r="C95" s="493"/>
      <c r="D95" s="493"/>
      <c r="E95" s="493"/>
      <c r="F95" s="493"/>
      <c r="G95" s="493"/>
      <c r="H95" s="493"/>
      <c r="I95" s="493"/>
      <c r="J95" s="493"/>
      <c r="K95" s="493"/>
      <c r="L95" s="493"/>
      <c r="M95" s="493"/>
    </row>
    <row r="96" spans="1:14" x14ac:dyDescent="0.25">
      <c r="A96" s="493"/>
      <c r="B96" s="493"/>
      <c r="C96" s="493"/>
      <c r="D96" s="493"/>
      <c r="E96" s="493"/>
      <c r="F96" s="493"/>
      <c r="G96" s="493"/>
      <c r="H96" s="493"/>
      <c r="I96" s="493"/>
      <c r="J96" s="493"/>
      <c r="K96" s="493"/>
      <c r="L96" s="493"/>
      <c r="M96" s="493"/>
    </row>
    <row r="97" spans="1:13" x14ac:dyDescent="0.25">
      <c r="A97" s="493"/>
      <c r="B97" s="493"/>
      <c r="C97" s="493"/>
      <c r="D97" s="493"/>
      <c r="E97" s="493"/>
      <c r="F97" s="493"/>
      <c r="G97" s="493"/>
      <c r="H97" s="493"/>
      <c r="I97" s="493"/>
      <c r="J97" s="493"/>
      <c r="K97" s="493"/>
      <c r="L97" s="493"/>
      <c r="M97" s="493"/>
    </row>
    <row r="98" spans="1:13" x14ac:dyDescent="0.25">
      <c r="A98" s="493"/>
      <c r="B98" s="493"/>
      <c r="C98" s="493"/>
      <c r="D98" s="493"/>
      <c r="E98" s="493"/>
      <c r="F98" s="493"/>
      <c r="G98" s="493"/>
      <c r="H98" s="493"/>
      <c r="I98" s="493"/>
      <c r="J98" s="493"/>
      <c r="K98" s="493"/>
      <c r="L98" s="493"/>
      <c r="M98" s="493"/>
    </row>
    <row r="99" spans="1:13" x14ac:dyDescent="0.25">
      <c r="A99" s="493"/>
      <c r="B99" s="493"/>
      <c r="C99" s="493"/>
      <c r="D99" s="493"/>
      <c r="E99" s="493"/>
      <c r="F99" s="493"/>
      <c r="G99" s="493"/>
      <c r="H99" s="493"/>
      <c r="I99" s="493"/>
      <c r="J99" s="493"/>
      <c r="K99" s="493"/>
      <c r="L99" s="493"/>
      <c r="M99" s="493"/>
    </row>
    <row r="100" spans="1:13" x14ac:dyDescent="0.25">
      <c r="A100" s="493"/>
      <c r="B100" s="493"/>
      <c r="C100" s="493"/>
      <c r="D100" s="493"/>
      <c r="E100" s="493"/>
      <c r="F100" s="493"/>
      <c r="G100" s="493"/>
      <c r="H100" s="493"/>
      <c r="I100" s="493"/>
      <c r="J100" s="493"/>
      <c r="K100" s="493"/>
      <c r="L100" s="493"/>
      <c r="M100" s="493"/>
    </row>
    <row r="101" spans="1:13" x14ac:dyDescent="0.25">
      <c r="A101" s="493"/>
      <c r="B101" s="493"/>
      <c r="C101" s="493"/>
      <c r="D101" s="493"/>
      <c r="E101" s="493"/>
      <c r="F101" s="493"/>
      <c r="G101" s="493"/>
      <c r="H101" s="493"/>
      <c r="I101" s="493"/>
      <c r="J101" s="493"/>
      <c r="K101" s="493"/>
      <c r="L101" s="493"/>
      <c r="M101" s="493"/>
    </row>
    <row r="102" spans="1:13" x14ac:dyDescent="0.25">
      <c r="A102" s="493"/>
      <c r="B102" s="493"/>
      <c r="C102" s="493"/>
      <c r="D102" s="493"/>
      <c r="E102" s="493"/>
      <c r="F102" s="493"/>
      <c r="G102" s="493"/>
      <c r="H102" s="493"/>
      <c r="I102" s="493"/>
      <c r="J102" s="493"/>
      <c r="K102" s="493"/>
      <c r="L102" s="493"/>
      <c r="M102" s="493"/>
    </row>
    <row r="103" spans="1:13" x14ac:dyDescent="0.25">
      <c r="A103" s="493"/>
      <c r="B103" s="493"/>
      <c r="C103" s="493"/>
      <c r="D103" s="493"/>
      <c r="E103" s="493"/>
      <c r="F103" s="493"/>
      <c r="G103" s="493"/>
      <c r="H103" s="493"/>
      <c r="I103" s="493"/>
      <c r="J103" s="493"/>
      <c r="K103" s="493"/>
      <c r="L103" s="493"/>
      <c r="M103" s="493"/>
    </row>
    <row r="104" spans="1:13" x14ac:dyDescent="0.25">
      <c r="A104" s="493"/>
      <c r="B104" s="493"/>
      <c r="C104" s="493"/>
      <c r="D104" s="493"/>
      <c r="E104" s="493"/>
      <c r="F104" s="493"/>
      <c r="G104" s="493"/>
      <c r="H104" s="493"/>
      <c r="I104" s="493"/>
      <c r="J104" s="493"/>
      <c r="K104" s="493"/>
      <c r="L104" s="493"/>
      <c r="M104" s="493"/>
    </row>
    <row r="105" spans="1:13" x14ac:dyDescent="0.25">
      <c r="A105" s="493"/>
      <c r="B105" s="493"/>
      <c r="C105" s="493"/>
      <c r="D105" s="493"/>
      <c r="E105" s="493"/>
      <c r="F105" s="493"/>
      <c r="G105" s="493"/>
      <c r="H105" s="493"/>
      <c r="I105" s="493"/>
      <c r="J105" s="493"/>
      <c r="K105" s="493"/>
      <c r="L105" s="493"/>
      <c r="M105" s="493"/>
    </row>
    <row r="106" spans="1:13" x14ac:dyDescent="0.25">
      <c r="A106" s="493"/>
      <c r="B106" s="493"/>
      <c r="C106" s="493"/>
      <c r="D106" s="493"/>
      <c r="E106" s="493"/>
      <c r="F106" s="493"/>
      <c r="G106" s="493"/>
      <c r="H106" s="493"/>
      <c r="I106" s="493"/>
      <c r="J106" s="493"/>
      <c r="K106" s="493"/>
      <c r="L106" s="493"/>
      <c r="M106" s="493"/>
    </row>
    <row r="107" spans="1:13" x14ac:dyDescent="0.25">
      <c r="A107" s="493"/>
      <c r="B107" s="493"/>
      <c r="C107" s="493"/>
      <c r="D107" s="493"/>
      <c r="E107" s="493"/>
      <c r="F107" s="493"/>
      <c r="G107" s="493"/>
      <c r="H107" s="493"/>
      <c r="I107" s="493"/>
      <c r="J107" s="493"/>
      <c r="K107" s="493"/>
      <c r="L107" s="493"/>
      <c r="M107" s="493"/>
    </row>
    <row r="108" spans="1:13" x14ac:dyDescent="0.25">
      <c r="A108" s="493"/>
      <c r="B108" s="493"/>
      <c r="C108" s="493"/>
      <c r="D108" s="493"/>
      <c r="E108" s="493"/>
      <c r="F108" s="493"/>
      <c r="G108" s="493"/>
      <c r="H108" s="493"/>
      <c r="I108" s="493"/>
      <c r="J108" s="493"/>
      <c r="K108" s="493"/>
      <c r="L108" s="493"/>
      <c r="M108" s="493"/>
    </row>
    <row r="109" spans="1:13" x14ac:dyDescent="0.25">
      <c r="A109" s="493"/>
      <c r="B109" s="493"/>
      <c r="C109" s="493"/>
      <c r="D109" s="493"/>
      <c r="E109" s="493"/>
      <c r="F109" s="493"/>
      <c r="G109" s="493"/>
      <c r="H109" s="493"/>
      <c r="I109" s="493"/>
      <c r="J109" s="493"/>
      <c r="K109" s="493"/>
      <c r="L109" s="493"/>
      <c r="M109" s="493"/>
    </row>
    <row r="110" spans="1:13" x14ac:dyDescent="0.25">
      <c r="A110" s="493"/>
      <c r="B110" s="493"/>
      <c r="C110" s="493"/>
      <c r="D110" s="493"/>
      <c r="E110" s="493"/>
      <c r="F110" s="493"/>
      <c r="G110" s="493"/>
      <c r="H110" s="493"/>
      <c r="I110" s="493"/>
      <c r="J110" s="493"/>
      <c r="K110" s="493"/>
      <c r="L110" s="493"/>
      <c r="M110" s="493"/>
    </row>
    <row r="111" spans="1:13" x14ac:dyDescent="0.25">
      <c r="A111" s="493"/>
      <c r="B111" s="493"/>
      <c r="C111" s="493"/>
      <c r="D111" s="493"/>
      <c r="E111" s="493"/>
      <c r="F111" s="493"/>
      <c r="G111" s="493"/>
      <c r="H111" s="493"/>
      <c r="I111" s="493"/>
      <c r="J111" s="493"/>
      <c r="K111" s="493"/>
      <c r="L111" s="493"/>
      <c r="M111" s="493"/>
    </row>
    <row r="112" spans="1:13" x14ac:dyDescent="0.25">
      <c r="A112" s="493"/>
      <c r="B112" s="493"/>
      <c r="C112" s="493"/>
      <c r="D112" s="493"/>
      <c r="E112" s="493"/>
      <c r="F112" s="493"/>
      <c r="G112" s="493"/>
      <c r="H112" s="493"/>
      <c r="I112" s="493"/>
      <c r="J112" s="493"/>
      <c r="K112" s="493"/>
      <c r="L112" s="493"/>
      <c r="M112" s="493"/>
    </row>
    <row r="113" spans="1:13" x14ac:dyDescent="0.25">
      <c r="A113" s="493"/>
      <c r="B113" s="493"/>
      <c r="C113" s="493"/>
      <c r="D113" s="493"/>
      <c r="E113" s="493"/>
      <c r="F113" s="493"/>
      <c r="G113" s="493"/>
      <c r="H113" s="493"/>
      <c r="I113" s="493"/>
      <c r="J113" s="493"/>
      <c r="K113" s="493"/>
      <c r="L113" s="493"/>
      <c r="M113" s="493"/>
    </row>
    <row r="114" spans="1:13" x14ac:dyDescent="0.25">
      <c r="A114" s="493"/>
      <c r="B114" s="493"/>
      <c r="C114" s="493"/>
      <c r="D114" s="493"/>
      <c r="E114" s="493"/>
      <c r="F114" s="493"/>
      <c r="G114" s="493"/>
      <c r="H114" s="493"/>
      <c r="I114" s="493"/>
      <c r="J114" s="493"/>
      <c r="K114" s="493"/>
      <c r="L114" s="493"/>
      <c r="M114" s="493"/>
    </row>
    <row r="115" spans="1:13" x14ac:dyDescent="0.25">
      <c r="A115" s="493"/>
      <c r="B115" s="493"/>
      <c r="C115" s="493"/>
      <c r="D115" s="493"/>
      <c r="E115" s="493"/>
      <c r="F115" s="493"/>
      <c r="G115" s="493"/>
      <c r="H115" s="493"/>
      <c r="I115" s="493"/>
      <c r="J115" s="493"/>
      <c r="K115" s="493"/>
      <c r="L115" s="493"/>
      <c r="M115" s="493"/>
    </row>
    <row r="116" spans="1:13" x14ac:dyDescent="0.25">
      <c r="A116" s="493"/>
      <c r="B116" s="493"/>
      <c r="C116" s="493"/>
      <c r="D116" s="493"/>
      <c r="E116" s="493"/>
      <c r="F116" s="493"/>
      <c r="G116" s="493"/>
      <c r="H116" s="493"/>
      <c r="I116" s="493"/>
      <c r="J116" s="493"/>
      <c r="K116" s="493"/>
      <c r="L116" s="493"/>
      <c r="M116" s="493"/>
    </row>
    <row r="117" spans="1:13" x14ac:dyDescent="0.25">
      <c r="A117" s="493"/>
      <c r="B117" s="493"/>
      <c r="C117" s="493"/>
      <c r="D117" s="493"/>
      <c r="E117" s="493"/>
      <c r="F117" s="493"/>
      <c r="G117" s="493"/>
      <c r="H117" s="493"/>
      <c r="I117" s="493"/>
      <c r="J117" s="493"/>
      <c r="K117" s="493"/>
      <c r="L117" s="493"/>
      <c r="M117" s="493"/>
    </row>
    <row r="118" spans="1:13" x14ac:dyDescent="0.25">
      <c r="A118" s="493"/>
      <c r="B118" s="493"/>
      <c r="C118" s="493"/>
      <c r="D118" s="493"/>
      <c r="E118" s="493"/>
      <c r="F118" s="493"/>
      <c r="G118" s="493"/>
      <c r="H118" s="493"/>
      <c r="I118" s="493"/>
      <c r="J118" s="493"/>
      <c r="K118" s="493"/>
      <c r="L118" s="493"/>
      <c r="M118" s="493"/>
    </row>
    <row r="119" spans="1:13" x14ac:dyDescent="0.25">
      <c r="A119" s="493"/>
      <c r="B119" s="493"/>
      <c r="C119" s="493"/>
      <c r="D119" s="493"/>
      <c r="E119" s="493"/>
      <c r="F119" s="493"/>
      <c r="G119" s="493"/>
      <c r="H119" s="493"/>
      <c r="I119" s="493"/>
      <c r="J119" s="493"/>
      <c r="K119" s="493"/>
      <c r="L119" s="493"/>
      <c r="M119" s="493"/>
    </row>
    <row r="120" spans="1:13" x14ac:dyDescent="0.25">
      <c r="A120" s="493"/>
      <c r="B120" s="493"/>
      <c r="C120" s="493"/>
      <c r="D120" s="493"/>
      <c r="E120" s="493"/>
      <c r="F120" s="493"/>
      <c r="G120" s="493"/>
      <c r="H120" s="493"/>
      <c r="I120" s="493"/>
      <c r="J120" s="493"/>
      <c r="K120" s="493"/>
      <c r="L120" s="493"/>
      <c r="M120" s="493"/>
    </row>
    <row r="121" spans="1:13" x14ac:dyDescent="0.25">
      <c r="A121" s="493"/>
      <c r="B121" s="493"/>
      <c r="C121" s="493"/>
      <c r="D121" s="493"/>
      <c r="E121" s="493"/>
      <c r="F121" s="493"/>
      <c r="G121" s="493"/>
      <c r="H121" s="493"/>
      <c r="I121" s="493"/>
      <c r="J121" s="493"/>
      <c r="K121" s="493"/>
      <c r="L121" s="493"/>
      <c r="M121" s="493"/>
    </row>
    <row r="122" spans="1:13" x14ac:dyDescent="0.25">
      <c r="A122" s="493"/>
      <c r="B122" s="493"/>
      <c r="C122" s="493"/>
      <c r="D122" s="493"/>
      <c r="E122" s="493"/>
      <c r="F122" s="493"/>
      <c r="G122" s="493"/>
      <c r="H122" s="493"/>
      <c r="I122" s="493"/>
      <c r="J122" s="493"/>
      <c r="K122" s="493"/>
      <c r="L122" s="493"/>
      <c r="M122" s="493"/>
    </row>
    <row r="123" spans="1:13" x14ac:dyDescent="0.25">
      <c r="A123" s="493"/>
      <c r="B123" s="493"/>
      <c r="C123" s="493"/>
      <c r="D123" s="493"/>
      <c r="E123" s="493"/>
      <c r="F123" s="493"/>
      <c r="G123" s="493"/>
      <c r="H123" s="493"/>
      <c r="I123" s="493"/>
      <c r="J123" s="493"/>
      <c r="K123" s="493"/>
      <c r="L123" s="493"/>
      <c r="M123" s="493"/>
    </row>
    <row r="124" spans="1:13" x14ac:dyDescent="0.25">
      <c r="A124" s="493"/>
      <c r="B124" s="493"/>
      <c r="C124" s="493"/>
      <c r="D124" s="493"/>
      <c r="E124" s="493"/>
      <c r="F124" s="493"/>
      <c r="G124" s="493"/>
      <c r="H124" s="493"/>
      <c r="I124" s="493"/>
      <c r="J124" s="493"/>
      <c r="K124" s="493"/>
      <c r="L124" s="493"/>
      <c r="M124" s="493"/>
    </row>
    <row r="125" spans="1:13" x14ac:dyDescent="0.25">
      <c r="A125" s="493"/>
      <c r="B125" s="493"/>
      <c r="C125" s="493"/>
      <c r="D125" s="493"/>
      <c r="E125" s="493"/>
      <c r="F125" s="493"/>
      <c r="G125" s="493"/>
      <c r="H125" s="493"/>
      <c r="I125" s="493"/>
      <c r="J125" s="493"/>
      <c r="K125" s="493"/>
      <c r="L125" s="493"/>
      <c r="M125" s="493"/>
    </row>
    <row r="126" spans="1:13" x14ac:dyDescent="0.25">
      <c r="A126" s="493"/>
      <c r="B126" s="493"/>
      <c r="C126" s="493"/>
      <c r="D126" s="493"/>
      <c r="E126" s="493"/>
      <c r="F126" s="493"/>
      <c r="G126" s="493"/>
      <c r="H126" s="493"/>
      <c r="I126" s="493"/>
      <c r="J126" s="493"/>
      <c r="K126" s="493"/>
      <c r="L126" s="493"/>
      <c r="M126" s="493"/>
    </row>
    <row r="127" spans="1:13" x14ac:dyDescent="0.25">
      <c r="A127" s="493"/>
      <c r="B127" s="493"/>
      <c r="C127" s="493"/>
      <c r="D127" s="493"/>
      <c r="E127" s="493"/>
      <c r="F127" s="493"/>
      <c r="G127" s="493"/>
      <c r="H127" s="493"/>
      <c r="I127" s="493"/>
      <c r="J127" s="493"/>
      <c r="K127" s="493"/>
      <c r="L127" s="493"/>
      <c r="M127" s="493"/>
    </row>
    <row r="128" spans="1:13" x14ac:dyDescent="0.25">
      <c r="A128" s="493"/>
      <c r="B128" s="493"/>
      <c r="C128" s="493"/>
      <c r="D128" s="493"/>
      <c r="E128" s="493"/>
      <c r="F128" s="493"/>
      <c r="G128" s="493"/>
      <c r="H128" s="493"/>
      <c r="I128" s="493"/>
      <c r="J128" s="493"/>
      <c r="K128" s="493"/>
      <c r="L128" s="493"/>
      <c r="M128" s="493"/>
    </row>
    <row r="129" spans="1:13" x14ac:dyDescent="0.25">
      <c r="A129" s="493"/>
      <c r="B129" s="493"/>
      <c r="C129" s="493"/>
      <c r="D129" s="493"/>
      <c r="E129" s="493"/>
      <c r="F129" s="493"/>
      <c r="G129" s="493"/>
      <c r="H129" s="493"/>
      <c r="I129" s="493"/>
      <c r="J129" s="493"/>
      <c r="K129" s="493"/>
      <c r="L129" s="493"/>
      <c r="M129" s="493"/>
    </row>
    <row r="130" spans="1:13" x14ac:dyDescent="0.25">
      <c r="A130" s="493"/>
      <c r="B130" s="493"/>
      <c r="C130" s="493"/>
      <c r="D130" s="493"/>
      <c r="E130" s="493"/>
      <c r="F130" s="493"/>
      <c r="G130" s="493"/>
      <c r="H130" s="493"/>
      <c r="I130" s="493"/>
      <c r="J130" s="493"/>
      <c r="K130" s="493"/>
      <c r="L130" s="493"/>
      <c r="M130" s="493"/>
    </row>
    <row r="131" spans="1:13" x14ac:dyDescent="0.25">
      <c r="A131" s="493"/>
      <c r="B131" s="493"/>
      <c r="C131" s="493"/>
      <c r="D131" s="493"/>
      <c r="E131" s="493"/>
      <c r="F131" s="493"/>
      <c r="G131" s="493"/>
      <c r="H131" s="493"/>
      <c r="I131" s="493"/>
      <c r="J131" s="493"/>
      <c r="K131" s="493"/>
      <c r="L131" s="493"/>
      <c r="M131" s="493"/>
    </row>
    <row r="132" spans="1:13" x14ac:dyDescent="0.25">
      <c r="A132" s="493"/>
      <c r="B132" s="493"/>
      <c r="C132" s="493"/>
      <c r="D132" s="493"/>
      <c r="E132" s="493"/>
      <c r="F132" s="493"/>
      <c r="G132" s="493"/>
      <c r="H132" s="493"/>
      <c r="I132" s="493"/>
      <c r="J132" s="493"/>
      <c r="K132" s="493"/>
      <c r="L132" s="493"/>
      <c r="M132" s="493"/>
    </row>
    <row r="133" spans="1:13" x14ac:dyDescent="0.25">
      <c r="A133" s="493"/>
      <c r="B133" s="493"/>
      <c r="C133" s="493"/>
      <c r="D133" s="493"/>
      <c r="E133" s="493"/>
      <c r="F133" s="493"/>
      <c r="G133" s="493"/>
      <c r="H133" s="493"/>
      <c r="I133" s="493"/>
      <c r="J133" s="493"/>
      <c r="K133" s="493"/>
      <c r="L133" s="493"/>
      <c r="M133" s="493"/>
    </row>
    <row r="134" spans="1:13" x14ac:dyDescent="0.25">
      <c r="A134" s="493"/>
      <c r="B134" s="493"/>
      <c r="C134" s="493"/>
      <c r="D134" s="493"/>
      <c r="E134" s="493"/>
      <c r="F134" s="493"/>
      <c r="G134" s="493"/>
      <c r="H134" s="493"/>
      <c r="I134" s="493"/>
      <c r="J134" s="493"/>
      <c r="K134" s="493"/>
      <c r="L134" s="493"/>
      <c r="M134" s="493"/>
    </row>
    <row r="135" spans="1:13" x14ac:dyDescent="0.25">
      <c r="A135" s="493"/>
      <c r="B135" s="493"/>
      <c r="C135" s="493"/>
      <c r="D135" s="493"/>
      <c r="E135" s="493"/>
      <c r="F135" s="493"/>
      <c r="G135" s="493"/>
      <c r="H135" s="493"/>
      <c r="I135" s="493"/>
      <c r="J135" s="493"/>
      <c r="K135" s="493"/>
      <c r="L135" s="493"/>
      <c r="M135" s="493"/>
    </row>
    <row r="136" spans="1:13" x14ac:dyDescent="0.25">
      <c r="A136" s="493"/>
      <c r="B136" s="493"/>
      <c r="C136" s="493"/>
      <c r="D136" s="493"/>
      <c r="E136" s="493"/>
      <c r="F136" s="493"/>
      <c r="G136" s="493"/>
      <c r="H136" s="493"/>
      <c r="I136" s="493"/>
      <c r="J136" s="493"/>
      <c r="K136" s="493"/>
      <c r="L136" s="493"/>
      <c r="M136" s="493"/>
    </row>
    <row r="137" spans="1:13" x14ac:dyDescent="0.25">
      <c r="A137" s="493"/>
      <c r="B137" s="493"/>
      <c r="C137" s="493"/>
      <c r="D137" s="493"/>
      <c r="E137" s="493"/>
      <c r="F137" s="493"/>
      <c r="G137" s="493"/>
      <c r="H137" s="493"/>
      <c r="I137" s="493"/>
      <c r="J137" s="493"/>
      <c r="K137" s="493"/>
      <c r="L137" s="493"/>
      <c r="M137" s="493"/>
    </row>
    <row r="138" spans="1:13" x14ac:dyDescent="0.25">
      <c r="A138" s="493"/>
      <c r="B138" s="493"/>
      <c r="C138" s="493"/>
      <c r="D138" s="493"/>
      <c r="E138" s="493"/>
      <c r="F138" s="493"/>
      <c r="G138" s="493"/>
      <c r="H138" s="493"/>
      <c r="I138" s="493"/>
      <c r="J138" s="493"/>
      <c r="K138" s="493"/>
      <c r="L138" s="493"/>
      <c r="M138" s="493"/>
    </row>
    <row r="139" spans="1:13" x14ac:dyDescent="0.25">
      <c r="A139" s="493"/>
      <c r="B139" s="493"/>
      <c r="C139" s="493"/>
      <c r="D139" s="493"/>
      <c r="E139" s="493"/>
      <c r="F139" s="493"/>
      <c r="G139" s="493"/>
      <c r="H139" s="493"/>
      <c r="I139" s="493"/>
      <c r="J139" s="493"/>
      <c r="K139" s="493"/>
      <c r="L139" s="493"/>
      <c r="M139" s="493"/>
    </row>
    <row r="140" spans="1:13" x14ac:dyDescent="0.25">
      <c r="A140" s="493"/>
      <c r="B140" s="493"/>
      <c r="C140" s="493"/>
      <c r="D140" s="493"/>
      <c r="E140" s="493"/>
      <c r="F140" s="493"/>
      <c r="G140" s="493"/>
      <c r="H140" s="493"/>
      <c r="I140" s="493"/>
      <c r="J140" s="493"/>
      <c r="K140" s="493"/>
      <c r="L140" s="493"/>
      <c r="M140" s="493"/>
    </row>
    <row r="141" spans="1:13" x14ac:dyDescent="0.25">
      <c r="A141" s="493"/>
      <c r="B141" s="493"/>
      <c r="C141" s="493"/>
      <c r="D141" s="493"/>
      <c r="E141" s="493"/>
      <c r="F141" s="493"/>
      <c r="G141" s="493"/>
      <c r="H141" s="493"/>
      <c r="I141" s="493"/>
      <c r="J141" s="493"/>
      <c r="K141" s="493"/>
      <c r="L141" s="493"/>
      <c r="M141" s="493"/>
    </row>
    <row r="142" spans="1:13" x14ac:dyDescent="0.25">
      <c r="A142" s="493"/>
      <c r="B142" s="493"/>
      <c r="C142" s="493"/>
      <c r="D142" s="493"/>
      <c r="E142" s="493"/>
      <c r="F142" s="493"/>
      <c r="G142" s="493"/>
      <c r="H142" s="493"/>
      <c r="I142" s="493"/>
      <c r="J142" s="493"/>
      <c r="K142" s="493"/>
      <c r="L142" s="493"/>
      <c r="M142" s="493"/>
    </row>
    <row r="143" spans="1:13" x14ac:dyDescent="0.25">
      <c r="A143" s="493"/>
      <c r="B143" s="493"/>
      <c r="C143" s="493"/>
      <c r="D143" s="493"/>
      <c r="E143" s="493"/>
      <c r="F143" s="493"/>
      <c r="G143" s="493"/>
      <c r="H143" s="493"/>
      <c r="I143" s="493"/>
      <c r="J143" s="493"/>
      <c r="K143" s="493"/>
      <c r="L143" s="493"/>
      <c r="M143" s="493"/>
    </row>
    <row r="144" spans="1:13" x14ac:dyDescent="0.25">
      <c r="A144" s="493"/>
      <c r="B144" s="493"/>
      <c r="C144" s="493"/>
      <c r="D144" s="493"/>
      <c r="E144" s="493"/>
      <c r="F144" s="493"/>
      <c r="G144" s="493"/>
      <c r="H144" s="493"/>
      <c r="I144" s="493"/>
      <c r="J144" s="493"/>
      <c r="K144" s="493"/>
      <c r="L144" s="493"/>
      <c r="M144" s="493"/>
    </row>
    <row r="145" spans="1:13" x14ac:dyDescent="0.25">
      <c r="A145" s="493"/>
      <c r="B145" s="493"/>
      <c r="C145" s="493"/>
      <c r="D145" s="493"/>
      <c r="E145" s="493"/>
      <c r="F145" s="493"/>
      <c r="G145" s="493"/>
      <c r="H145" s="493"/>
      <c r="I145" s="493"/>
      <c r="J145" s="493"/>
      <c r="K145" s="493"/>
      <c r="L145" s="493"/>
      <c r="M145" s="493"/>
    </row>
    <row r="146" spans="1:13" x14ac:dyDescent="0.25">
      <c r="A146" s="493"/>
      <c r="B146" s="493"/>
      <c r="C146" s="493"/>
      <c r="D146" s="493"/>
      <c r="E146" s="493"/>
      <c r="F146" s="493"/>
      <c r="G146" s="493"/>
      <c r="H146" s="493"/>
      <c r="I146" s="493"/>
      <c r="J146" s="493"/>
      <c r="K146" s="493"/>
      <c r="L146" s="493"/>
      <c r="M146" s="493"/>
    </row>
    <row r="147" spans="1:13" x14ac:dyDescent="0.25">
      <c r="A147" s="493"/>
      <c r="B147" s="493"/>
      <c r="C147" s="493"/>
      <c r="D147" s="493"/>
      <c r="E147" s="493"/>
      <c r="F147" s="493"/>
      <c r="G147" s="493"/>
      <c r="H147" s="493"/>
      <c r="I147" s="493"/>
      <c r="J147" s="493"/>
      <c r="K147" s="493"/>
      <c r="L147" s="493"/>
      <c r="M147" s="493"/>
    </row>
    <row r="148" spans="1:13" x14ac:dyDescent="0.25">
      <c r="A148" s="493"/>
      <c r="B148" s="493"/>
      <c r="C148" s="493"/>
      <c r="D148" s="493"/>
      <c r="E148" s="493"/>
      <c r="F148" s="493"/>
      <c r="G148" s="493"/>
      <c r="H148" s="493"/>
      <c r="I148" s="493"/>
      <c r="J148" s="493"/>
      <c r="K148" s="493"/>
      <c r="L148" s="493"/>
      <c r="M148" s="493"/>
    </row>
    <row r="149" spans="1:13" x14ac:dyDescent="0.25">
      <c r="A149" s="493"/>
      <c r="B149" s="493"/>
      <c r="C149" s="493"/>
      <c r="D149" s="493"/>
      <c r="E149" s="493"/>
      <c r="F149" s="493"/>
      <c r="G149" s="493"/>
      <c r="H149" s="493"/>
      <c r="I149" s="493"/>
      <c r="J149" s="493"/>
      <c r="K149" s="493"/>
      <c r="L149" s="493"/>
      <c r="M149" s="493"/>
    </row>
    <row r="150" spans="1:13" x14ac:dyDescent="0.25">
      <c r="A150" s="493"/>
      <c r="B150" s="493"/>
      <c r="C150" s="493"/>
      <c r="D150" s="493"/>
      <c r="E150" s="493"/>
      <c r="F150" s="493"/>
      <c r="G150" s="493"/>
      <c r="H150" s="493"/>
      <c r="I150" s="493"/>
      <c r="J150" s="493"/>
      <c r="K150" s="493"/>
      <c r="L150" s="493"/>
      <c r="M150" s="493"/>
    </row>
    <row r="151" spans="1:13" x14ac:dyDescent="0.25">
      <c r="A151" s="493"/>
      <c r="B151" s="493"/>
      <c r="C151" s="493"/>
      <c r="D151" s="493"/>
      <c r="E151" s="493"/>
      <c r="F151" s="493"/>
      <c r="G151" s="493"/>
      <c r="H151" s="493"/>
      <c r="I151" s="493"/>
      <c r="J151" s="493"/>
      <c r="K151" s="493"/>
      <c r="L151" s="493"/>
      <c r="M151" s="493"/>
    </row>
    <row r="152" spans="1:13" x14ac:dyDescent="0.25">
      <c r="A152" s="493"/>
      <c r="B152" s="493"/>
      <c r="C152" s="493"/>
      <c r="D152" s="493"/>
      <c r="E152" s="493"/>
      <c r="F152" s="493"/>
      <c r="G152" s="493"/>
      <c r="H152" s="493"/>
      <c r="I152" s="493"/>
      <c r="J152" s="493"/>
      <c r="K152" s="493"/>
      <c r="L152" s="493"/>
      <c r="M152" s="493"/>
    </row>
    <row r="153" spans="1:13" x14ac:dyDescent="0.25">
      <c r="A153" s="493"/>
      <c r="B153" s="493"/>
      <c r="C153" s="493"/>
      <c r="D153" s="493"/>
      <c r="E153" s="493"/>
      <c r="F153" s="493"/>
      <c r="G153" s="493"/>
      <c r="H153" s="493"/>
      <c r="I153" s="493"/>
      <c r="J153" s="493"/>
      <c r="K153" s="493"/>
      <c r="L153" s="493"/>
      <c r="M153" s="493"/>
    </row>
    <row r="154" spans="1:13" x14ac:dyDescent="0.25">
      <c r="A154" s="493"/>
      <c r="B154" s="493"/>
      <c r="C154" s="493"/>
      <c r="D154" s="493"/>
      <c r="E154" s="493"/>
      <c r="F154" s="493"/>
      <c r="G154" s="493"/>
      <c r="H154" s="493"/>
      <c r="I154" s="493"/>
      <c r="J154" s="493"/>
      <c r="K154" s="493"/>
      <c r="L154" s="493"/>
      <c r="M154" s="493"/>
    </row>
    <row r="155" spans="1:13" x14ac:dyDescent="0.25">
      <c r="A155" s="493"/>
      <c r="B155" s="493"/>
      <c r="C155" s="493"/>
      <c r="D155" s="493"/>
      <c r="E155" s="493"/>
      <c r="F155" s="493"/>
      <c r="G155" s="493"/>
      <c r="H155" s="493"/>
      <c r="I155" s="493"/>
      <c r="J155" s="493"/>
      <c r="K155" s="493"/>
      <c r="L155" s="493"/>
      <c r="M155" s="493"/>
    </row>
    <row r="156" spans="1:13" x14ac:dyDescent="0.25">
      <c r="A156" s="493"/>
      <c r="B156" s="493"/>
      <c r="C156" s="493"/>
      <c r="D156" s="493"/>
      <c r="E156" s="493"/>
      <c r="F156" s="493"/>
      <c r="G156" s="493"/>
      <c r="H156" s="493"/>
      <c r="I156" s="493"/>
      <c r="J156" s="493"/>
      <c r="K156" s="493"/>
      <c r="L156" s="493"/>
      <c r="M156" s="493"/>
    </row>
    <row r="157" spans="1:13" x14ac:dyDescent="0.25">
      <c r="A157" s="493"/>
      <c r="B157" s="493"/>
      <c r="C157" s="493"/>
      <c r="D157" s="493"/>
      <c r="E157" s="493"/>
      <c r="F157" s="493"/>
      <c r="G157" s="493"/>
      <c r="H157" s="493"/>
      <c r="I157" s="493"/>
      <c r="J157" s="493"/>
      <c r="K157" s="493"/>
      <c r="L157" s="493"/>
      <c r="M157" s="493"/>
    </row>
    <row r="158" spans="1:13" x14ac:dyDescent="0.25">
      <c r="A158" s="493"/>
      <c r="B158" s="493"/>
      <c r="C158" s="493"/>
      <c r="D158" s="493"/>
      <c r="E158" s="493"/>
      <c r="F158" s="493"/>
      <c r="G158" s="493"/>
      <c r="H158" s="493"/>
      <c r="I158" s="493"/>
      <c r="J158" s="493"/>
      <c r="K158" s="493"/>
      <c r="L158" s="493"/>
      <c r="M158" s="493"/>
    </row>
    <row r="159" spans="1:13" x14ac:dyDescent="0.25">
      <c r="A159" s="493"/>
      <c r="B159" s="493"/>
      <c r="C159" s="493"/>
      <c r="D159" s="493"/>
      <c r="E159" s="493"/>
      <c r="F159" s="493"/>
      <c r="G159" s="493"/>
      <c r="H159" s="493"/>
      <c r="I159" s="493"/>
      <c r="J159" s="493"/>
      <c r="K159" s="493"/>
      <c r="L159" s="493"/>
      <c r="M159" s="493"/>
    </row>
    <row r="160" spans="1:13" x14ac:dyDescent="0.25">
      <c r="A160" s="493"/>
      <c r="B160" s="493"/>
      <c r="C160" s="493"/>
      <c r="D160" s="493"/>
      <c r="E160" s="493"/>
      <c r="F160" s="493"/>
      <c r="G160" s="493"/>
      <c r="H160" s="493"/>
      <c r="I160" s="493"/>
      <c r="J160" s="493"/>
      <c r="K160" s="493"/>
      <c r="L160" s="493"/>
      <c r="M160" s="493"/>
    </row>
    <row r="161" spans="1:13" x14ac:dyDescent="0.25">
      <c r="A161" s="493"/>
      <c r="B161" s="493"/>
      <c r="C161" s="493"/>
      <c r="D161" s="493"/>
      <c r="E161" s="493"/>
      <c r="F161" s="493"/>
      <c r="G161" s="493"/>
      <c r="H161" s="493"/>
      <c r="I161" s="493"/>
      <c r="J161" s="493"/>
      <c r="K161" s="493"/>
      <c r="L161" s="493"/>
      <c r="M161" s="493"/>
    </row>
    <row r="162" spans="1:13" x14ac:dyDescent="0.25">
      <c r="A162" s="493"/>
      <c r="B162" s="493"/>
      <c r="C162" s="493"/>
      <c r="D162" s="493"/>
      <c r="E162" s="493"/>
      <c r="F162" s="493"/>
      <c r="G162" s="493"/>
      <c r="H162" s="493"/>
      <c r="I162" s="493"/>
      <c r="J162" s="493"/>
      <c r="K162" s="493"/>
      <c r="L162" s="493"/>
      <c r="M162" s="493"/>
    </row>
    <row r="163" spans="1:13" x14ac:dyDescent="0.25">
      <c r="A163" s="493"/>
      <c r="B163" s="493"/>
      <c r="C163" s="493"/>
      <c r="D163" s="493"/>
      <c r="E163" s="493"/>
      <c r="F163" s="493"/>
      <c r="G163" s="493"/>
      <c r="H163" s="493"/>
      <c r="I163" s="493"/>
      <c r="J163" s="493"/>
      <c r="K163" s="493"/>
      <c r="L163" s="493"/>
      <c r="M163" s="493"/>
    </row>
    <row r="164" spans="1:13" x14ac:dyDescent="0.25">
      <c r="A164" s="493"/>
      <c r="B164" s="493"/>
      <c r="C164" s="493"/>
      <c r="D164" s="493"/>
      <c r="E164" s="493"/>
      <c r="F164" s="493"/>
      <c r="G164" s="493"/>
      <c r="H164" s="493"/>
      <c r="I164" s="493"/>
      <c r="J164" s="493"/>
      <c r="K164" s="493"/>
      <c r="L164" s="493"/>
      <c r="M164" s="493"/>
    </row>
    <row r="165" spans="1:13" x14ac:dyDescent="0.25">
      <c r="A165" s="493"/>
      <c r="B165" s="493"/>
      <c r="C165" s="493"/>
      <c r="D165" s="493"/>
      <c r="E165" s="493"/>
      <c r="F165" s="493"/>
      <c r="G165" s="493"/>
      <c r="H165" s="493"/>
      <c r="I165" s="493"/>
      <c r="J165" s="493"/>
      <c r="K165" s="493"/>
      <c r="L165" s="493"/>
      <c r="M165" s="493"/>
    </row>
    <row r="166" spans="1:13" x14ac:dyDescent="0.25">
      <c r="A166" s="493"/>
      <c r="B166" s="493"/>
      <c r="C166" s="493"/>
      <c r="D166" s="493"/>
      <c r="E166" s="493"/>
      <c r="F166" s="493"/>
      <c r="G166" s="493"/>
      <c r="H166" s="493"/>
      <c r="I166" s="493"/>
      <c r="J166" s="493"/>
      <c r="K166" s="493"/>
      <c r="L166" s="493"/>
      <c r="M166" s="493"/>
    </row>
    <row r="167" spans="1:13" x14ac:dyDescent="0.25">
      <c r="A167" s="493"/>
      <c r="B167" s="493"/>
      <c r="C167" s="493"/>
      <c r="D167" s="493"/>
      <c r="E167" s="493"/>
      <c r="F167" s="493"/>
      <c r="G167" s="493"/>
      <c r="H167" s="493"/>
      <c r="I167" s="493"/>
      <c r="J167" s="493"/>
      <c r="K167" s="493"/>
      <c r="L167" s="493"/>
      <c r="M167" s="493"/>
    </row>
    <row r="168" spans="1:13" x14ac:dyDescent="0.25">
      <c r="A168" s="493"/>
      <c r="B168" s="493"/>
      <c r="C168" s="493"/>
      <c r="D168" s="493"/>
      <c r="E168" s="493"/>
      <c r="F168" s="493"/>
      <c r="G168" s="493"/>
      <c r="H168" s="493"/>
      <c r="I168" s="493"/>
      <c r="J168" s="493"/>
      <c r="K168" s="493"/>
      <c r="L168" s="493"/>
      <c r="M168" s="493"/>
    </row>
    <row r="169" spans="1:13" x14ac:dyDescent="0.25">
      <c r="A169" s="493"/>
      <c r="B169" s="493"/>
      <c r="C169" s="493"/>
      <c r="D169" s="493"/>
      <c r="E169" s="493"/>
      <c r="F169" s="493"/>
      <c r="G169" s="493"/>
      <c r="H169" s="493"/>
      <c r="I169" s="493"/>
      <c r="J169" s="493"/>
      <c r="K169" s="493"/>
      <c r="L169" s="493"/>
      <c r="M169" s="493"/>
    </row>
    <row r="170" spans="1:13" x14ac:dyDescent="0.25">
      <c r="A170" s="493"/>
      <c r="B170" s="493"/>
      <c r="C170" s="493"/>
      <c r="D170" s="493"/>
      <c r="E170" s="493"/>
      <c r="F170" s="493"/>
      <c r="G170" s="493"/>
      <c r="H170" s="493"/>
      <c r="I170" s="493"/>
      <c r="J170" s="493"/>
      <c r="K170" s="493"/>
      <c r="L170" s="493"/>
      <c r="M170" s="493"/>
    </row>
    <row r="171" spans="1:13" x14ac:dyDescent="0.25">
      <c r="A171" s="493"/>
      <c r="B171" s="493"/>
      <c r="C171" s="493"/>
      <c r="D171" s="493"/>
      <c r="E171" s="493"/>
      <c r="F171" s="493"/>
      <c r="G171" s="493"/>
      <c r="H171" s="493"/>
      <c r="I171" s="493"/>
      <c r="J171" s="493"/>
      <c r="K171" s="493"/>
      <c r="L171" s="493"/>
      <c r="M171" s="493"/>
    </row>
    <row r="172" spans="1:13" x14ac:dyDescent="0.25">
      <c r="A172" s="493"/>
      <c r="B172" s="493"/>
      <c r="C172" s="493"/>
      <c r="D172" s="493"/>
      <c r="E172" s="493"/>
      <c r="F172" s="493"/>
      <c r="G172" s="493"/>
      <c r="H172" s="493"/>
      <c r="I172" s="493"/>
      <c r="J172" s="493"/>
      <c r="K172" s="493"/>
      <c r="L172" s="493"/>
      <c r="M172" s="493"/>
    </row>
    <row r="173" spans="1:13" x14ac:dyDescent="0.25">
      <c r="A173" s="493"/>
      <c r="B173" s="493"/>
      <c r="C173" s="493"/>
      <c r="D173" s="493"/>
      <c r="E173" s="493"/>
      <c r="F173" s="493"/>
      <c r="G173" s="493"/>
      <c r="H173" s="493"/>
      <c r="I173" s="493"/>
      <c r="J173" s="493"/>
      <c r="K173" s="493"/>
      <c r="L173" s="493"/>
      <c r="M173" s="493"/>
    </row>
    <row r="174" spans="1:13" x14ac:dyDescent="0.25">
      <c r="A174" s="493"/>
      <c r="B174" s="493"/>
      <c r="C174" s="493"/>
      <c r="D174" s="493"/>
      <c r="E174" s="493"/>
      <c r="F174" s="493"/>
      <c r="G174" s="493"/>
      <c r="H174" s="493"/>
      <c r="I174" s="493"/>
      <c r="J174" s="493"/>
      <c r="K174" s="493"/>
      <c r="L174" s="493"/>
      <c r="M174" s="493"/>
    </row>
    <row r="175" spans="1:13" x14ac:dyDescent="0.25">
      <c r="A175" s="493"/>
      <c r="B175" s="493"/>
      <c r="C175" s="493"/>
      <c r="D175" s="493"/>
      <c r="E175" s="493"/>
      <c r="F175" s="493"/>
      <c r="G175" s="493"/>
      <c r="H175" s="493"/>
      <c r="I175" s="493"/>
      <c r="J175" s="493"/>
      <c r="K175" s="493"/>
      <c r="L175" s="493"/>
      <c r="M175" s="493"/>
    </row>
    <row r="176" spans="1:13" x14ac:dyDescent="0.25">
      <c r="A176" s="493"/>
      <c r="B176" s="493"/>
      <c r="C176" s="493"/>
      <c r="D176" s="493"/>
      <c r="E176" s="493"/>
      <c r="F176" s="493"/>
      <c r="G176" s="493"/>
      <c r="H176" s="493"/>
      <c r="I176" s="493"/>
      <c r="J176" s="493"/>
      <c r="K176" s="493"/>
      <c r="L176" s="493"/>
      <c r="M176" s="493"/>
    </row>
    <row r="177" spans="1:13" x14ac:dyDescent="0.25">
      <c r="A177" s="493"/>
      <c r="B177" s="493"/>
      <c r="C177" s="493"/>
      <c r="D177" s="493"/>
      <c r="E177" s="493"/>
      <c r="F177" s="493"/>
      <c r="G177" s="493"/>
      <c r="H177" s="493"/>
      <c r="I177" s="493"/>
      <c r="J177" s="493"/>
      <c r="K177" s="493"/>
      <c r="L177" s="493"/>
      <c r="M177" s="493"/>
    </row>
    <row r="178" spans="1:13" x14ac:dyDescent="0.25">
      <c r="A178" s="493"/>
      <c r="B178" s="493"/>
      <c r="C178" s="493"/>
      <c r="D178" s="493"/>
      <c r="E178" s="493"/>
      <c r="F178" s="493"/>
      <c r="G178" s="493"/>
      <c r="H178" s="493"/>
      <c r="I178" s="493"/>
      <c r="J178" s="493"/>
      <c r="K178" s="493"/>
      <c r="L178" s="493"/>
      <c r="M178" s="493"/>
    </row>
    <row r="179" spans="1:13" x14ac:dyDescent="0.25">
      <c r="A179" s="493"/>
      <c r="B179" s="493"/>
      <c r="C179" s="493"/>
      <c r="D179" s="493"/>
      <c r="E179" s="493"/>
      <c r="F179" s="493"/>
      <c r="G179" s="493"/>
      <c r="H179" s="493"/>
      <c r="I179" s="493"/>
      <c r="J179" s="493"/>
      <c r="K179" s="493"/>
      <c r="L179" s="493"/>
      <c r="M179" s="493"/>
    </row>
    <row r="180" spans="1:13" x14ac:dyDescent="0.25">
      <c r="A180" s="493"/>
      <c r="B180" s="493"/>
      <c r="C180" s="493"/>
      <c r="D180" s="493"/>
      <c r="E180" s="493"/>
      <c r="F180" s="493"/>
      <c r="G180" s="493"/>
      <c r="H180" s="493"/>
      <c r="I180" s="493"/>
      <c r="J180" s="493"/>
      <c r="K180" s="493"/>
      <c r="L180" s="493"/>
      <c r="M180" s="493"/>
    </row>
    <row r="181" spans="1:13" x14ac:dyDescent="0.25">
      <c r="A181" s="493"/>
      <c r="B181" s="493"/>
      <c r="C181" s="493"/>
      <c r="D181" s="493"/>
      <c r="E181" s="493"/>
      <c r="F181" s="493"/>
      <c r="G181" s="493"/>
      <c r="H181" s="493"/>
      <c r="I181" s="493"/>
      <c r="J181" s="493"/>
      <c r="K181" s="493"/>
      <c r="L181" s="493"/>
      <c r="M181" s="493"/>
    </row>
    <row r="182" spans="1:13" x14ac:dyDescent="0.25">
      <c r="A182" s="493"/>
      <c r="B182" s="493"/>
      <c r="C182" s="493"/>
      <c r="D182" s="493"/>
      <c r="E182" s="493"/>
      <c r="F182" s="493"/>
      <c r="G182" s="493"/>
      <c r="H182" s="493"/>
      <c r="I182" s="493"/>
      <c r="J182" s="493"/>
      <c r="K182" s="493"/>
      <c r="L182" s="493"/>
      <c r="M182" s="493"/>
    </row>
    <row r="183" spans="1:13" x14ac:dyDescent="0.25">
      <c r="A183" s="493"/>
      <c r="B183" s="493"/>
      <c r="C183" s="493"/>
      <c r="D183" s="493"/>
      <c r="E183" s="493"/>
      <c r="F183" s="493"/>
      <c r="G183" s="493"/>
      <c r="H183" s="493"/>
      <c r="I183" s="493"/>
      <c r="J183" s="493"/>
      <c r="K183" s="493"/>
      <c r="L183" s="493"/>
      <c r="M183" s="493"/>
    </row>
    <row r="184" spans="1:13" x14ac:dyDescent="0.25">
      <c r="A184" s="493"/>
      <c r="B184" s="493"/>
      <c r="C184" s="493"/>
      <c r="D184" s="493"/>
      <c r="E184" s="493"/>
      <c r="F184" s="493"/>
      <c r="G184" s="493"/>
      <c r="H184" s="493"/>
      <c r="I184" s="493"/>
      <c r="J184" s="493"/>
      <c r="K184" s="493"/>
      <c r="L184" s="493"/>
      <c r="M184" s="493"/>
    </row>
    <row r="185" spans="1:13" x14ac:dyDescent="0.25">
      <c r="A185" s="493"/>
      <c r="B185" s="493"/>
      <c r="C185" s="493"/>
      <c r="D185" s="493"/>
      <c r="E185" s="493"/>
      <c r="F185" s="493"/>
      <c r="G185" s="493"/>
      <c r="H185" s="493"/>
      <c r="I185" s="493"/>
      <c r="J185" s="493"/>
      <c r="K185" s="493"/>
      <c r="L185" s="493"/>
      <c r="M185" s="493"/>
    </row>
    <row r="186" spans="1:13" x14ac:dyDescent="0.25">
      <c r="A186" s="493"/>
      <c r="B186" s="493"/>
      <c r="C186" s="493"/>
      <c r="D186" s="493"/>
      <c r="E186" s="493"/>
      <c r="F186" s="493"/>
      <c r="G186" s="493"/>
      <c r="H186" s="493"/>
      <c r="I186" s="493"/>
      <c r="J186" s="493"/>
      <c r="K186" s="493"/>
      <c r="L186" s="493"/>
      <c r="M186" s="493"/>
    </row>
    <row r="187" spans="1:13" x14ac:dyDescent="0.25">
      <c r="A187" s="493"/>
      <c r="B187" s="493"/>
      <c r="C187" s="493"/>
      <c r="D187" s="493"/>
      <c r="E187" s="493"/>
      <c r="F187" s="493"/>
      <c r="G187" s="493"/>
      <c r="H187" s="493"/>
      <c r="I187" s="493"/>
      <c r="J187" s="493"/>
      <c r="K187" s="493"/>
      <c r="L187" s="493"/>
      <c r="M187" s="493"/>
    </row>
    <row r="188" spans="1:13" x14ac:dyDescent="0.25">
      <c r="A188" s="493"/>
      <c r="B188" s="493"/>
      <c r="C188" s="493"/>
      <c r="D188" s="493"/>
      <c r="E188" s="493"/>
      <c r="F188" s="493"/>
      <c r="G188" s="493"/>
      <c r="H188" s="493"/>
      <c r="I188" s="493"/>
      <c r="J188" s="493"/>
      <c r="K188" s="493"/>
      <c r="L188" s="493"/>
      <c r="M188" s="493"/>
    </row>
    <row r="189" spans="1:13" x14ac:dyDescent="0.25">
      <c r="A189" s="493"/>
      <c r="B189" s="493"/>
      <c r="C189" s="493"/>
      <c r="D189" s="493"/>
      <c r="E189" s="493"/>
      <c r="F189" s="493"/>
      <c r="G189" s="493"/>
      <c r="H189" s="493"/>
      <c r="I189" s="493"/>
      <c r="J189" s="493"/>
      <c r="K189" s="493"/>
      <c r="L189" s="493"/>
      <c r="M189" s="493"/>
    </row>
    <row r="190" spans="1:13" x14ac:dyDescent="0.25">
      <c r="A190" s="493"/>
      <c r="B190" s="493"/>
      <c r="C190" s="493"/>
      <c r="D190" s="493"/>
      <c r="E190" s="493"/>
      <c r="F190" s="493"/>
      <c r="G190" s="493"/>
      <c r="H190" s="493"/>
      <c r="I190" s="493"/>
      <c r="J190" s="493"/>
      <c r="K190" s="493"/>
      <c r="L190" s="493"/>
      <c r="M190" s="493"/>
    </row>
  </sheetData>
  <mergeCells count="12">
    <mergeCell ref="B5:C5"/>
    <mergeCell ref="I5:K5"/>
    <mergeCell ref="N5:O5"/>
    <mergeCell ref="S5:U5"/>
    <mergeCell ref="Y5:AA5"/>
    <mergeCell ref="A1:W1"/>
    <mergeCell ref="Y1:AB1"/>
    <mergeCell ref="A2:V2"/>
    <mergeCell ref="Y2:AB2"/>
    <mergeCell ref="B4:L4"/>
    <mergeCell ref="N4:V4"/>
    <mergeCell ref="Y4:AB4"/>
  </mergeCells>
  <pageMargins left="0.75" right="0.75" top="1" bottom="1" header="0.5" footer="0.5"/>
  <pageSetup paperSize="5" scale="79" orientation="landscape" r:id="rId1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49">
    <pageSetUpPr fitToPage="1"/>
  </sheetPr>
  <dimension ref="A1:AD189"/>
  <sheetViews>
    <sheetView zoomScaleNormal="100" workbookViewId="0">
      <selection activeCell="B8" sqref="B8"/>
    </sheetView>
  </sheetViews>
  <sheetFormatPr defaultColWidth="9.1796875" defaultRowHeight="12.5" x14ac:dyDescent="0.25"/>
  <cols>
    <col min="1" max="1" width="13" style="492" customWidth="1"/>
    <col min="2" max="2" width="7.54296875" style="492" customWidth="1"/>
    <col min="3" max="3" width="4.81640625" style="492" hidden="1" customWidth="1"/>
    <col min="4" max="4" width="8.54296875" style="492" bestFit="1" customWidth="1"/>
    <col min="5" max="5" width="11.453125" style="492" customWidth="1"/>
    <col min="6" max="6" width="11.1796875" style="492" customWidth="1"/>
    <col min="7" max="7" width="12" style="492" bestFit="1" customWidth="1"/>
    <col min="8" max="8" width="11.1796875" style="492" customWidth="1"/>
    <col min="9" max="9" width="11.54296875" style="492" hidden="1" customWidth="1"/>
    <col min="10" max="10" width="10.7265625" style="492" bestFit="1" customWidth="1"/>
    <col min="11" max="11" width="4.81640625" style="492" hidden="1" customWidth="1"/>
    <col min="12" max="12" width="12.54296875" style="492" customWidth="1"/>
    <col min="13" max="13" width="2.54296875" style="492" customWidth="1"/>
    <col min="14" max="14" width="7" style="492" customWidth="1"/>
    <col min="15" max="15" width="4.81640625" style="492" hidden="1" customWidth="1"/>
    <col min="16" max="16" width="8.54296875" style="492" bestFit="1" customWidth="1"/>
    <col min="17" max="17" width="12.453125" style="492" customWidth="1"/>
    <col min="18" max="18" width="9.81640625" style="492" bestFit="1" customWidth="1"/>
    <col min="19" max="19" width="10.7265625" style="492" hidden="1" customWidth="1"/>
    <col min="20" max="20" width="9.81640625" style="492" bestFit="1" customWidth="1"/>
    <col min="21" max="21" width="4.81640625" style="492" hidden="1" customWidth="1"/>
    <col min="22" max="22" width="10.7265625" style="492" bestFit="1" customWidth="1"/>
    <col min="23" max="23" width="2.7265625" style="492" customWidth="1"/>
    <col min="24" max="24" width="13.81640625" style="492" bestFit="1" customWidth="1"/>
    <col min="25" max="25" width="12.81640625" style="492" hidden="1" customWidth="1"/>
    <col min="26" max="26" width="11.7265625" style="492" customWidth="1"/>
    <col min="27" max="27" width="4.81640625" style="492" hidden="1" customWidth="1"/>
    <col min="28" max="28" width="10.7265625" style="492" bestFit="1" customWidth="1"/>
    <col min="29" max="29" width="11.81640625" style="492" customWidth="1"/>
    <col min="30" max="30" width="9.7265625" style="492" bestFit="1" customWidth="1"/>
    <col min="31" max="16384" width="9.1796875" style="492"/>
  </cols>
  <sheetData>
    <row r="1" spans="1:30" ht="13" x14ac:dyDescent="0.3">
      <c r="A1" s="813" t="s">
        <v>497</v>
      </c>
      <c r="B1" s="813"/>
      <c r="C1" s="813"/>
      <c r="D1" s="813"/>
      <c r="E1" s="813"/>
      <c r="F1" s="813"/>
      <c r="G1" s="813"/>
      <c r="H1" s="813"/>
      <c r="I1" s="813"/>
      <c r="J1" s="813"/>
      <c r="K1" s="813"/>
      <c r="L1" s="813"/>
      <c r="M1" s="813"/>
      <c r="N1" s="813"/>
      <c r="O1" s="813"/>
      <c r="P1" s="813"/>
      <c r="Q1" s="813"/>
      <c r="R1" s="813"/>
      <c r="S1" s="813"/>
      <c r="T1" s="813"/>
      <c r="U1" s="813"/>
      <c r="V1" s="813"/>
      <c r="W1" s="813"/>
      <c r="X1" s="491"/>
      <c r="Y1" s="823"/>
      <c r="Z1" s="823"/>
      <c r="AA1" s="823"/>
      <c r="AB1" s="823"/>
    </row>
    <row r="2" spans="1:30" ht="13" x14ac:dyDescent="0.3">
      <c r="A2" s="815">
        <f>'[100]Sales Forecast'!M6</f>
        <v>43922</v>
      </c>
      <c r="B2" s="815"/>
      <c r="C2" s="815"/>
      <c r="D2" s="815"/>
      <c r="E2" s="815"/>
      <c r="F2" s="815"/>
      <c r="G2" s="815"/>
      <c r="H2" s="815"/>
      <c r="I2" s="815"/>
      <c r="J2" s="815"/>
      <c r="K2" s="815"/>
      <c r="L2" s="815"/>
      <c r="M2" s="815"/>
      <c r="N2" s="815"/>
      <c r="O2" s="815"/>
      <c r="P2" s="815"/>
      <c r="Q2" s="815"/>
      <c r="R2" s="815"/>
      <c r="S2" s="815"/>
      <c r="T2" s="815"/>
      <c r="U2" s="815"/>
      <c r="V2" s="815"/>
      <c r="Y2" s="824"/>
      <c r="Z2" s="824"/>
      <c r="AA2" s="824"/>
      <c r="AB2" s="824"/>
    </row>
    <row r="3" spans="1:30" ht="13" thickBot="1" x14ac:dyDescent="0.3">
      <c r="A3" s="493"/>
      <c r="B3" s="493"/>
      <c r="C3" s="493"/>
      <c r="D3" s="493"/>
      <c r="E3" s="493"/>
      <c r="F3" s="493"/>
      <c r="G3" s="493"/>
      <c r="H3" s="493"/>
      <c r="I3" s="493"/>
      <c r="J3" s="493"/>
      <c r="K3" s="493"/>
      <c r="L3" s="493"/>
      <c r="M3" s="493"/>
    </row>
    <row r="4" spans="1:30" ht="13.5" thickBot="1" x14ac:dyDescent="0.35">
      <c r="A4" s="493"/>
      <c r="B4" s="825" t="s">
        <v>498</v>
      </c>
      <c r="C4" s="826"/>
      <c r="D4" s="826"/>
      <c r="E4" s="826"/>
      <c r="F4" s="826"/>
      <c r="G4" s="826"/>
      <c r="H4" s="826"/>
      <c r="I4" s="826"/>
      <c r="J4" s="826"/>
      <c r="K4" s="826"/>
      <c r="L4" s="826"/>
      <c r="M4" s="493"/>
      <c r="N4" s="825" t="s">
        <v>499</v>
      </c>
      <c r="O4" s="826"/>
      <c r="P4" s="826"/>
      <c r="Q4" s="826"/>
      <c r="R4" s="826"/>
      <c r="S4" s="826"/>
      <c r="T4" s="826"/>
      <c r="U4" s="826"/>
      <c r="V4" s="826"/>
      <c r="Y4" s="827" t="s">
        <v>500</v>
      </c>
      <c r="Z4" s="828"/>
      <c r="AA4" s="828"/>
      <c r="AB4" s="828"/>
      <c r="AC4" s="494"/>
    </row>
    <row r="5" spans="1:30" x14ac:dyDescent="0.25">
      <c r="A5" s="493"/>
      <c r="B5" s="829" t="s">
        <v>501</v>
      </c>
      <c r="C5" s="829"/>
      <c r="D5" s="495" t="s">
        <v>284</v>
      </c>
      <c r="E5" s="495" t="s">
        <v>162</v>
      </c>
      <c r="F5" s="495" t="s">
        <v>162</v>
      </c>
      <c r="G5" s="495" t="s">
        <v>283</v>
      </c>
      <c r="H5" s="495" t="s">
        <v>283</v>
      </c>
      <c r="I5" s="829" t="s">
        <v>502</v>
      </c>
      <c r="J5" s="829"/>
      <c r="K5" s="829"/>
      <c r="L5" s="496" t="s">
        <v>503</v>
      </c>
      <c r="M5" s="493"/>
      <c r="N5" s="829" t="s">
        <v>501</v>
      </c>
      <c r="O5" s="829"/>
      <c r="P5" s="495" t="str">
        <f>D5</f>
        <v>Capacity</v>
      </c>
      <c r="Q5" s="495" t="s">
        <v>260</v>
      </c>
      <c r="R5" s="495" t="s">
        <v>260</v>
      </c>
      <c r="S5" s="829" t="s">
        <v>504</v>
      </c>
      <c r="T5" s="829"/>
      <c r="U5" s="829"/>
      <c r="V5" s="496" t="s">
        <v>505</v>
      </c>
      <c r="Y5" s="830" t="s">
        <v>506</v>
      </c>
      <c r="Z5" s="830"/>
      <c r="AA5" s="830"/>
      <c r="AB5" s="496" t="s">
        <v>507</v>
      </c>
      <c r="AC5" s="497"/>
    </row>
    <row r="6" spans="1:30" x14ac:dyDescent="0.25">
      <c r="A6" s="493" t="s">
        <v>508</v>
      </c>
      <c r="B6" s="498" t="s">
        <v>368</v>
      </c>
      <c r="C6" s="498" t="s">
        <v>366</v>
      </c>
      <c r="D6" s="498" t="s">
        <v>366</v>
      </c>
      <c r="E6" s="498" t="s">
        <v>509</v>
      </c>
      <c r="F6" s="498" t="s">
        <v>135</v>
      </c>
      <c r="G6" s="498" t="s">
        <v>509</v>
      </c>
      <c r="H6" s="498" t="s">
        <v>135</v>
      </c>
      <c r="I6" s="498" t="s">
        <v>510</v>
      </c>
      <c r="J6" s="498" t="str">
        <f>D5</f>
        <v>Capacity</v>
      </c>
      <c r="K6" s="498" t="s">
        <v>162</v>
      </c>
      <c r="L6" s="498" t="s">
        <v>162</v>
      </c>
      <c r="M6" s="499"/>
      <c r="N6" s="498" t="s">
        <v>368</v>
      </c>
      <c r="O6" s="498" t="s">
        <v>366</v>
      </c>
      <c r="P6" s="498" t="s">
        <v>366</v>
      </c>
      <c r="Q6" s="498" t="s">
        <v>509</v>
      </c>
      <c r="R6" s="498" t="s">
        <v>135</v>
      </c>
      <c r="S6" s="498" t="s">
        <v>510</v>
      </c>
      <c r="T6" s="498" t="str">
        <f>J6</f>
        <v>Capacity</v>
      </c>
      <c r="U6" s="498" t="s">
        <v>162</v>
      </c>
      <c r="V6" s="498" t="s">
        <v>162</v>
      </c>
      <c r="X6" s="498" t="s">
        <v>508</v>
      </c>
      <c r="Y6" s="498" t="s">
        <v>510</v>
      </c>
      <c r="Z6" s="498" t="str">
        <f>T6</f>
        <v>Capacity</v>
      </c>
      <c r="AA6" s="498" t="s">
        <v>162</v>
      </c>
      <c r="AB6" s="498" t="s">
        <v>162</v>
      </c>
      <c r="AC6" s="498"/>
    </row>
    <row r="7" spans="1:30" x14ac:dyDescent="0.25">
      <c r="A7" s="493"/>
      <c r="B7" s="493"/>
      <c r="C7" s="493"/>
      <c r="D7" s="493"/>
      <c r="E7" s="493"/>
      <c r="F7" s="493"/>
      <c r="G7" s="493"/>
      <c r="H7" s="493"/>
      <c r="I7" s="493"/>
      <c r="J7" s="493"/>
      <c r="K7" s="493"/>
      <c r="L7" s="493"/>
      <c r="M7" s="493"/>
      <c r="N7" s="493"/>
      <c r="O7" s="493"/>
      <c r="P7" s="493"/>
      <c r="Q7" s="493"/>
      <c r="R7" s="493"/>
      <c r="S7" s="493"/>
      <c r="T7" s="493"/>
      <c r="U7" s="493"/>
      <c r="V7" s="493"/>
    </row>
    <row r="8" spans="1:30" x14ac:dyDescent="0.25">
      <c r="A8" s="500">
        <v>1</v>
      </c>
      <c r="B8" s="493">
        <f>'Forecast MAC Total'!R29</f>
        <v>1.0699999999999999E-2</v>
      </c>
      <c r="C8" s="493" t="e">
        <f>#REF!</f>
        <v>#REF!</v>
      </c>
      <c r="D8" s="508">
        <f>'Nov Price Out'!D8</f>
        <v>8.5000000000000006E-3</v>
      </c>
      <c r="E8" s="502">
        <f>'[100]Adj Sales Forecast'!M8</f>
        <v>832368879</v>
      </c>
      <c r="F8" s="493">
        <v>0</v>
      </c>
      <c r="G8" s="8">
        <f>ROUND(E8*0.88,0)</f>
        <v>732484614</v>
      </c>
      <c r="H8" s="8">
        <f>ROUND(F8*0.88,0)</f>
        <v>0</v>
      </c>
      <c r="I8" s="169" t="e">
        <f>ROUND(C8*G8,0)</f>
        <v>#REF!</v>
      </c>
      <c r="J8" s="169">
        <f>ROUND(D8*G8,0)</f>
        <v>6226119</v>
      </c>
      <c r="K8" s="169" t="e">
        <f t="shared" ref="K8:K19" si="0">I8+J8</f>
        <v>#REF!</v>
      </c>
      <c r="L8" s="169">
        <f t="shared" ref="L8:L19" si="1">ROUND(B8*G8,0)</f>
        <v>7837585</v>
      </c>
      <c r="M8" s="493"/>
      <c r="N8" s="493">
        <f>B8</f>
        <v>1.0699999999999999E-2</v>
      </c>
      <c r="O8" s="493" t="e">
        <f>#REF!</f>
        <v>#REF!</v>
      </c>
      <c r="P8" s="508">
        <f>'Nov Price Out'!P8</f>
        <v>3.0100000000000001E-3</v>
      </c>
      <c r="Q8" s="502">
        <f>E8-G8</f>
        <v>99884265</v>
      </c>
      <c r="R8" s="502">
        <f>F8-H8</f>
        <v>0</v>
      </c>
      <c r="S8" s="169" t="e">
        <f t="shared" ref="S8:S19" si="2">ROUND(O8*Q8,0)</f>
        <v>#REF!</v>
      </c>
      <c r="T8" s="169">
        <f>ROUND(P8*Q8,0)</f>
        <v>300652</v>
      </c>
      <c r="U8" s="169" t="e">
        <f t="shared" ref="U8:U19" si="3">S8+T8</f>
        <v>#REF!</v>
      </c>
      <c r="V8" s="169">
        <f t="shared" ref="V8:V19" si="4">ROUND(N8*Q8,0)</f>
        <v>1068762</v>
      </c>
      <c r="X8" s="500">
        <v>1</v>
      </c>
      <c r="Y8" s="503" t="e">
        <f t="shared" ref="Y8:Z19" si="5">I8+S8</f>
        <v>#REF!</v>
      </c>
      <c r="Z8" s="503">
        <f t="shared" si="5"/>
        <v>6526771</v>
      </c>
      <c r="AA8" s="503" t="e">
        <f t="shared" ref="AA8:AA19" si="6">Y8+Z8</f>
        <v>#REF!</v>
      </c>
      <c r="AB8" s="503">
        <f t="shared" ref="AB8:AB19" si="7">L8+V8</f>
        <v>8906347</v>
      </c>
    </row>
    <row r="9" spans="1:30" x14ac:dyDescent="0.25">
      <c r="A9" s="500" t="s">
        <v>511</v>
      </c>
      <c r="B9" s="493">
        <f>$B$8</f>
        <v>1.0699999999999999E-2</v>
      </c>
      <c r="C9" s="493" t="e">
        <f>#REF!</f>
        <v>#REF!</v>
      </c>
      <c r="D9" s="509">
        <f>'Nov Price Out'!D9</f>
        <v>3.2199999999999999E-2</v>
      </c>
      <c r="E9" s="502">
        <f>'[100]Adj Sales Forecast'!M37</f>
        <v>1803572</v>
      </c>
      <c r="F9" s="493">
        <v>0</v>
      </c>
      <c r="G9" s="8">
        <f>ROUND(E9*0.88,0)</f>
        <v>1587143</v>
      </c>
      <c r="H9" s="8">
        <f>ROUND(F9*0.88,0)</f>
        <v>0</v>
      </c>
      <c r="I9" s="169" t="e">
        <f t="shared" ref="I9:I19" si="8">ROUND(C9*G9,0)</f>
        <v>#REF!</v>
      </c>
      <c r="J9" s="169">
        <f t="shared" ref="J9:J19" si="9">ROUND(D9*G9,0)</f>
        <v>51106</v>
      </c>
      <c r="K9" s="169" t="e">
        <f t="shared" si="0"/>
        <v>#REF!</v>
      </c>
      <c r="L9" s="169">
        <f t="shared" si="1"/>
        <v>16982</v>
      </c>
      <c r="M9" s="493"/>
      <c r="N9" s="493">
        <f t="shared" ref="N9:N42" si="10">B9</f>
        <v>1.0699999999999999E-2</v>
      </c>
      <c r="O9" s="493" t="e">
        <f>#REF!</f>
        <v>#REF!</v>
      </c>
      <c r="P9" s="509">
        <f>'Nov Price Out'!P9</f>
        <v>6.6E-3</v>
      </c>
      <c r="Q9" s="502">
        <f>E9-G9</f>
        <v>216429</v>
      </c>
      <c r="R9" s="502">
        <f>F9-H9</f>
        <v>0</v>
      </c>
      <c r="S9" s="169" t="e">
        <f t="shared" si="2"/>
        <v>#REF!</v>
      </c>
      <c r="T9" s="169">
        <f t="shared" ref="T9:T19" si="11">ROUND(P9*Q9,0)</f>
        <v>1428</v>
      </c>
      <c r="U9" s="169" t="e">
        <f t="shared" si="3"/>
        <v>#REF!</v>
      </c>
      <c r="V9" s="169">
        <f t="shared" si="4"/>
        <v>2316</v>
      </c>
      <c r="X9" s="500" t="s">
        <v>511</v>
      </c>
      <c r="Y9" s="503" t="e">
        <f t="shared" si="5"/>
        <v>#REF!</v>
      </c>
      <c r="Z9" s="503">
        <f t="shared" si="5"/>
        <v>52534</v>
      </c>
      <c r="AA9" s="503" t="e">
        <f t="shared" si="6"/>
        <v>#REF!</v>
      </c>
      <c r="AB9" s="503">
        <f t="shared" si="7"/>
        <v>19298</v>
      </c>
      <c r="AD9" s="503"/>
    </row>
    <row r="10" spans="1:30" x14ac:dyDescent="0.25">
      <c r="A10" s="500" t="s">
        <v>512</v>
      </c>
      <c r="B10" s="504">
        <f>B9</f>
        <v>1.0699999999999999E-2</v>
      </c>
      <c r="C10" s="504" t="e">
        <f>#REF!</f>
        <v>#REF!</v>
      </c>
      <c r="D10" s="509">
        <f>'Nov Price Out'!D10</f>
        <v>0</v>
      </c>
      <c r="E10" s="502">
        <f>'[100]Adj Sales Forecast'!M38</f>
        <v>2827549</v>
      </c>
      <c r="F10" s="493">
        <v>0</v>
      </c>
      <c r="G10" s="8">
        <f t="shared" ref="G10:H19" si="12">ROUND(E10*0.88,0)</f>
        <v>2488243</v>
      </c>
      <c r="H10" s="8"/>
      <c r="I10" s="169" t="e">
        <f t="shared" si="8"/>
        <v>#REF!</v>
      </c>
      <c r="J10" s="169">
        <f t="shared" si="9"/>
        <v>0</v>
      </c>
      <c r="K10" s="169" t="e">
        <f t="shared" si="0"/>
        <v>#REF!</v>
      </c>
      <c r="L10" s="169">
        <f t="shared" si="1"/>
        <v>26624</v>
      </c>
      <c r="M10" s="493"/>
      <c r="N10" s="493">
        <f t="shared" si="10"/>
        <v>1.0699999999999999E-2</v>
      </c>
      <c r="O10" s="504" t="e">
        <f>#REF!</f>
        <v>#REF!</v>
      </c>
      <c r="P10" s="509">
        <f>'Nov Price Out'!P10</f>
        <v>0</v>
      </c>
      <c r="Q10" s="502">
        <f t="shared" ref="Q10:R19" si="13">E10-G10</f>
        <v>339306</v>
      </c>
      <c r="R10" s="502"/>
      <c r="S10" s="169" t="e">
        <f t="shared" si="2"/>
        <v>#REF!</v>
      </c>
      <c r="T10" s="169">
        <f t="shared" si="11"/>
        <v>0</v>
      </c>
      <c r="U10" s="169" t="e">
        <f t="shared" si="3"/>
        <v>#REF!</v>
      </c>
      <c r="V10" s="169">
        <f t="shared" si="4"/>
        <v>3631</v>
      </c>
      <c r="X10" s="500" t="s">
        <v>512</v>
      </c>
      <c r="Y10" s="503" t="e">
        <f t="shared" si="5"/>
        <v>#REF!</v>
      </c>
      <c r="Z10" s="503">
        <f t="shared" si="5"/>
        <v>0</v>
      </c>
      <c r="AA10" s="503" t="e">
        <f t="shared" si="6"/>
        <v>#REF!</v>
      </c>
      <c r="AB10" s="503">
        <f t="shared" si="7"/>
        <v>30255</v>
      </c>
    </row>
    <row r="11" spans="1:30" x14ac:dyDescent="0.25">
      <c r="A11" s="500">
        <v>2</v>
      </c>
      <c r="B11" s="504">
        <f>B9</f>
        <v>1.0699999999999999E-2</v>
      </c>
      <c r="C11" s="504" t="e">
        <f>#REF!</f>
        <v>#REF!</v>
      </c>
      <c r="D11" s="509">
        <f>'Nov Price Out'!D11</f>
        <v>1.29E-2</v>
      </c>
      <c r="E11" s="502">
        <f>'[100]Adj Sales Forecast'!M15</f>
        <v>189308400</v>
      </c>
      <c r="F11" s="493">
        <v>0</v>
      </c>
      <c r="G11" s="8">
        <f t="shared" si="12"/>
        <v>166591392</v>
      </c>
      <c r="H11" s="8">
        <f t="shared" si="12"/>
        <v>0</v>
      </c>
      <c r="I11" s="169" t="e">
        <f t="shared" si="8"/>
        <v>#REF!</v>
      </c>
      <c r="J11" s="169">
        <f t="shared" si="9"/>
        <v>2149029</v>
      </c>
      <c r="K11" s="169" t="e">
        <f t="shared" si="0"/>
        <v>#REF!</v>
      </c>
      <c r="L11" s="169">
        <f t="shared" si="1"/>
        <v>1782528</v>
      </c>
      <c r="M11" s="493"/>
      <c r="N11" s="493">
        <f t="shared" si="10"/>
        <v>1.0699999999999999E-2</v>
      </c>
      <c r="O11" s="504" t="e">
        <f>#REF!</f>
        <v>#REF!</v>
      </c>
      <c r="P11" s="509">
        <f>'Nov Price Out'!P11</f>
        <v>2.5999999999999999E-3</v>
      </c>
      <c r="Q11" s="502">
        <f t="shared" si="13"/>
        <v>22717008</v>
      </c>
      <c r="R11" s="502">
        <f t="shared" si="13"/>
        <v>0</v>
      </c>
      <c r="S11" s="169" t="e">
        <f t="shared" si="2"/>
        <v>#REF!</v>
      </c>
      <c r="T11" s="169">
        <f t="shared" si="11"/>
        <v>59064</v>
      </c>
      <c r="U11" s="169" t="e">
        <f t="shared" si="3"/>
        <v>#REF!</v>
      </c>
      <c r="V11" s="169">
        <f t="shared" si="4"/>
        <v>243072</v>
      </c>
      <c r="X11" s="500">
        <v>2</v>
      </c>
      <c r="Y11" s="503" t="e">
        <f t="shared" si="5"/>
        <v>#REF!</v>
      </c>
      <c r="Z11" s="503">
        <f t="shared" si="5"/>
        <v>2208093</v>
      </c>
      <c r="AA11" s="503" t="e">
        <f t="shared" si="6"/>
        <v>#REF!</v>
      </c>
      <c r="AB11" s="503">
        <f t="shared" si="7"/>
        <v>2025600</v>
      </c>
    </row>
    <row r="12" spans="1:30" x14ac:dyDescent="0.25">
      <c r="A12" s="500" t="s">
        <v>513</v>
      </c>
      <c r="B12" s="504">
        <f>B9</f>
        <v>1.0699999999999999E-2</v>
      </c>
      <c r="C12" s="493" t="e">
        <f>#REF!</f>
        <v>#REF!</v>
      </c>
      <c r="D12" s="509">
        <f>'Nov Price Out'!D12</f>
        <v>2.4E-2</v>
      </c>
      <c r="E12" s="502">
        <f>'[100]Adj Sales Forecast'!M40</f>
        <v>276329</v>
      </c>
      <c r="F12" s="493">
        <v>0</v>
      </c>
      <c r="G12" s="8">
        <f t="shared" si="12"/>
        <v>243170</v>
      </c>
      <c r="H12" s="8">
        <f t="shared" si="12"/>
        <v>0</v>
      </c>
      <c r="I12" s="169" t="e">
        <f t="shared" si="8"/>
        <v>#REF!</v>
      </c>
      <c r="J12" s="169">
        <f t="shared" si="9"/>
        <v>5836</v>
      </c>
      <c r="K12" s="169" t="e">
        <f t="shared" si="0"/>
        <v>#REF!</v>
      </c>
      <c r="L12" s="169">
        <f t="shared" si="1"/>
        <v>2602</v>
      </c>
      <c r="M12" s="493"/>
      <c r="N12" s="493">
        <f t="shared" si="10"/>
        <v>1.0699999999999999E-2</v>
      </c>
      <c r="O12" s="493" t="e">
        <f>#REF!</f>
        <v>#REF!</v>
      </c>
      <c r="P12" s="509">
        <f>'Nov Price Out'!P12</f>
        <v>4.8999999999999998E-3</v>
      </c>
      <c r="Q12" s="502">
        <f t="shared" si="13"/>
        <v>33159</v>
      </c>
      <c r="R12" s="502">
        <f t="shared" si="13"/>
        <v>0</v>
      </c>
      <c r="S12" s="169" t="e">
        <f t="shared" si="2"/>
        <v>#REF!</v>
      </c>
      <c r="T12" s="169">
        <f t="shared" si="11"/>
        <v>162</v>
      </c>
      <c r="U12" s="169" t="e">
        <f t="shared" si="3"/>
        <v>#REF!</v>
      </c>
      <c r="V12" s="169">
        <f t="shared" si="4"/>
        <v>355</v>
      </c>
      <c r="X12" s="500" t="s">
        <v>513</v>
      </c>
      <c r="Y12" s="503" t="e">
        <f t="shared" si="5"/>
        <v>#REF!</v>
      </c>
      <c r="Z12" s="503">
        <f t="shared" si="5"/>
        <v>5998</v>
      </c>
      <c r="AA12" s="503" t="e">
        <f t="shared" si="6"/>
        <v>#REF!</v>
      </c>
      <c r="AB12" s="503">
        <f t="shared" si="7"/>
        <v>2957</v>
      </c>
    </row>
    <row r="13" spans="1:30" x14ac:dyDescent="0.25">
      <c r="A13" s="500" t="s">
        <v>514</v>
      </c>
      <c r="B13" s="504">
        <f>B12</f>
        <v>1.0699999999999999E-2</v>
      </c>
      <c r="C13" s="504" t="e">
        <f>#REF!</f>
        <v>#REF!</v>
      </c>
      <c r="D13" s="509">
        <f>'Nov Price Out'!D13</f>
        <v>0</v>
      </c>
      <c r="E13" s="502">
        <f>'[100]Adj Sales Forecast'!M41</f>
        <v>415271</v>
      </c>
      <c r="F13" s="493">
        <v>0</v>
      </c>
      <c r="G13" s="8">
        <f t="shared" si="12"/>
        <v>365438</v>
      </c>
      <c r="H13" s="8">
        <f t="shared" si="12"/>
        <v>0</v>
      </c>
      <c r="I13" s="169" t="e">
        <f t="shared" si="8"/>
        <v>#REF!</v>
      </c>
      <c r="J13" s="169">
        <f t="shared" si="9"/>
        <v>0</v>
      </c>
      <c r="K13" s="169" t="e">
        <f t="shared" si="0"/>
        <v>#REF!</v>
      </c>
      <c r="L13" s="169">
        <f t="shared" si="1"/>
        <v>3910</v>
      </c>
      <c r="M13" s="493"/>
      <c r="N13" s="493">
        <f t="shared" si="10"/>
        <v>1.0699999999999999E-2</v>
      </c>
      <c r="O13" s="504" t="e">
        <f>#REF!</f>
        <v>#REF!</v>
      </c>
      <c r="P13" s="509">
        <f>'Nov Price Out'!P13</f>
        <v>0</v>
      </c>
      <c r="Q13" s="502">
        <f t="shared" si="13"/>
        <v>49833</v>
      </c>
      <c r="R13" s="502">
        <f t="shared" si="13"/>
        <v>0</v>
      </c>
      <c r="S13" s="169" t="e">
        <f t="shared" si="2"/>
        <v>#REF!</v>
      </c>
      <c r="T13" s="169">
        <f t="shared" si="11"/>
        <v>0</v>
      </c>
      <c r="U13" s="169" t="e">
        <f t="shared" si="3"/>
        <v>#REF!</v>
      </c>
      <c r="V13" s="169">
        <f t="shared" si="4"/>
        <v>533</v>
      </c>
      <c r="X13" s="500" t="s">
        <v>514</v>
      </c>
      <c r="Y13" s="503" t="e">
        <f t="shared" si="5"/>
        <v>#REF!</v>
      </c>
      <c r="Z13" s="503">
        <f t="shared" si="5"/>
        <v>0</v>
      </c>
      <c r="AA13" s="503" t="e">
        <f t="shared" si="6"/>
        <v>#REF!</v>
      </c>
      <c r="AB13" s="503">
        <f t="shared" si="7"/>
        <v>4443</v>
      </c>
    </row>
    <row r="14" spans="1:30" x14ac:dyDescent="0.25">
      <c r="A14" s="500">
        <v>6</v>
      </c>
      <c r="B14" s="504">
        <f>B13</f>
        <v>1.0699999999999999E-2</v>
      </c>
      <c r="C14" s="493" t="e">
        <f>#REF!</f>
        <v>#REF!</v>
      </c>
      <c r="D14" s="509">
        <f>'Nov Price Out'!D14</f>
        <v>1E-4</v>
      </c>
      <c r="E14" s="502">
        <f>'[100]Adj Sales Forecast'!M18</f>
        <v>643924</v>
      </c>
      <c r="F14" s="493">
        <v>0</v>
      </c>
      <c r="G14" s="8">
        <f t="shared" si="12"/>
        <v>566653</v>
      </c>
      <c r="H14" s="8">
        <f t="shared" si="12"/>
        <v>0</v>
      </c>
      <c r="I14" s="169" t="e">
        <f t="shared" si="8"/>
        <v>#REF!</v>
      </c>
      <c r="J14" s="169">
        <f t="shared" si="9"/>
        <v>57</v>
      </c>
      <c r="K14" s="169" t="e">
        <f t="shared" si="0"/>
        <v>#REF!</v>
      </c>
      <c r="L14" s="169">
        <f t="shared" si="1"/>
        <v>6063</v>
      </c>
      <c r="M14" s="493"/>
      <c r="N14" s="493">
        <f t="shared" si="10"/>
        <v>1.0699999999999999E-2</v>
      </c>
      <c r="O14" s="493" t="e">
        <f>#REF!</f>
        <v>#REF!</v>
      </c>
      <c r="P14" s="509">
        <f>'Nov Price Out'!P14</f>
        <v>0</v>
      </c>
      <c r="Q14" s="502">
        <f t="shared" si="13"/>
        <v>77271</v>
      </c>
      <c r="R14" s="502">
        <f t="shared" si="13"/>
        <v>0</v>
      </c>
      <c r="S14" s="169" t="e">
        <f t="shared" si="2"/>
        <v>#REF!</v>
      </c>
      <c r="T14" s="169">
        <f t="shared" si="11"/>
        <v>0</v>
      </c>
      <c r="U14" s="169" t="e">
        <f t="shared" si="3"/>
        <v>#REF!</v>
      </c>
      <c r="V14" s="169">
        <f t="shared" si="4"/>
        <v>827</v>
      </c>
      <c r="X14" s="500">
        <v>6</v>
      </c>
      <c r="Y14" s="503" t="e">
        <f t="shared" si="5"/>
        <v>#REF!</v>
      </c>
      <c r="Z14" s="503">
        <f t="shared" si="5"/>
        <v>57</v>
      </c>
      <c r="AA14" s="503" t="e">
        <f t="shared" si="6"/>
        <v>#REF!</v>
      </c>
      <c r="AB14" s="503">
        <f t="shared" si="7"/>
        <v>6890</v>
      </c>
    </row>
    <row r="15" spans="1:30" hidden="1" x14ac:dyDescent="0.25">
      <c r="A15" s="500">
        <v>7</v>
      </c>
      <c r="B15" s="493">
        <f>B8</f>
        <v>1.0699999999999999E-2</v>
      </c>
      <c r="C15" s="493" t="e">
        <f>#REF!</f>
        <v>#REF!</v>
      </c>
      <c r="D15" s="508"/>
      <c r="E15" s="502"/>
      <c r="F15" s="493"/>
      <c r="G15" s="8"/>
      <c r="H15" s="8"/>
      <c r="I15" s="169"/>
      <c r="J15" s="169"/>
      <c r="K15" s="169"/>
      <c r="L15" s="169"/>
      <c r="M15" s="493"/>
      <c r="N15" s="493">
        <f t="shared" si="10"/>
        <v>1.0699999999999999E-2</v>
      </c>
      <c r="O15" s="493" t="e">
        <f>#REF!</f>
        <v>#REF!</v>
      </c>
      <c r="P15" s="508" t="e">
        <f>'Nov Price Out'!P15</f>
        <v>#DIV/0!</v>
      </c>
      <c r="Q15" s="502">
        <f t="shared" si="13"/>
        <v>0</v>
      </c>
      <c r="R15" s="502">
        <f t="shared" si="13"/>
        <v>0</v>
      </c>
      <c r="S15" s="169" t="e">
        <f t="shared" si="2"/>
        <v>#REF!</v>
      </c>
      <c r="T15" s="169" t="e">
        <f t="shared" si="11"/>
        <v>#DIV/0!</v>
      </c>
      <c r="U15" s="169" t="e">
        <f t="shared" si="3"/>
        <v>#REF!</v>
      </c>
      <c r="V15" s="169">
        <f t="shared" si="4"/>
        <v>0</v>
      </c>
      <c r="X15" s="500">
        <v>7</v>
      </c>
      <c r="Y15" s="503" t="e">
        <f t="shared" si="5"/>
        <v>#REF!</v>
      </c>
      <c r="Z15" s="503" t="e">
        <f t="shared" si="5"/>
        <v>#DIV/0!</v>
      </c>
      <c r="AA15" s="503" t="e">
        <f t="shared" si="6"/>
        <v>#REF!</v>
      </c>
      <c r="AB15" s="503">
        <f t="shared" si="7"/>
        <v>0</v>
      </c>
    </row>
    <row r="16" spans="1:30" hidden="1" x14ac:dyDescent="0.25">
      <c r="A16" s="500" t="s">
        <v>515</v>
      </c>
      <c r="B16" s="493">
        <f>B9</f>
        <v>1.0699999999999999E-2</v>
      </c>
      <c r="C16" s="493" t="e">
        <f>#REF!</f>
        <v>#REF!</v>
      </c>
      <c r="D16" s="509"/>
      <c r="E16" s="502"/>
      <c r="F16" s="493"/>
      <c r="G16" s="8"/>
      <c r="H16" s="8"/>
      <c r="I16" s="169"/>
      <c r="J16" s="169"/>
      <c r="K16" s="169"/>
      <c r="L16" s="169"/>
      <c r="M16" s="493"/>
      <c r="N16" s="493">
        <f t="shared" si="10"/>
        <v>1.0699999999999999E-2</v>
      </c>
      <c r="O16" s="493" t="e">
        <f>#REF!</f>
        <v>#REF!</v>
      </c>
      <c r="P16" s="509" t="e">
        <f>'Nov Price Out'!P16</f>
        <v>#DIV/0!</v>
      </c>
      <c r="Q16" s="502">
        <f t="shared" si="13"/>
        <v>0</v>
      </c>
      <c r="R16" s="502">
        <f t="shared" si="13"/>
        <v>0</v>
      </c>
      <c r="S16" s="169" t="e">
        <f t="shared" si="2"/>
        <v>#REF!</v>
      </c>
      <c r="T16" s="169" t="e">
        <f t="shared" si="11"/>
        <v>#DIV/0!</v>
      </c>
      <c r="U16" s="169" t="e">
        <f t="shared" si="3"/>
        <v>#REF!</v>
      </c>
      <c r="V16" s="169">
        <f t="shared" si="4"/>
        <v>0</v>
      </c>
      <c r="X16" s="500" t="s">
        <v>515</v>
      </c>
      <c r="Y16" s="503" t="e">
        <f t="shared" si="5"/>
        <v>#REF!</v>
      </c>
      <c r="Z16" s="503" t="e">
        <f t="shared" si="5"/>
        <v>#DIV/0!</v>
      </c>
      <c r="AA16" s="503" t="e">
        <f t="shared" si="6"/>
        <v>#REF!</v>
      </c>
      <c r="AB16" s="503">
        <f t="shared" si="7"/>
        <v>0</v>
      </c>
    </row>
    <row r="17" spans="1:28" hidden="1" x14ac:dyDescent="0.25">
      <c r="A17" s="500" t="s">
        <v>516</v>
      </c>
      <c r="B17" s="493">
        <f>B9</f>
        <v>1.0699999999999999E-2</v>
      </c>
      <c r="C17" s="504" t="e">
        <f>#REF!</f>
        <v>#REF!</v>
      </c>
      <c r="D17" s="509"/>
      <c r="E17" s="502"/>
      <c r="F17" s="493"/>
      <c r="G17" s="8"/>
      <c r="H17" s="8"/>
      <c r="I17" s="169"/>
      <c r="J17" s="169"/>
      <c r="K17" s="169"/>
      <c r="L17" s="169"/>
      <c r="M17" s="493"/>
      <c r="N17" s="493">
        <f t="shared" si="10"/>
        <v>1.0699999999999999E-2</v>
      </c>
      <c r="O17" s="504" t="e">
        <f>#REF!</f>
        <v>#REF!</v>
      </c>
      <c r="P17" s="509">
        <f>'Nov Price Out'!P17</f>
        <v>0</v>
      </c>
      <c r="Q17" s="502">
        <f t="shared" si="13"/>
        <v>0</v>
      </c>
      <c r="R17" s="502">
        <f t="shared" si="13"/>
        <v>0</v>
      </c>
      <c r="S17" s="169" t="e">
        <f t="shared" si="2"/>
        <v>#REF!</v>
      </c>
      <c r="T17" s="169">
        <f t="shared" si="11"/>
        <v>0</v>
      </c>
      <c r="U17" s="169" t="e">
        <f t="shared" si="3"/>
        <v>#REF!</v>
      </c>
      <c r="V17" s="169">
        <f t="shared" si="4"/>
        <v>0</v>
      </c>
      <c r="X17" s="500" t="s">
        <v>516</v>
      </c>
      <c r="Y17" s="503" t="e">
        <f t="shared" si="5"/>
        <v>#REF!</v>
      </c>
      <c r="Z17" s="503">
        <f t="shared" si="5"/>
        <v>0</v>
      </c>
      <c r="AA17" s="503" t="e">
        <f t="shared" si="6"/>
        <v>#REF!</v>
      </c>
      <c r="AB17" s="503">
        <f t="shared" si="7"/>
        <v>0</v>
      </c>
    </row>
    <row r="18" spans="1:28" x14ac:dyDescent="0.25">
      <c r="A18" s="500" t="s">
        <v>56</v>
      </c>
      <c r="B18" s="493">
        <f>B9</f>
        <v>1.0699999999999999E-2</v>
      </c>
      <c r="C18" s="493" t="e">
        <f>#REF!</f>
        <v>#REF!</v>
      </c>
      <c r="D18" s="509">
        <f>'Nov Price Out'!D18</f>
        <v>0</v>
      </c>
      <c r="E18" s="502">
        <f>'[100]Adj Sales Forecast'!M26</f>
        <v>588747</v>
      </c>
      <c r="F18" s="493">
        <v>0</v>
      </c>
      <c r="G18" s="8">
        <f t="shared" si="12"/>
        <v>518097</v>
      </c>
      <c r="H18" s="8">
        <f t="shared" si="12"/>
        <v>0</v>
      </c>
      <c r="I18" s="169" t="e">
        <f t="shared" si="8"/>
        <v>#REF!</v>
      </c>
      <c r="J18" s="169">
        <f t="shared" si="9"/>
        <v>0</v>
      </c>
      <c r="K18" s="169" t="e">
        <f t="shared" si="0"/>
        <v>#REF!</v>
      </c>
      <c r="L18" s="169">
        <f t="shared" si="1"/>
        <v>5544</v>
      </c>
      <c r="M18" s="493"/>
      <c r="N18" s="493">
        <f t="shared" si="10"/>
        <v>1.0699999999999999E-2</v>
      </c>
      <c r="O18" s="493" t="e">
        <f>#REF!</f>
        <v>#REF!</v>
      </c>
      <c r="P18" s="509">
        <f>'Nov Price Out'!P18</f>
        <v>0</v>
      </c>
      <c r="Q18" s="502">
        <f t="shared" si="13"/>
        <v>70650</v>
      </c>
      <c r="R18" s="502">
        <f t="shared" si="13"/>
        <v>0</v>
      </c>
      <c r="S18" s="169" t="e">
        <f t="shared" si="2"/>
        <v>#REF!</v>
      </c>
      <c r="T18" s="169">
        <f t="shared" si="11"/>
        <v>0</v>
      </c>
      <c r="U18" s="169" t="e">
        <f t="shared" si="3"/>
        <v>#REF!</v>
      </c>
      <c r="V18" s="169">
        <f t="shared" si="4"/>
        <v>756</v>
      </c>
      <c r="X18" s="500" t="s">
        <v>56</v>
      </c>
      <c r="Y18" s="503" t="e">
        <f t="shared" si="5"/>
        <v>#REF!</v>
      </c>
      <c r="Z18" s="503">
        <f t="shared" si="5"/>
        <v>0</v>
      </c>
      <c r="AA18" s="503" t="e">
        <f t="shared" si="6"/>
        <v>#REF!</v>
      </c>
      <c r="AB18" s="503">
        <f t="shared" si="7"/>
        <v>6300</v>
      </c>
    </row>
    <row r="19" spans="1:28" x14ac:dyDescent="0.25">
      <c r="A19" s="500" t="s">
        <v>517</v>
      </c>
      <c r="B19" s="493">
        <f>B9</f>
        <v>1.0699999999999999E-2</v>
      </c>
      <c r="C19" s="493" t="e">
        <f>#REF!</f>
        <v>#REF!</v>
      </c>
      <c r="D19" s="509">
        <f>'Nov Price Out'!D19</f>
        <v>3.8999999999999998E-3</v>
      </c>
      <c r="E19" s="502">
        <f>'[100]Adj Sales Forecast'!M31</f>
        <v>110576</v>
      </c>
      <c r="F19" s="493">
        <v>0</v>
      </c>
      <c r="G19" s="8">
        <f t="shared" si="12"/>
        <v>97307</v>
      </c>
      <c r="H19" s="8">
        <f t="shared" si="12"/>
        <v>0</v>
      </c>
      <c r="I19" s="169" t="e">
        <f t="shared" si="8"/>
        <v>#REF!</v>
      </c>
      <c r="J19" s="169">
        <f t="shared" si="9"/>
        <v>379</v>
      </c>
      <c r="K19" s="169" t="e">
        <f t="shared" si="0"/>
        <v>#REF!</v>
      </c>
      <c r="L19" s="169">
        <f t="shared" si="1"/>
        <v>1041</v>
      </c>
      <c r="M19" s="493"/>
      <c r="N19" s="493">
        <f t="shared" si="10"/>
        <v>1.0699999999999999E-2</v>
      </c>
      <c r="O19" s="493" t="e">
        <f>#REF!</f>
        <v>#REF!</v>
      </c>
      <c r="P19" s="509">
        <f>'Nov Price Out'!P19</f>
        <v>8.0000000000000004E-4</v>
      </c>
      <c r="Q19" s="502">
        <f t="shared" si="13"/>
        <v>13269</v>
      </c>
      <c r="R19" s="502">
        <f t="shared" si="13"/>
        <v>0</v>
      </c>
      <c r="S19" s="169" t="e">
        <f t="shared" si="2"/>
        <v>#REF!</v>
      </c>
      <c r="T19" s="169">
        <f t="shared" si="11"/>
        <v>11</v>
      </c>
      <c r="U19" s="169" t="e">
        <f t="shared" si="3"/>
        <v>#REF!</v>
      </c>
      <c r="V19" s="169">
        <f t="shared" si="4"/>
        <v>142</v>
      </c>
      <c r="X19" s="500" t="s">
        <v>517</v>
      </c>
      <c r="Y19" s="503" t="e">
        <f t="shared" si="5"/>
        <v>#REF!</v>
      </c>
      <c r="Z19" s="503">
        <f t="shared" si="5"/>
        <v>390</v>
      </c>
      <c r="AA19" s="503" t="e">
        <f t="shared" si="6"/>
        <v>#REF!</v>
      </c>
      <c r="AB19" s="503">
        <f t="shared" si="7"/>
        <v>1183</v>
      </c>
    </row>
    <row r="20" spans="1:28" x14ac:dyDescent="0.25">
      <c r="A20" s="493"/>
      <c r="B20" s="493"/>
      <c r="C20" s="493"/>
      <c r="D20" s="493"/>
      <c r="E20" s="493"/>
      <c r="F20" s="493"/>
      <c r="G20" s="493"/>
      <c r="H20" s="493"/>
      <c r="I20" s="493"/>
      <c r="J20" s="493"/>
      <c r="K20" s="493"/>
      <c r="L20" s="493"/>
      <c r="M20" s="493"/>
      <c r="N20" s="493"/>
      <c r="O20" s="493"/>
      <c r="P20" s="493"/>
      <c r="Q20" s="493"/>
      <c r="R20" s="493"/>
      <c r="S20" s="493"/>
      <c r="T20" s="493"/>
      <c r="U20" s="493"/>
      <c r="V20" s="493"/>
      <c r="X20" s="493"/>
      <c r="Y20" s="503"/>
      <c r="Z20" s="503"/>
      <c r="AA20" s="503"/>
      <c r="AB20" s="503"/>
    </row>
    <row r="21" spans="1:28" x14ac:dyDescent="0.25">
      <c r="A21" s="493" t="s">
        <v>518</v>
      </c>
      <c r="B21" s="493">
        <f>B9</f>
        <v>1.0699999999999999E-2</v>
      </c>
      <c r="C21" s="493" t="e">
        <f>#REF!</f>
        <v>#REF!</v>
      </c>
      <c r="D21" s="505">
        <f>'Nov Price Out'!D21</f>
        <v>2.93</v>
      </c>
      <c r="E21" s="502">
        <f>'[100]Adj Sales Forecast'!M16</f>
        <v>75097</v>
      </c>
      <c r="F21" s="8">
        <f>'[100]Adj Demand Forecast '!M6</f>
        <v>206</v>
      </c>
      <c r="G21" s="8">
        <f t="shared" ref="G21:H24" si="14">ROUND(E21*0.88,0)</f>
        <v>66085</v>
      </c>
      <c r="H21" s="8">
        <f t="shared" si="14"/>
        <v>181</v>
      </c>
      <c r="I21" s="169" t="e">
        <f t="shared" ref="I21:J24" si="15">ROUND(C21*G21,0)</f>
        <v>#REF!</v>
      </c>
      <c r="J21" s="169">
        <f t="shared" si="15"/>
        <v>530</v>
      </c>
      <c r="K21" s="169" t="e">
        <f>I21+J21</f>
        <v>#REF!</v>
      </c>
      <c r="L21" s="169">
        <f>ROUND(B21*G21,0)</f>
        <v>707</v>
      </c>
      <c r="M21" s="493"/>
      <c r="N21" s="493">
        <f t="shared" si="10"/>
        <v>1.0699999999999999E-2</v>
      </c>
      <c r="O21" s="493" t="e">
        <f>#REF!</f>
        <v>#REF!</v>
      </c>
      <c r="P21" s="505">
        <f>'Nov Price Out'!P21</f>
        <v>0.6</v>
      </c>
      <c r="Q21" s="502">
        <f t="shared" ref="Q21:R24" si="16">E21-G21</f>
        <v>9012</v>
      </c>
      <c r="R21" s="502">
        <f t="shared" si="16"/>
        <v>25</v>
      </c>
      <c r="S21" s="169" t="e">
        <f t="shared" ref="S21:T24" si="17">ROUND(O21*Q21,0)</f>
        <v>#REF!</v>
      </c>
      <c r="T21" s="169">
        <f t="shared" si="17"/>
        <v>15</v>
      </c>
      <c r="U21" s="169" t="e">
        <f>S21+T21</f>
        <v>#REF!</v>
      </c>
      <c r="V21" s="169">
        <f>ROUND(N21*Q21,0)</f>
        <v>96</v>
      </c>
      <c r="X21" s="493" t="s">
        <v>518</v>
      </c>
      <c r="Y21" s="503" t="e">
        <f t="shared" ref="Y21:Z24" si="18">I21+S21</f>
        <v>#REF!</v>
      </c>
      <c r="Z21" s="503">
        <f t="shared" si="18"/>
        <v>545</v>
      </c>
      <c r="AA21" s="503" t="e">
        <f>Y21+Z21</f>
        <v>#REF!</v>
      </c>
      <c r="AB21" s="503">
        <f>L21+V21</f>
        <v>803</v>
      </c>
    </row>
    <row r="22" spans="1:28" x14ac:dyDescent="0.25">
      <c r="A22" s="493" t="s">
        <v>303</v>
      </c>
      <c r="B22" s="493">
        <f>B9</f>
        <v>1.0699999999999999E-2</v>
      </c>
      <c r="C22" s="493" t="e">
        <f>#REF!</f>
        <v>#REF!</v>
      </c>
      <c r="D22" s="505">
        <f>'Nov Price Out'!D22</f>
        <v>5.14</v>
      </c>
      <c r="E22" s="502">
        <f>'[100]Adj Sales Forecast'!M22</f>
        <v>97000000</v>
      </c>
      <c r="F22" s="8">
        <f>'[100]Adj Demand Forecast '!M8</f>
        <v>204040</v>
      </c>
      <c r="G22" s="8">
        <f t="shared" si="14"/>
        <v>85360000</v>
      </c>
      <c r="H22" s="8">
        <f t="shared" si="14"/>
        <v>179555</v>
      </c>
      <c r="I22" s="169" t="e">
        <f t="shared" si="15"/>
        <v>#REF!</v>
      </c>
      <c r="J22" s="169">
        <f t="shared" si="15"/>
        <v>922913</v>
      </c>
      <c r="K22" s="169" t="e">
        <f>I22+J22</f>
        <v>#REF!</v>
      </c>
      <c r="L22" s="169">
        <f>ROUND(B22*G22,0)</f>
        <v>913352</v>
      </c>
      <c r="M22" s="493"/>
      <c r="N22" s="493">
        <f t="shared" si="10"/>
        <v>1.0699999999999999E-2</v>
      </c>
      <c r="O22" s="493" t="e">
        <f>#REF!</f>
        <v>#REF!</v>
      </c>
      <c r="P22" s="505">
        <f>'Nov Price Out'!P22</f>
        <v>1.05</v>
      </c>
      <c r="Q22" s="502">
        <f t="shared" si="16"/>
        <v>11640000</v>
      </c>
      <c r="R22" s="502">
        <f t="shared" si="16"/>
        <v>24485</v>
      </c>
      <c r="S22" s="169" t="e">
        <f t="shared" si="17"/>
        <v>#REF!</v>
      </c>
      <c r="T22" s="169">
        <f t="shared" si="17"/>
        <v>25709</v>
      </c>
      <c r="U22" s="169" t="e">
        <f>S22+T22</f>
        <v>#REF!</v>
      </c>
      <c r="V22" s="169">
        <f>ROUND(N22*Q22,0)</f>
        <v>124548</v>
      </c>
      <c r="X22" s="493" t="s">
        <v>303</v>
      </c>
      <c r="Y22" s="503" t="e">
        <f t="shared" si="18"/>
        <v>#REF!</v>
      </c>
      <c r="Z22" s="503">
        <f t="shared" si="18"/>
        <v>948622</v>
      </c>
      <c r="AA22" s="503" t="e">
        <f>Y22+Z22</f>
        <v>#REF!</v>
      </c>
      <c r="AB22" s="503">
        <f>L22+V22</f>
        <v>1037900</v>
      </c>
    </row>
    <row r="23" spans="1:28" x14ac:dyDescent="0.25">
      <c r="A23" s="493" t="s">
        <v>305</v>
      </c>
      <c r="B23" s="493">
        <f>B9</f>
        <v>1.0699999999999999E-2</v>
      </c>
      <c r="C23" s="493" t="e">
        <f>#REF!</f>
        <v>#REF!</v>
      </c>
      <c r="D23" s="505">
        <f>'Nov Price Out'!D23</f>
        <v>3.45</v>
      </c>
      <c r="E23" s="502">
        <f>'[100]Adj Sales Forecast'!M27</f>
        <v>1328411253</v>
      </c>
      <c r="F23" s="8">
        <f>'[100]Adj Demand Forecast '!M14</f>
        <v>3747516.1999999997</v>
      </c>
      <c r="G23" s="8">
        <f t="shared" si="14"/>
        <v>1169001903</v>
      </c>
      <c r="H23" s="8">
        <f t="shared" si="14"/>
        <v>3297814</v>
      </c>
      <c r="I23" s="169" t="e">
        <f t="shared" si="15"/>
        <v>#REF!</v>
      </c>
      <c r="J23" s="169">
        <f t="shared" si="15"/>
        <v>11377458</v>
      </c>
      <c r="K23" s="169" t="e">
        <f>I23+J23</f>
        <v>#REF!</v>
      </c>
      <c r="L23" s="169">
        <f>ROUND(B23*G23,0)</f>
        <v>12508320</v>
      </c>
      <c r="M23" s="493"/>
      <c r="N23" s="493">
        <f t="shared" si="10"/>
        <v>1.0699999999999999E-2</v>
      </c>
      <c r="O23" s="493" t="e">
        <f>#REF!</f>
        <v>#REF!</v>
      </c>
      <c r="P23" s="505">
        <f>'Nov Price Out'!P23</f>
        <v>0.7</v>
      </c>
      <c r="Q23" s="502">
        <f t="shared" si="16"/>
        <v>159409350</v>
      </c>
      <c r="R23" s="502">
        <f t="shared" si="16"/>
        <v>449702.19999999972</v>
      </c>
      <c r="S23" s="169" t="e">
        <f t="shared" si="17"/>
        <v>#REF!</v>
      </c>
      <c r="T23" s="169">
        <f t="shared" si="17"/>
        <v>314792</v>
      </c>
      <c r="U23" s="169" t="e">
        <f>S23+T23</f>
        <v>#REF!</v>
      </c>
      <c r="V23" s="169">
        <f>ROUND(N23*Q23,0)</f>
        <v>1705680</v>
      </c>
      <c r="X23" s="493" t="s">
        <v>305</v>
      </c>
      <c r="Y23" s="503" t="e">
        <f t="shared" si="18"/>
        <v>#REF!</v>
      </c>
      <c r="Z23" s="503">
        <f t="shared" si="18"/>
        <v>11692250</v>
      </c>
      <c r="AA23" s="503" t="e">
        <f>Y23+Z23</f>
        <v>#REF!</v>
      </c>
      <c r="AB23" s="503">
        <f>L23+V23</f>
        <v>14214000</v>
      </c>
    </row>
    <row r="24" spans="1:28" x14ac:dyDescent="0.25">
      <c r="A24" s="493" t="s">
        <v>310</v>
      </c>
      <c r="B24" s="493">
        <f>B9</f>
        <v>1.0699999999999999E-2</v>
      </c>
      <c r="C24" s="493" t="e">
        <f>#REF!</f>
        <v>#REF!</v>
      </c>
      <c r="D24" s="505">
        <f>'Nov Price Out'!D24</f>
        <v>1.75</v>
      </c>
      <c r="E24" s="502">
        <f>'[100]Adj Sales Forecast'!M32</f>
        <v>15889424</v>
      </c>
      <c r="F24" s="8">
        <f>'[100]Adj Demand Forecast '!M20</f>
        <v>36000</v>
      </c>
      <c r="G24" s="8">
        <f t="shared" si="14"/>
        <v>13982693</v>
      </c>
      <c r="H24" s="8">
        <f t="shared" si="14"/>
        <v>31680</v>
      </c>
      <c r="I24" s="169" t="e">
        <f t="shared" si="15"/>
        <v>#REF!</v>
      </c>
      <c r="J24" s="169">
        <f t="shared" si="15"/>
        <v>55440</v>
      </c>
      <c r="K24" s="169" t="e">
        <f>I24+J24</f>
        <v>#REF!</v>
      </c>
      <c r="L24" s="169">
        <f>ROUND(B24*G24,0)</f>
        <v>149615</v>
      </c>
      <c r="M24" s="493"/>
      <c r="N24" s="493">
        <f t="shared" si="10"/>
        <v>1.0699999999999999E-2</v>
      </c>
      <c r="O24" s="493" t="e">
        <f>#REF!</f>
        <v>#REF!</v>
      </c>
      <c r="P24" s="505">
        <f>'Nov Price Out'!P24</f>
        <v>0.36</v>
      </c>
      <c r="Q24" s="502">
        <f t="shared" si="16"/>
        <v>1906731</v>
      </c>
      <c r="R24" s="502">
        <f t="shared" si="16"/>
        <v>4320</v>
      </c>
      <c r="S24" s="169" t="e">
        <f t="shared" si="17"/>
        <v>#REF!</v>
      </c>
      <c r="T24" s="169">
        <f t="shared" si="17"/>
        <v>1555</v>
      </c>
      <c r="U24" s="169" t="e">
        <f>S24+T24</f>
        <v>#REF!</v>
      </c>
      <c r="V24" s="169">
        <f>ROUND(N24*Q24,0)</f>
        <v>20402</v>
      </c>
      <c r="X24" s="493" t="s">
        <v>310</v>
      </c>
      <c r="Y24" s="503" t="e">
        <f t="shared" si="18"/>
        <v>#REF!</v>
      </c>
      <c r="Z24" s="503">
        <f t="shared" si="18"/>
        <v>56995</v>
      </c>
      <c r="AA24" s="503" t="e">
        <f>Y24+Z24</f>
        <v>#REF!</v>
      </c>
      <c r="AB24" s="503">
        <f>L24+V24</f>
        <v>170017</v>
      </c>
    </row>
    <row r="25" spans="1:28" x14ac:dyDescent="0.25">
      <c r="A25" s="493"/>
      <c r="B25" s="493"/>
      <c r="C25" s="493"/>
      <c r="D25" s="493"/>
      <c r="E25" s="493"/>
      <c r="F25" s="8"/>
      <c r="G25" s="8"/>
      <c r="H25" s="8"/>
      <c r="I25" s="493"/>
      <c r="J25" s="493"/>
      <c r="K25" s="493"/>
      <c r="L25" s="493"/>
      <c r="M25" s="493"/>
      <c r="N25" s="493"/>
      <c r="O25" s="493"/>
      <c r="P25" s="493"/>
      <c r="Q25" s="493"/>
      <c r="R25" s="8"/>
      <c r="S25" s="169"/>
      <c r="T25" s="169"/>
      <c r="U25" s="169"/>
      <c r="V25" s="169"/>
      <c r="X25" s="493"/>
      <c r="Y25" s="503"/>
      <c r="Z25" s="503"/>
      <c r="AA25" s="503"/>
      <c r="AB25" s="503"/>
    </row>
    <row r="26" spans="1:28" x14ac:dyDescent="0.25">
      <c r="A26" s="493" t="s">
        <v>519</v>
      </c>
      <c r="B26" s="504">
        <f>$B$8</f>
        <v>1.0699999999999999E-2</v>
      </c>
      <c r="C26" s="504" t="e">
        <f>#REF!</f>
        <v>#REF!</v>
      </c>
      <c r="D26" s="505">
        <f>'Nov Price Out'!D26</f>
        <v>5.22</v>
      </c>
      <c r="E26" s="8">
        <f>'[100]Forecasted TOD kWh by Period'!M54</f>
        <v>4862000</v>
      </c>
      <c r="F26" s="8">
        <f>'[100]Forecasted TOD kW by Period'!F26</f>
        <v>20733</v>
      </c>
      <c r="G26" s="8">
        <f t="shared" ref="G26:G31" si="19">ROUND(E26*0.88,0)</f>
        <v>4278560</v>
      </c>
      <c r="H26" s="8">
        <f>ROUND(F26*0.88,0)</f>
        <v>18245</v>
      </c>
      <c r="I26" s="169" t="e">
        <f t="shared" ref="I26:J31" si="20">ROUND(C26*G26,0)</f>
        <v>#REF!</v>
      </c>
      <c r="J26" s="169">
        <f t="shared" si="20"/>
        <v>95239</v>
      </c>
      <c r="K26" s="169" t="e">
        <f>I26+J26</f>
        <v>#REF!</v>
      </c>
      <c r="L26" s="169">
        <f>ROUND(B26*G26,0)</f>
        <v>45781</v>
      </c>
      <c r="M26" s="493"/>
      <c r="N26" s="493">
        <f t="shared" si="10"/>
        <v>1.0699999999999999E-2</v>
      </c>
      <c r="O26" s="504" t="e">
        <f>#REF!</f>
        <v>#REF!</v>
      </c>
      <c r="P26" s="505">
        <f>'Nov Price Out'!P26</f>
        <v>1.07</v>
      </c>
      <c r="Q26" s="502">
        <f>E26-G26</f>
        <v>583440</v>
      </c>
      <c r="R26" s="502">
        <f>F26-H26</f>
        <v>2488</v>
      </c>
      <c r="S26" s="169" t="e">
        <f t="shared" ref="S26:T31" si="21">ROUND(O26*Q26,0)</f>
        <v>#REF!</v>
      </c>
      <c r="T26" s="169">
        <f t="shared" si="21"/>
        <v>2662</v>
      </c>
      <c r="U26" s="169" t="e">
        <f t="shared" ref="U26:U31" si="22">S26+T26</f>
        <v>#REF!</v>
      </c>
      <c r="V26" s="169">
        <f t="shared" ref="V26:V31" si="23">ROUND(N26*Q26,0)</f>
        <v>6243</v>
      </c>
      <c r="X26" s="493" t="s">
        <v>519</v>
      </c>
      <c r="Y26" s="503" t="e">
        <f t="shared" ref="Y26:Z31" si="24">I26+S26</f>
        <v>#REF!</v>
      </c>
      <c r="Z26" s="503">
        <f t="shared" si="24"/>
        <v>97901</v>
      </c>
      <c r="AA26" s="503" t="e">
        <f t="shared" ref="AA26:AA31" si="25">Y26+Z26</f>
        <v>#REF!</v>
      </c>
      <c r="AB26" s="503">
        <f t="shared" ref="AB26:AB31" si="26">L26+V26</f>
        <v>52024</v>
      </c>
    </row>
    <row r="27" spans="1:28" x14ac:dyDescent="0.25">
      <c r="A27" s="493" t="s">
        <v>520</v>
      </c>
      <c r="B27" s="504">
        <f t="shared" ref="B27:B42" si="27">$B$8</f>
        <v>1.0699999999999999E-2</v>
      </c>
      <c r="C27" s="504" t="e">
        <f>#REF!</f>
        <v>#REF!</v>
      </c>
      <c r="D27" s="493">
        <f>'Nov Price Out'!D27</f>
        <v>0</v>
      </c>
      <c r="E27" s="8">
        <f>'[100]Forecasted TOD kWh by Period'!M55</f>
        <v>6138000</v>
      </c>
      <c r="F27" s="8"/>
      <c r="G27" s="8">
        <f t="shared" si="19"/>
        <v>5401440</v>
      </c>
      <c r="H27" s="8"/>
      <c r="I27" s="169" t="e">
        <f t="shared" si="20"/>
        <v>#REF!</v>
      </c>
      <c r="J27" s="169">
        <f t="shared" si="20"/>
        <v>0</v>
      </c>
      <c r="K27" s="169" t="e">
        <f>I27+J27</f>
        <v>#REF!</v>
      </c>
      <c r="L27" s="169">
        <f>ROUND(B27*G27,0)</f>
        <v>57795</v>
      </c>
      <c r="M27" s="493"/>
      <c r="N27" s="493">
        <f t="shared" si="10"/>
        <v>1.0699999999999999E-2</v>
      </c>
      <c r="O27" s="504" t="e">
        <f>#REF!</f>
        <v>#REF!</v>
      </c>
      <c r="P27" s="493">
        <f>'Nov Price Out'!P27</f>
        <v>0</v>
      </c>
      <c r="Q27" s="502">
        <f>E27-G27</f>
        <v>736560</v>
      </c>
      <c r="R27" s="502"/>
      <c r="S27" s="169" t="e">
        <f t="shared" si="21"/>
        <v>#REF!</v>
      </c>
      <c r="T27" s="169">
        <f t="shared" si="21"/>
        <v>0</v>
      </c>
      <c r="U27" s="169" t="e">
        <f t="shared" si="22"/>
        <v>#REF!</v>
      </c>
      <c r="V27" s="169">
        <f t="shared" si="23"/>
        <v>7881</v>
      </c>
      <c r="X27" s="493" t="s">
        <v>520</v>
      </c>
      <c r="Y27" s="503" t="e">
        <f t="shared" si="24"/>
        <v>#REF!</v>
      </c>
      <c r="Z27" s="503">
        <f t="shared" si="24"/>
        <v>0</v>
      </c>
      <c r="AA27" s="503" t="e">
        <f t="shared" si="25"/>
        <v>#REF!</v>
      </c>
      <c r="AB27" s="503">
        <f t="shared" si="26"/>
        <v>65676</v>
      </c>
    </row>
    <row r="28" spans="1:28" x14ac:dyDescent="0.25">
      <c r="A28" s="493" t="s">
        <v>521</v>
      </c>
      <c r="B28" s="504">
        <f t="shared" si="27"/>
        <v>1.0699999999999999E-2</v>
      </c>
      <c r="C28" s="504" t="e">
        <f>#REF!</f>
        <v>#REF!</v>
      </c>
      <c r="D28" s="505">
        <f>'Nov Price Out'!D28</f>
        <v>3.49</v>
      </c>
      <c r="E28" s="502">
        <f>'[100]Forecasted TOD kWh by Period'!M58</f>
        <v>51393500</v>
      </c>
      <c r="F28" s="8">
        <f>'[100]Forecasted TOD kW by Period'!F30</f>
        <v>196317</v>
      </c>
      <c r="G28" s="8">
        <f t="shared" si="19"/>
        <v>45226280</v>
      </c>
      <c r="H28" s="8">
        <f>ROUND(F28*0.88,0)</f>
        <v>172759</v>
      </c>
      <c r="I28" s="169" t="e">
        <f t="shared" si="20"/>
        <v>#REF!</v>
      </c>
      <c r="J28" s="169">
        <f t="shared" si="20"/>
        <v>602929</v>
      </c>
      <c r="K28" s="169" t="e">
        <f>I28+J28</f>
        <v>#REF!</v>
      </c>
      <c r="L28" s="169">
        <f>ROUND(B28*G28,0)</f>
        <v>483921</v>
      </c>
      <c r="M28" s="493"/>
      <c r="N28" s="493">
        <f t="shared" si="10"/>
        <v>1.0699999999999999E-2</v>
      </c>
      <c r="O28" s="504" t="e">
        <f>#REF!</f>
        <v>#REF!</v>
      </c>
      <c r="P28" s="505">
        <f>'Nov Price Out'!P28</f>
        <v>0.71</v>
      </c>
      <c r="Q28" s="502">
        <f>E28-G28</f>
        <v>6167220</v>
      </c>
      <c r="R28" s="502">
        <f>F28-H28</f>
        <v>23558</v>
      </c>
      <c r="S28" s="169" t="e">
        <f t="shared" si="21"/>
        <v>#REF!</v>
      </c>
      <c r="T28" s="169">
        <f t="shared" si="21"/>
        <v>16726</v>
      </c>
      <c r="U28" s="169" t="e">
        <f t="shared" si="22"/>
        <v>#REF!</v>
      </c>
      <c r="V28" s="169">
        <f t="shared" si="23"/>
        <v>65989</v>
      </c>
      <c r="X28" s="493" t="s">
        <v>521</v>
      </c>
      <c r="Y28" s="503" t="e">
        <f t="shared" si="24"/>
        <v>#REF!</v>
      </c>
      <c r="Z28" s="503">
        <f t="shared" si="24"/>
        <v>619655</v>
      </c>
      <c r="AA28" s="503" t="e">
        <f t="shared" si="25"/>
        <v>#REF!</v>
      </c>
      <c r="AB28" s="503">
        <f t="shared" si="26"/>
        <v>549910</v>
      </c>
    </row>
    <row r="29" spans="1:28" x14ac:dyDescent="0.25">
      <c r="A29" s="493" t="s">
        <v>522</v>
      </c>
      <c r="B29" s="504">
        <f t="shared" si="27"/>
        <v>1.0699999999999999E-2</v>
      </c>
      <c r="C29" s="504" t="e">
        <f>#REF!</f>
        <v>#REF!</v>
      </c>
      <c r="D29" s="493">
        <f>'Nov Price Out'!D29</f>
        <v>0</v>
      </c>
      <c r="E29" s="502">
        <f>'[100]Forecasted TOD kWh by Period'!M59</f>
        <v>63606500</v>
      </c>
      <c r="F29" s="8"/>
      <c r="G29" s="8">
        <f t="shared" si="19"/>
        <v>55973720</v>
      </c>
      <c r="H29" s="8"/>
      <c r="I29" s="169" t="e">
        <f t="shared" si="20"/>
        <v>#REF!</v>
      </c>
      <c r="J29" s="169">
        <f t="shared" si="20"/>
        <v>0</v>
      </c>
      <c r="K29" s="169" t="e">
        <f>I29+J29</f>
        <v>#REF!</v>
      </c>
      <c r="L29" s="169">
        <f>ROUND(B29*G29,0)</f>
        <v>598919</v>
      </c>
      <c r="M29" s="493"/>
      <c r="N29" s="493">
        <f t="shared" si="10"/>
        <v>1.0699999999999999E-2</v>
      </c>
      <c r="O29" s="504" t="e">
        <f>#REF!</f>
        <v>#REF!</v>
      </c>
      <c r="P29" s="493">
        <f>'Nov Price Out'!P29</f>
        <v>0</v>
      </c>
      <c r="Q29" s="502">
        <f>E29-G29</f>
        <v>7632780</v>
      </c>
      <c r="R29" s="502"/>
      <c r="S29" s="169" t="e">
        <f t="shared" si="21"/>
        <v>#REF!</v>
      </c>
      <c r="T29" s="169">
        <f t="shared" si="21"/>
        <v>0</v>
      </c>
      <c r="U29" s="169" t="e">
        <f t="shared" si="22"/>
        <v>#REF!</v>
      </c>
      <c r="V29" s="169">
        <f t="shared" si="23"/>
        <v>81671</v>
      </c>
      <c r="X29" s="493" t="s">
        <v>522</v>
      </c>
      <c r="Y29" s="503" t="e">
        <f t="shared" si="24"/>
        <v>#REF!</v>
      </c>
      <c r="Z29" s="503">
        <f t="shared" si="24"/>
        <v>0</v>
      </c>
      <c r="AA29" s="503" t="e">
        <f t="shared" si="25"/>
        <v>#REF!</v>
      </c>
      <c r="AB29" s="503">
        <f t="shared" si="26"/>
        <v>680590</v>
      </c>
    </row>
    <row r="30" spans="1:28" x14ac:dyDescent="0.25">
      <c r="A30" s="493" t="s">
        <v>523</v>
      </c>
      <c r="B30" s="504">
        <f t="shared" si="27"/>
        <v>1.0699999999999999E-2</v>
      </c>
      <c r="C30" s="504" t="e">
        <f>#REF!</f>
        <v>#REF!</v>
      </c>
      <c r="D30" s="505">
        <f>'Nov Price Out'!D30</f>
        <v>1.77</v>
      </c>
      <c r="E30" s="8">
        <f>'[100]Adj Sales Forecast'!M33</f>
        <v>0</v>
      </c>
      <c r="F30" s="8">
        <f>'[100]Adj Demand Forecast '!B21</f>
        <v>0</v>
      </c>
      <c r="G30" s="8">
        <f t="shared" si="19"/>
        <v>0</v>
      </c>
      <c r="H30" s="8">
        <f>ROUND(F30*0.88,0)</f>
        <v>0</v>
      </c>
      <c r="I30" s="169" t="e">
        <f t="shared" si="20"/>
        <v>#REF!</v>
      </c>
      <c r="J30" s="169">
        <f t="shared" si="20"/>
        <v>0</v>
      </c>
      <c r="K30" s="169" t="e">
        <f>I30+J30</f>
        <v>#REF!</v>
      </c>
      <c r="L30" s="169">
        <f>ROUND(B30*G30,0)</f>
        <v>0</v>
      </c>
      <c r="M30" s="493"/>
      <c r="N30" s="493">
        <f t="shared" si="10"/>
        <v>1.0699999999999999E-2</v>
      </c>
      <c r="O30" s="504" t="e">
        <f>#REF!</f>
        <v>#REF!</v>
      </c>
      <c r="P30" s="505">
        <f>'Nov Price Out'!P30</f>
        <v>0.36</v>
      </c>
      <c r="Q30" s="65">
        <f>E30-G30</f>
        <v>0</v>
      </c>
      <c r="R30" s="65">
        <f>F30-H30</f>
        <v>0</v>
      </c>
      <c r="S30" s="169" t="e">
        <f t="shared" si="21"/>
        <v>#REF!</v>
      </c>
      <c r="T30" s="169">
        <f t="shared" si="21"/>
        <v>0</v>
      </c>
      <c r="U30" s="169" t="e">
        <f t="shared" si="22"/>
        <v>#REF!</v>
      </c>
      <c r="V30" s="169">
        <f t="shared" si="23"/>
        <v>0</v>
      </c>
      <c r="X30" s="493" t="s">
        <v>523</v>
      </c>
      <c r="Y30" s="503" t="e">
        <f t="shared" si="24"/>
        <v>#REF!</v>
      </c>
      <c r="Z30" s="503">
        <f t="shared" si="24"/>
        <v>0</v>
      </c>
      <c r="AA30" s="503" t="e">
        <f t="shared" si="25"/>
        <v>#REF!</v>
      </c>
      <c r="AB30" s="503">
        <f t="shared" si="26"/>
        <v>0</v>
      </c>
    </row>
    <row r="31" spans="1:28" x14ac:dyDescent="0.25">
      <c r="A31" s="493" t="s">
        <v>524</v>
      </c>
      <c r="B31" s="504">
        <f t="shared" si="27"/>
        <v>1.0699999999999999E-2</v>
      </c>
      <c r="C31" s="504" t="e">
        <f>#REF!</f>
        <v>#REF!</v>
      </c>
      <c r="D31" s="493">
        <f>'Nov Price Out'!D31</f>
        <v>0</v>
      </c>
      <c r="E31" s="65">
        <v>0</v>
      </c>
      <c r="F31" s="8"/>
      <c r="G31" s="8">
        <f t="shared" si="19"/>
        <v>0</v>
      </c>
      <c r="H31" s="8"/>
      <c r="I31" s="169" t="e">
        <f t="shared" si="20"/>
        <v>#REF!</v>
      </c>
      <c r="J31" s="169">
        <f t="shared" si="20"/>
        <v>0</v>
      </c>
      <c r="K31" s="169" t="e">
        <f>ROUND(D31*I31,0)</f>
        <v>#REF!</v>
      </c>
      <c r="L31" s="169">
        <f>ROUND(E31*J31,0)</f>
        <v>0</v>
      </c>
      <c r="M31" s="493"/>
      <c r="N31" s="493">
        <f t="shared" si="10"/>
        <v>1.0699999999999999E-2</v>
      </c>
      <c r="O31" s="504" t="e">
        <f>#REF!</f>
        <v>#REF!</v>
      </c>
      <c r="P31" s="493">
        <f>'Nov Price Out'!P31</f>
        <v>0</v>
      </c>
      <c r="Q31" s="65">
        <v>0</v>
      </c>
      <c r="R31" s="65">
        <v>0</v>
      </c>
      <c r="S31" s="169" t="e">
        <f t="shared" si="21"/>
        <v>#REF!</v>
      </c>
      <c r="T31" s="169">
        <f t="shared" si="21"/>
        <v>0</v>
      </c>
      <c r="U31" s="169" t="e">
        <f t="shared" si="22"/>
        <v>#REF!</v>
      </c>
      <c r="V31" s="169">
        <f t="shared" si="23"/>
        <v>0</v>
      </c>
      <c r="X31" s="493" t="s">
        <v>524</v>
      </c>
      <c r="Y31" s="503" t="e">
        <f t="shared" si="24"/>
        <v>#REF!</v>
      </c>
      <c r="Z31" s="503">
        <f t="shared" si="24"/>
        <v>0</v>
      </c>
      <c r="AA31" s="503" t="e">
        <f t="shared" si="25"/>
        <v>#REF!</v>
      </c>
      <c r="AB31" s="503">
        <f t="shared" si="26"/>
        <v>0</v>
      </c>
    </row>
    <row r="32" spans="1:28" x14ac:dyDescent="0.25">
      <c r="A32" s="493"/>
      <c r="B32" s="504"/>
      <c r="C32" s="504"/>
      <c r="D32" s="493"/>
      <c r="E32" s="493"/>
      <c r="F32" s="8"/>
      <c r="G32" s="8"/>
      <c r="H32" s="8"/>
      <c r="I32" s="493"/>
      <c r="J32" s="493"/>
      <c r="K32" s="493"/>
      <c r="L32" s="493"/>
      <c r="M32" s="493"/>
      <c r="N32" s="493"/>
      <c r="O32" s="504"/>
      <c r="P32" s="493"/>
      <c r="Q32" s="493"/>
      <c r="R32" s="8"/>
      <c r="S32" s="493"/>
      <c r="T32" s="493"/>
      <c r="U32" s="493"/>
      <c r="V32" s="493"/>
      <c r="X32" s="493"/>
      <c r="Y32" s="503"/>
      <c r="Z32" s="503"/>
      <c r="AA32" s="503"/>
      <c r="AB32" s="503"/>
    </row>
    <row r="33" spans="1:28" x14ac:dyDescent="0.25">
      <c r="A33" s="493" t="s">
        <v>525</v>
      </c>
      <c r="B33" s="504">
        <f t="shared" si="27"/>
        <v>1.0699999999999999E-2</v>
      </c>
      <c r="C33" s="504" t="e">
        <f>#REF!</f>
        <v>#REF!</v>
      </c>
      <c r="D33" s="505">
        <f>'Nov Price Out'!D33</f>
        <v>2.93</v>
      </c>
      <c r="E33" s="502">
        <f>'[100]Forecasted TOD kWh by Period'!M8</f>
        <v>4377000</v>
      </c>
      <c r="F33" s="8">
        <f>'[100]Forecasted TOD kW by Period'!F6</f>
        <v>24541</v>
      </c>
      <c r="G33" s="8">
        <f t="shared" ref="G33:G42" si="28">ROUND(E33*0.88,0)</f>
        <v>3851760</v>
      </c>
      <c r="H33" s="8">
        <f>ROUND(F33*0.88,0)</f>
        <v>21596</v>
      </c>
      <c r="I33" s="169" t="e">
        <f t="shared" ref="I33:J42" si="29">ROUND(C33*G33,0)</f>
        <v>#REF!</v>
      </c>
      <c r="J33" s="169">
        <f t="shared" si="29"/>
        <v>63276</v>
      </c>
      <c r="K33" s="169" t="e">
        <f t="shared" ref="K33:K42" si="30">I33+J33</f>
        <v>#REF!</v>
      </c>
      <c r="L33" s="169">
        <f t="shared" ref="L33:L42" si="31">ROUND(B33*G33,0)</f>
        <v>41214</v>
      </c>
      <c r="M33" s="493"/>
      <c r="N33" s="493">
        <f t="shared" si="10"/>
        <v>1.0699999999999999E-2</v>
      </c>
      <c r="O33" s="504" t="e">
        <f>#REF!</f>
        <v>#REF!</v>
      </c>
      <c r="P33" s="505">
        <f>'Nov Price Out'!P33</f>
        <v>0.6</v>
      </c>
      <c r="Q33" s="502">
        <f t="shared" ref="Q33:Q42" si="32">E33-G33</f>
        <v>525240</v>
      </c>
      <c r="R33" s="502">
        <f>F33-H33</f>
        <v>2945</v>
      </c>
      <c r="S33" s="169" t="e">
        <f t="shared" ref="S33:T42" si="33">ROUND(O33*Q33,0)</f>
        <v>#REF!</v>
      </c>
      <c r="T33" s="169">
        <f t="shared" si="33"/>
        <v>1767</v>
      </c>
      <c r="U33" s="169" t="e">
        <f t="shared" ref="U33:U42" si="34">S33+T33</f>
        <v>#REF!</v>
      </c>
      <c r="V33" s="169">
        <f t="shared" ref="V33:V42" si="35">ROUND(N33*Q33,0)</f>
        <v>5620</v>
      </c>
      <c r="X33" s="493" t="s">
        <v>525</v>
      </c>
      <c r="Y33" s="503" t="e">
        <f t="shared" ref="Y33:Z42" si="36">I33+S33</f>
        <v>#REF!</v>
      </c>
      <c r="Z33" s="503">
        <f t="shared" si="36"/>
        <v>65043</v>
      </c>
      <c r="AA33" s="503" t="e">
        <f t="shared" ref="AA33:AA42" si="37">Y33+Z33</f>
        <v>#REF!</v>
      </c>
      <c r="AB33" s="503">
        <f t="shared" ref="AB33:AB42" si="38">L33+V33</f>
        <v>46834</v>
      </c>
    </row>
    <row r="34" spans="1:28" x14ac:dyDescent="0.25">
      <c r="A34" s="493" t="s">
        <v>526</v>
      </c>
      <c r="B34" s="504">
        <f t="shared" si="27"/>
        <v>1.0699999999999999E-2</v>
      </c>
      <c r="C34" s="504" t="e">
        <f>#REF!</f>
        <v>#REF!</v>
      </c>
      <c r="D34" s="493">
        <f>'Nov Price Out'!D34</f>
        <v>0</v>
      </c>
      <c r="E34" s="502">
        <f>'[100]Forecasted TOD kWh by Period'!M9</f>
        <v>5623000</v>
      </c>
      <c r="F34" s="8"/>
      <c r="G34" s="8">
        <f t="shared" si="28"/>
        <v>4948240</v>
      </c>
      <c r="H34" s="8"/>
      <c r="I34" s="169" t="e">
        <f t="shared" si="29"/>
        <v>#REF!</v>
      </c>
      <c r="J34" s="169">
        <f t="shared" si="29"/>
        <v>0</v>
      </c>
      <c r="K34" s="169" t="e">
        <f t="shared" si="30"/>
        <v>#REF!</v>
      </c>
      <c r="L34" s="169">
        <f t="shared" si="31"/>
        <v>52946</v>
      </c>
      <c r="M34" s="493"/>
      <c r="N34" s="493">
        <f t="shared" si="10"/>
        <v>1.0699999999999999E-2</v>
      </c>
      <c r="O34" s="504" t="e">
        <f>#REF!</f>
        <v>#REF!</v>
      </c>
      <c r="P34" s="493">
        <f>'Nov Price Out'!P34</f>
        <v>0</v>
      </c>
      <c r="Q34" s="502">
        <f t="shared" si="32"/>
        <v>674760</v>
      </c>
      <c r="R34" s="502"/>
      <c r="S34" s="169" t="e">
        <f t="shared" si="33"/>
        <v>#REF!</v>
      </c>
      <c r="T34" s="169">
        <f t="shared" si="33"/>
        <v>0</v>
      </c>
      <c r="U34" s="169" t="e">
        <f t="shared" si="34"/>
        <v>#REF!</v>
      </c>
      <c r="V34" s="169">
        <f t="shared" si="35"/>
        <v>7220</v>
      </c>
      <c r="X34" s="493" t="s">
        <v>526</v>
      </c>
      <c r="Y34" s="503" t="e">
        <f t="shared" si="36"/>
        <v>#REF!</v>
      </c>
      <c r="Z34" s="503">
        <f t="shared" si="36"/>
        <v>0</v>
      </c>
      <c r="AA34" s="503" t="e">
        <f t="shared" si="37"/>
        <v>#REF!</v>
      </c>
      <c r="AB34" s="503">
        <f t="shared" si="38"/>
        <v>60166</v>
      </c>
    </row>
    <row r="35" spans="1:28" x14ac:dyDescent="0.25">
      <c r="A35" s="493" t="s">
        <v>527</v>
      </c>
      <c r="B35" s="504">
        <f t="shared" si="27"/>
        <v>1.0699999999999999E-2</v>
      </c>
      <c r="C35" s="504" t="e">
        <f>#REF!</f>
        <v>#REF!</v>
      </c>
      <c r="D35" s="505">
        <f>'Nov Price Out'!D35</f>
        <v>5.99</v>
      </c>
      <c r="E35" s="502">
        <f>'[100]Forecasted TOD kWh by Period'!M12</f>
        <v>3630400</v>
      </c>
      <c r="F35" s="8">
        <f>'[100]Forecasted TOD kW by Period'!F10</f>
        <v>16952</v>
      </c>
      <c r="G35" s="8">
        <f t="shared" si="28"/>
        <v>3194752</v>
      </c>
      <c r="H35" s="8">
        <f>ROUND(F35*0.88,0)</f>
        <v>14918</v>
      </c>
      <c r="I35" s="169" t="e">
        <f t="shared" si="29"/>
        <v>#REF!</v>
      </c>
      <c r="J35" s="169">
        <f t="shared" si="29"/>
        <v>89359</v>
      </c>
      <c r="K35" s="169" t="e">
        <f t="shared" si="30"/>
        <v>#REF!</v>
      </c>
      <c r="L35" s="169">
        <f t="shared" si="31"/>
        <v>34184</v>
      </c>
      <c r="M35" s="493"/>
      <c r="N35" s="493">
        <f t="shared" si="10"/>
        <v>1.0699999999999999E-2</v>
      </c>
      <c r="O35" s="504" t="e">
        <f>#REF!</f>
        <v>#REF!</v>
      </c>
      <c r="P35" s="505">
        <f>'Nov Price Out'!P35</f>
        <v>1.22</v>
      </c>
      <c r="Q35" s="502">
        <f t="shared" si="32"/>
        <v>435648</v>
      </c>
      <c r="R35" s="502">
        <f>F35-H35</f>
        <v>2034</v>
      </c>
      <c r="S35" s="169" t="e">
        <f t="shared" si="33"/>
        <v>#REF!</v>
      </c>
      <c r="T35" s="169">
        <f t="shared" si="33"/>
        <v>2481</v>
      </c>
      <c r="U35" s="169" t="e">
        <f t="shared" si="34"/>
        <v>#REF!</v>
      </c>
      <c r="V35" s="169">
        <f t="shared" si="35"/>
        <v>4661</v>
      </c>
      <c r="X35" s="493" t="s">
        <v>527</v>
      </c>
      <c r="Y35" s="503" t="e">
        <f t="shared" si="36"/>
        <v>#REF!</v>
      </c>
      <c r="Z35" s="503">
        <f t="shared" si="36"/>
        <v>91840</v>
      </c>
      <c r="AA35" s="503" t="e">
        <f t="shared" si="37"/>
        <v>#REF!</v>
      </c>
      <c r="AB35" s="503">
        <f t="shared" si="38"/>
        <v>38845</v>
      </c>
    </row>
    <row r="36" spans="1:28" x14ac:dyDescent="0.25">
      <c r="A36" s="493" t="s">
        <v>528</v>
      </c>
      <c r="B36" s="504">
        <f t="shared" si="27"/>
        <v>1.0699999999999999E-2</v>
      </c>
      <c r="C36" s="504" t="e">
        <f>#REF!</f>
        <v>#REF!</v>
      </c>
      <c r="D36" s="493">
        <f>'Nov Price Out'!D36</f>
        <v>0</v>
      </c>
      <c r="E36" s="502">
        <f>'[100]Forecasted TOD kWh by Period'!M13</f>
        <v>4369600</v>
      </c>
      <c r="F36" s="8"/>
      <c r="G36" s="8">
        <f t="shared" si="28"/>
        <v>3845248</v>
      </c>
      <c r="H36" s="8"/>
      <c r="I36" s="169" t="e">
        <f t="shared" si="29"/>
        <v>#REF!</v>
      </c>
      <c r="J36" s="169">
        <f t="shared" si="29"/>
        <v>0</v>
      </c>
      <c r="K36" s="169" t="e">
        <f t="shared" si="30"/>
        <v>#REF!</v>
      </c>
      <c r="L36" s="169">
        <f t="shared" si="31"/>
        <v>41144</v>
      </c>
      <c r="M36" s="493"/>
      <c r="N36" s="493">
        <f t="shared" si="10"/>
        <v>1.0699999999999999E-2</v>
      </c>
      <c r="O36" s="504" t="e">
        <f>#REF!</f>
        <v>#REF!</v>
      </c>
      <c r="P36" s="493">
        <f>'Nov Price Out'!P36</f>
        <v>0</v>
      </c>
      <c r="Q36" s="502">
        <f t="shared" si="32"/>
        <v>524352</v>
      </c>
      <c r="R36" s="502"/>
      <c r="S36" s="169" t="e">
        <f t="shared" si="33"/>
        <v>#REF!</v>
      </c>
      <c r="T36" s="169">
        <f t="shared" si="33"/>
        <v>0</v>
      </c>
      <c r="U36" s="169" t="e">
        <f t="shared" si="34"/>
        <v>#REF!</v>
      </c>
      <c r="V36" s="169">
        <f t="shared" si="35"/>
        <v>5611</v>
      </c>
      <c r="X36" s="493" t="s">
        <v>528</v>
      </c>
      <c r="Y36" s="503" t="e">
        <f t="shared" si="36"/>
        <v>#REF!</v>
      </c>
      <c r="Z36" s="503">
        <f t="shared" si="36"/>
        <v>0</v>
      </c>
      <c r="AA36" s="503" t="e">
        <f t="shared" si="37"/>
        <v>#REF!</v>
      </c>
      <c r="AB36" s="503">
        <f t="shared" si="38"/>
        <v>46755</v>
      </c>
    </row>
    <row r="37" spans="1:28" x14ac:dyDescent="0.25">
      <c r="A37" s="493" t="s">
        <v>529</v>
      </c>
      <c r="B37" s="504">
        <f t="shared" si="27"/>
        <v>1.0699999999999999E-2</v>
      </c>
      <c r="C37" s="504" t="e">
        <f>#REF!</f>
        <v>#REF!</v>
      </c>
      <c r="D37" s="505">
        <f>'Nov Price Out'!D37</f>
        <v>5.05</v>
      </c>
      <c r="E37" s="502">
        <f>'[100]Forecasted TOD kWh by Period'!M16</f>
        <v>238704000</v>
      </c>
      <c r="F37" s="8">
        <f>'[100]Forecasted TOD kW by Period'!F14</f>
        <v>1105428</v>
      </c>
      <c r="G37" s="8">
        <f t="shared" si="28"/>
        <v>210059520</v>
      </c>
      <c r="H37" s="8">
        <f>ROUND(F37*0.88,0)</f>
        <v>972777</v>
      </c>
      <c r="I37" s="169" t="e">
        <f t="shared" si="29"/>
        <v>#REF!</v>
      </c>
      <c r="J37" s="169">
        <f t="shared" si="29"/>
        <v>4912524</v>
      </c>
      <c r="K37" s="169" t="e">
        <f t="shared" si="30"/>
        <v>#REF!</v>
      </c>
      <c r="L37" s="169">
        <f t="shared" si="31"/>
        <v>2247637</v>
      </c>
      <c r="M37" s="493"/>
      <c r="N37" s="493">
        <f t="shared" si="10"/>
        <v>1.0699999999999999E-2</v>
      </c>
      <c r="O37" s="504" t="e">
        <f>#REF!</f>
        <v>#REF!</v>
      </c>
      <c r="P37" s="505">
        <f>'Nov Price Out'!P37</f>
        <v>1.03</v>
      </c>
      <c r="Q37" s="502">
        <f t="shared" si="32"/>
        <v>28644480</v>
      </c>
      <c r="R37" s="502">
        <f>F37-H37</f>
        <v>132651</v>
      </c>
      <c r="S37" s="169" t="e">
        <f t="shared" si="33"/>
        <v>#REF!</v>
      </c>
      <c r="T37" s="169">
        <f t="shared" si="33"/>
        <v>136631</v>
      </c>
      <c r="U37" s="169" t="e">
        <f t="shared" si="34"/>
        <v>#REF!</v>
      </c>
      <c r="V37" s="169">
        <f t="shared" si="35"/>
        <v>306496</v>
      </c>
      <c r="X37" s="493" t="s">
        <v>529</v>
      </c>
      <c r="Y37" s="503" t="e">
        <f t="shared" si="36"/>
        <v>#REF!</v>
      </c>
      <c r="Z37" s="503">
        <f t="shared" si="36"/>
        <v>5049155</v>
      </c>
      <c r="AA37" s="503" t="e">
        <f t="shared" si="37"/>
        <v>#REF!</v>
      </c>
      <c r="AB37" s="503">
        <f t="shared" si="38"/>
        <v>2554133</v>
      </c>
    </row>
    <row r="38" spans="1:28" x14ac:dyDescent="0.25">
      <c r="A38" s="493" t="s">
        <v>530</v>
      </c>
      <c r="B38" s="504">
        <f t="shared" si="27"/>
        <v>1.0699999999999999E-2</v>
      </c>
      <c r="C38" s="504" t="e">
        <f>#REF!</f>
        <v>#REF!</v>
      </c>
      <c r="D38" s="493">
        <f>'Nov Price Out'!D38</f>
        <v>0</v>
      </c>
      <c r="E38" s="502">
        <f>'[100]Forecasted TOD kWh by Period'!M17</f>
        <v>241296000</v>
      </c>
      <c r="F38" s="8"/>
      <c r="G38" s="8">
        <f t="shared" si="28"/>
        <v>212340480</v>
      </c>
      <c r="H38" s="8"/>
      <c r="I38" s="169" t="e">
        <f t="shared" si="29"/>
        <v>#REF!</v>
      </c>
      <c r="J38" s="169">
        <f t="shared" si="29"/>
        <v>0</v>
      </c>
      <c r="K38" s="169" t="e">
        <f t="shared" si="30"/>
        <v>#REF!</v>
      </c>
      <c r="L38" s="169">
        <f t="shared" si="31"/>
        <v>2272043</v>
      </c>
      <c r="M38" s="493"/>
      <c r="N38" s="493">
        <f t="shared" si="10"/>
        <v>1.0699999999999999E-2</v>
      </c>
      <c r="O38" s="504" t="e">
        <f>#REF!</f>
        <v>#REF!</v>
      </c>
      <c r="P38" s="493">
        <f>'Nov Price Out'!P38</f>
        <v>0</v>
      </c>
      <c r="Q38" s="502">
        <f t="shared" si="32"/>
        <v>28955520</v>
      </c>
      <c r="R38" s="502"/>
      <c r="S38" s="169" t="e">
        <f t="shared" si="33"/>
        <v>#REF!</v>
      </c>
      <c r="T38" s="169">
        <f t="shared" si="33"/>
        <v>0</v>
      </c>
      <c r="U38" s="169" t="e">
        <f t="shared" si="34"/>
        <v>#REF!</v>
      </c>
      <c r="V38" s="169">
        <f t="shared" si="35"/>
        <v>309824</v>
      </c>
      <c r="X38" s="493" t="s">
        <v>530</v>
      </c>
      <c r="Y38" s="503" t="e">
        <f t="shared" si="36"/>
        <v>#REF!</v>
      </c>
      <c r="Z38" s="503">
        <f t="shared" si="36"/>
        <v>0</v>
      </c>
      <c r="AA38" s="503" t="e">
        <f t="shared" si="37"/>
        <v>#REF!</v>
      </c>
      <c r="AB38" s="503">
        <f t="shared" si="38"/>
        <v>2581867</v>
      </c>
    </row>
    <row r="39" spans="1:28" x14ac:dyDescent="0.25">
      <c r="A39" s="493" t="s">
        <v>531</v>
      </c>
      <c r="B39" s="504">
        <f t="shared" si="27"/>
        <v>1.0699999999999999E-2</v>
      </c>
      <c r="C39" s="504" t="e">
        <f>#REF!</f>
        <v>#REF!</v>
      </c>
      <c r="D39" s="505">
        <f>'Nov Price Out'!D39</f>
        <v>2.69</v>
      </c>
      <c r="E39" s="502">
        <f>'[100]Forecasted TOD kWh by Period'!M20</f>
        <v>5393700</v>
      </c>
      <c r="F39" s="8">
        <f>'[100]Forecasted TOD kW by Period'!F18</f>
        <v>31859</v>
      </c>
      <c r="G39" s="8">
        <f t="shared" si="28"/>
        <v>4746456</v>
      </c>
      <c r="H39" s="8">
        <f>ROUND(F39*0.88,0)</f>
        <v>28036</v>
      </c>
      <c r="I39" s="169" t="e">
        <f t="shared" si="29"/>
        <v>#REF!</v>
      </c>
      <c r="J39" s="169">
        <f t="shared" si="29"/>
        <v>75417</v>
      </c>
      <c r="K39" s="169" t="e">
        <f t="shared" si="30"/>
        <v>#REF!</v>
      </c>
      <c r="L39" s="169">
        <f t="shared" si="31"/>
        <v>50787</v>
      </c>
      <c r="M39" s="493"/>
      <c r="N39" s="493">
        <f t="shared" si="10"/>
        <v>1.0699999999999999E-2</v>
      </c>
      <c r="O39" s="504" t="e">
        <f>#REF!</f>
        <v>#REF!</v>
      </c>
      <c r="P39" s="505">
        <f>'Nov Price Out'!P39</f>
        <v>0.55000000000000004</v>
      </c>
      <c r="Q39" s="502">
        <f t="shared" si="32"/>
        <v>647244</v>
      </c>
      <c r="R39" s="502">
        <f>F39-H39</f>
        <v>3823</v>
      </c>
      <c r="S39" s="169" t="e">
        <f t="shared" si="33"/>
        <v>#REF!</v>
      </c>
      <c r="T39" s="169">
        <f t="shared" si="33"/>
        <v>2103</v>
      </c>
      <c r="U39" s="169" t="e">
        <f t="shared" si="34"/>
        <v>#REF!</v>
      </c>
      <c r="V39" s="169">
        <f t="shared" si="35"/>
        <v>6926</v>
      </c>
      <c r="X39" s="493" t="s">
        <v>531</v>
      </c>
      <c r="Y39" s="503" t="e">
        <f t="shared" si="36"/>
        <v>#REF!</v>
      </c>
      <c r="Z39" s="503">
        <f t="shared" si="36"/>
        <v>77520</v>
      </c>
      <c r="AA39" s="503" t="e">
        <f t="shared" si="37"/>
        <v>#REF!</v>
      </c>
      <c r="AB39" s="503">
        <f t="shared" si="38"/>
        <v>57713</v>
      </c>
    </row>
    <row r="40" spans="1:28" x14ac:dyDescent="0.25">
      <c r="A40" s="493" t="s">
        <v>532</v>
      </c>
      <c r="B40" s="504">
        <f t="shared" si="27"/>
        <v>1.0699999999999999E-2</v>
      </c>
      <c r="C40" s="504" t="e">
        <f>#REF!</f>
        <v>#REF!</v>
      </c>
      <c r="D40" s="493">
        <f>'Nov Price Out'!D40</f>
        <v>0</v>
      </c>
      <c r="E40" s="502">
        <f>'[100]Forecasted TOD kWh by Period'!M21</f>
        <v>7606300</v>
      </c>
      <c r="F40" s="8"/>
      <c r="G40" s="8">
        <f t="shared" si="28"/>
        <v>6693544</v>
      </c>
      <c r="H40" s="8"/>
      <c r="I40" s="169" t="e">
        <f t="shared" si="29"/>
        <v>#REF!</v>
      </c>
      <c r="J40" s="169">
        <f t="shared" si="29"/>
        <v>0</v>
      </c>
      <c r="K40" s="169" t="e">
        <f t="shared" si="30"/>
        <v>#REF!</v>
      </c>
      <c r="L40" s="169">
        <f t="shared" si="31"/>
        <v>71621</v>
      </c>
      <c r="M40" s="493"/>
      <c r="N40" s="493">
        <f t="shared" si="10"/>
        <v>1.0699999999999999E-2</v>
      </c>
      <c r="O40" s="504" t="e">
        <f>#REF!</f>
        <v>#REF!</v>
      </c>
      <c r="P40" s="493">
        <f>'Nov Price Out'!P40</f>
        <v>0</v>
      </c>
      <c r="Q40" s="502">
        <f t="shared" si="32"/>
        <v>912756</v>
      </c>
      <c r="R40" s="502"/>
      <c r="S40" s="169" t="e">
        <f t="shared" si="33"/>
        <v>#REF!</v>
      </c>
      <c r="T40" s="169">
        <f t="shared" si="33"/>
        <v>0</v>
      </c>
      <c r="U40" s="169" t="e">
        <f t="shared" si="34"/>
        <v>#REF!</v>
      </c>
      <c r="V40" s="169">
        <f t="shared" si="35"/>
        <v>9766</v>
      </c>
      <c r="X40" s="493" t="s">
        <v>532</v>
      </c>
      <c r="Y40" s="503" t="e">
        <f t="shared" si="36"/>
        <v>#REF!</v>
      </c>
      <c r="Z40" s="503">
        <f t="shared" si="36"/>
        <v>0</v>
      </c>
      <c r="AA40" s="503" t="e">
        <f t="shared" si="37"/>
        <v>#REF!</v>
      </c>
      <c r="AB40" s="503">
        <f t="shared" si="38"/>
        <v>81387</v>
      </c>
    </row>
    <row r="41" spans="1:28" x14ac:dyDescent="0.25">
      <c r="A41" s="493" t="s">
        <v>533</v>
      </c>
      <c r="B41" s="504">
        <f t="shared" si="27"/>
        <v>1.0699999999999999E-2</v>
      </c>
      <c r="C41" s="504" t="e">
        <f>#REF!</f>
        <v>#REF!</v>
      </c>
      <c r="D41" s="505">
        <f>'Nov Price Out'!D41</f>
        <v>0</v>
      </c>
      <c r="E41" s="502">
        <f>'[100]Forecasted TOD kWh by Period'!M24</f>
        <v>580878</v>
      </c>
      <c r="F41" s="8">
        <f>'[100]Forecasted TOD kW by Period'!F22</f>
        <v>13155</v>
      </c>
      <c r="G41" s="8">
        <f t="shared" si="28"/>
        <v>511173</v>
      </c>
      <c r="H41" s="8">
        <f>ROUND(F41*0.88,0)</f>
        <v>11576</v>
      </c>
      <c r="I41" s="169" t="e">
        <f t="shared" si="29"/>
        <v>#REF!</v>
      </c>
      <c r="J41" s="169">
        <f t="shared" si="29"/>
        <v>0</v>
      </c>
      <c r="K41" s="169" t="e">
        <f t="shared" si="30"/>
        <v>#REF!</v>
      </c>
      <c r="L41" s="169">
        <f t="shared" si="31"/>
        <v>5470</v>
      </c>
      <c r="M41" s="493"/>
      <c r="N41" s="493">
        <f t="shared" si="10"/>
        <v>1.0699999999999999E-2</v>
      </c>
      <c r="O41" s="504" t="e">
        <f>#REF!</f>
        <v>#REF!</v>
      </c>
      <c r="P41" s="505">
        <f>'Nov Price Out'!P41</f>
        <v>0</v>
      </c>
      <c r="Q41" s="502">
        <f t="shared" si="32"/>
        <v>69705</v>
      </c>
      <c r="R41" s="502">
        <f>F41-H41</f>
        <v>1579</v>
      </c>
      <c r="S41" s="169" t="e">
        <f t="shared" si="33"/>
        <v>#REF!</v>
      </c>
      <c r="T41" s="169">
        <f t="shared" si="33"/>
        <v>0</v>
      </c>
      <c r="U41" s="169" t="e">
        <f t="shared" si="34"/>
        <v>#REF!</v>
      </c>
      <c r="V41" s="169">
        <f t="shared" si="35"/>
        <v>746</v>
      </c>
      <c r="X41" s="493" t="s">
        <v>533</v>
      </c>
      <c r="Y41" s="503" t="e">
        <f t="shared" si="36"/>
        <v>#REF!</v>
      </c>
      <c r="Z41" s="503">
        <f t="shared" si="36"/>
        <v>0</v>
      </c>
      <c r="AA41" s="503" t="e">
        <f t="shared" si="37"/>
        <v>#REF!</v>
      </c>
      <c r="AB41" s="503">
        <f t="shared" si="38"/>
        <v>6216</v>
      </c>
    </row>
    <row r="42" spans="1:28" x14ac:dyDescent="0.25">
      <c r="A42" s="493" t="s">
        <v>534</v>
      </c>
      <c r="B42" s="504">
        <f t="shared" si="27"/>
        <v>1.0699999999999999E-2</v>
      </c>
      <c r="C42" s="504" t="e">
        <f>#REF!</f>
        <v>#REF!</v>
      </c>
      <c r="D42" s="493">
        <f>'Nov Price Out'!D42</f>
        <v>0</v>
      </c>
      <c r="E42" s="502">
        <f>'[100]Forecasted TOD kWh by Period'!M25</f>
        <v>538347</v>
      </c>
      <c r="F42" s="493"/>
      <c r="G42" s="8">
        <f t="shared" si="28"/>
        <v>473745</v>
      </c>
      <c r="H42" s="8"/>
      <c r="I42" s="169" t="e">
        <f t="shared" si="29"/>
        <v>#REF!</v>
      </c>
      <c r="J42" s="169">
        <f t="shared" si="29"/>
        <v>0</v>
      </c>
      <c r="K42" s="169" t="e">
        <f t="shared" si="30"/>
        <v>#REF!</v>
      </c>
      <c r="L42" s="169">
        <f t="shared" si="31"/>
        <v>5069</v>
      </c>
      <c r="M42" s="493"/>
      <c r="N42" s="493">
        <f t="shared" si="10"/>
        <v>1.0699999999999999E-2</v>
      </c>
      <c r="O42" s="504" t="e">
        <f>#REF!</f>
        <v>#REF!</v>
      </c>
      <c r="P42" s="492">
        <f>'Nov Price Out'!P42</f>
        <v>0</v>
      </c>
      <c r="Q42" s="502">
        <f t="shared" si="32"/>
        <v>64602</v>
      </c>
      <c r="R42" s="502"/>
      <c r="S42" s="169" t="e">
        <f t="shared" si="33"/>
        <v>#REF!</v>
      </c>
      <c r="T42" s="169">
        <f t="shared" si="33"/>
        <v>0</v>
      </c>
      <c r="U42" s="169" t="e">
        <f t="shared" si="34"/>
        <v>#REF!</v>
      </c>
      <c r="V42" s="169">
        <f t="shared" si="35"/>
        <v>691</v>
      </c>
      <c r="X42" s="493" t="s">
        <v>534</v>
      </c>
      <c r="Y42" s="503" t="e">
        <f t="shared" si="36"/>
        <v>#REF!</v>
      </c>
      <c r="Z42" s="503">
        <f t="shared" si="36"/>
        <v>0</v>
      </c>
      <c r="AA42" s="503" t="e">
        <f t="shared" si="37"/>
        <v>#REF!</v>
      </c>
      <c r="AB42" s="503">
        <f t="shared" si="38"/>
        <v>5760</v>
      </c>
    </row>
    <row r="43" spans="1:28" x14ac:dyDescent="0.25">
      <c r="A43" s="493"/>
      <c r="B43" s="493"/>
      <c r="C43" s="493"/>
      <c r="D43" s="493"/>
      <c r="E43" s="493"/>
      <c r="F43" s="493"/>
      <c r="G43" s="493"/>
      <c r="H43" s="493"/>
      <c r="I43" s="493"/>
      <c r="J43" s="493"/>
      <c r="K43" s="493"/>
      <c r="L43" s="493"/>
      <c r="M43" s="493"/>
      <c r="O43" s="493"/>
      <c r="S43" s="493"/>
      <c r="T43" s="493"/>
      <c r="U43" s="493"/>
      <c r="V43" s="493"/>
      <c r="X43" s="493"/>
      <c r="Y43" s="503"/>
      <c r="Z43" s="503"/>
      <c r="AA43" s="503"/>
      <c r="AB43" s="503"/>
    </row>
    <row r="44" spans="1:28" x14ac:dyDescent="0.25">
      <c r="A44" s="493" t="s">
        <v>162</v>
      </c>
      <c r="B44" s="493"/>
      <c r="C44" s="493"/>
      <c r="D44" s="493"/>
      <c r="E44" s="493"/>
      <c r="F44" s="493"/>
      <c r="G44" s="507">
        <f>SUM(G8:G19)+SUM(G21:G24)+SUM(G26:G31)+SUM(G33:G42)</f>
        <v>2734897656</v>
      </c>
      <c r="H44" s="493"/>
      <c r="I44" s="503" t="e">
        <f>SUM(I8:I43)</f>
        <v>#REF!</v>
      </c>
      <c r="J44" s="169">
        <f>SUM(J8:J19)+SUM(J21:J24)+SUM(J26:J31)+SUM(J33:J42)</f>
        <v>26627611</v>
      </c>
      <c r="K44" s="503" t="e">
        <f>SUM(K8:K43)</f>
        <v>#REF!</v>
      </c>
      <c r="L44" s="169">
        <f>SUM(L8:L19)+SUM(L21:L24)+SUM(L26:L31)+SUM(L33:L42)</f>
        <v>29263404</v>
      </c>
      <c r="M44" s="493"/>
      <c r="Q44" s="507">
        <f>SUM(Q8:Q19)+SUM(Q21:Q24)+SUM(Q26:Q31)+SUM(Q33:Q42)</f>
        <v>372940590</v>
      </c>
      <c r="S44" s="503" t="e">
        <f>SUM(S8:S43)</f>
        <v>#REF!</v>
      </c>
      <c r="T44" s="169" t="e">
        <f>SUM(T8:T19)+SUM(T21:T24)+SUM(T26:T31)+SUM(T33:T42)</f>
        <v>#DIV/0!</v>
      </c>
      <c r="U44" s="503" t="e">
        <f>SUM(U8:U43)</f>
        <v>#REF!</v>
      </c>
      <c r="V44" s="169">
        <f>SUM(V8:V19)+SUM(V21:V24)+SUM(V26:V31)+SUM(V33:V42)</f>
        <v>3990465</v>
      </c>
      <c r="X44" s="493" t="s">
        <v>162</v>
      </c>
      <c r="Y44" s="503" t="e">
        <f>I44+S44</f>
        <v>#REF!</v>
      </c>
      <c r="Z44" s="503" t="e">
        <f>J44+T44</f>
        <v>#DIV/0!</v>
      </c>
      <c r="AA44" s="503" t="e">
        <f>Y44+Z44</f>
        <v>#REF!</v>
      </c>
      <c r="AB44" s="503">
        <f>L44+V44</f>
        <v>33253869</v>
      </c>
    </row>
    <row r="45" spans="1:28" x14ac:dyDescent="0.25">
      <c r="A45" s="493"/>
      <c r="B45" s="493"/>
      <c r="C45" s="493"/>
      <c r="D45" s="493"/>
      <c r="E45" s="493"/>
      <c r="F45" s="493"/>
      <c r="G45" s="493"/>
      <c r="H45" s="493"/>
      <c r="I45" s="493"/>
      <c r="J45" s="493"/>
      <c r="K45" s="493"/>
      <c r="L45" s="493"/>
      <c r="M45" s="493"/>
      <c r="N45" s="493"/>
    </row>
    <row r="46" spans="1:28" x14ac:dyDescent="0.25">
      <c r="A46" s="493"/>
      <c r="B46" s="493"/>
      <c r="C46" s="493"/>
      <c r="D46" s="493"/>
      <c r="E46" s="493"/>
      <c r="F46" s="493"/>
      <c r="G46" s="493"/>
      <c r="H46" s="493"/>
      <c r="I46" s="493"/>
      <c r="J46" s="493"/>
      <c r="K46" s="493"/>
      <c r="L46" s="493"/>
    </row>
    <row r="47" spans="1:28" x14ac:dyDescent="0.25">
      <c r="A47" s="493"/>
      <c r="B47" s="493"/>
      <c r="C47" s="493"/>
      <c r="D47" s="493"/>
      <c r="E47" s="493"/>
      <c r="F47" s="493"/>
      <c r="G47" s="493"/>
      <c r="H47" s="493"/>
      <c r="I47" s="493"/>
      <c r="J47" s="493"/>
      <c r="K47" s="493"/>
      <c r="L47" s="493"/>
    </row>
    <row r="48" spans="1:28" x14ac:dyDescent="0.25">
      <c r="A48" s="493"/>
      <c r="B48" s="493"/>
      <c r="C48" s="493"/>
      <c r="D48" s="493"/>
      <c r="E48" s="493"/>
      <c r="F48" s="493"/>
      <c r="G48" s="493"/>
      <c r="H48" s="493"/>
      <c r="I48" s="493"/>
      <c r="J48" s="493"/>
      <c r="K48" s="493"/>
      <c r="L48" s="493"/>
    </row>
    <row r="49" spans="1:13" x14ac:dyDescent="0.25">
      <c r="A49" s="493"/>
      <c r="B49" s="493"/>
      <c r="C49" s="493"/>
      <c r="D49" s="493"/>
      <c r="E49" s="493"/>
      <c r="F49" s="493"/>
      <c r="G49" s="493"/>
      <c r="H49" s="493"/>
      <c r="I49" s="493"/>
      <c r="J49" s="493"/>
      <c r="K49" s="493"/>
      <c r="L49" s="493"/>
    </row>
    <row r="50" spans="1:13" x14ac:dyDescent="0.25">
      <c r="A50" s="493"/>
      <c r="B50" s="493"/>
      <c r="C50" s="493"/>
      <c r="D50" s="493"/>
      <c r="E50" s="493"/>
      <c r="F50" s="493"/>
      <c r="G50" s="493"/>
      <c r="H50" s="493"/>
      <c r="I50" s="493"/>
      <c r="J50" s="493"/>
      <c r="K50" s="493"/>
      <c r="L50" s="493"/>
    </row>
    <row r="51" spans="1:13" x14ac:dyDescent="0.25">
      <c r="A51" s="493"/>
      <c r="B51" s="493"/>
      <c r="C51" s="493"/>
      <c r="D51" s="493"/>
      <c r="E51" s="493"/>
      <c r="F51" s="493"/>
      <c r="G51" s="493"/>
      <c r="H51" s="493"/>
      <c r="I51" s="493"/>
      <c r="J51" s="493"/>
      <c r="K51" s="493"/>
      <c r="L51" s="493"/>
    </row>
    <row r="52" spans="1:13" x14ac:dyDescent="0.25">
      <c r="A52" s="493"/>
      <c r="B52" s="493"/>
      <c r="C52" s="493"/>
      <c r="D52" s="493"/>
      <c r="E52" s="493"/>
      <c r="F52" s="493"/>
      <c r="G52" s="493"/>
      <c r="H52" s="493"/>
      <c r="I52" s="493"/>
      <c r="J52" s="493"/>
      <c r="K52" s="493"/>
      <c r="L52" s="493"/>
    </row>
    <row r="53" spans="1:13" x14ac:dyDescent="0.25">
      <c r="A53" s="493"/>
      <c r="B53" s="493"/>
      <c r="C53" s="493"/>
      <c r="D53" s="493"/>
      <c r="E53" s="493"/>
      <c r="F53" s="493"/>
      <c r="G53" s="493"/>
      <c r="H53" s="493"/>
      <c r="I53" s="493"/>
      <c r="J53" s="493"/>
      <c r="K53" s="493"/>
      <c r="L53" s="493"/>
      <c r="M53" s="493"/>
    </row>
    <row r="54" spans="1:13" x14ac:dyDescent="0.25">
      <c r="A54" s="493"/>
      <c r="B54" s="493"/>
      <c r="C54" s="493"/>
      <c r="D54" s="493"/>
      <c r="E54" s="493"/>
      <c r="F54" s="493"/>
      <c r="G54" s="493"/>
      <c r="H54" s="493"/>
      <c r="I54" s="493"/>
      <c r="J54" s="493"/>
      <c r="K54" s="493"/>
      <c r="L54" s="493"/>
      <c r="M54" s="493"/>
    </row>
    <row r="55" spans="1:13" x14ac:dyDescent="0.25">
      <c r="A55" s="493"/>
      <c r="B55" s="493"/>
      <c r="C55" s="493"/>
      <c r="D55" s="493"/>
      <c r="E55" s="493"/>
      <c r="F55" s="493"/>
      <c r="G55" s="493"/>
      <c r="H55" s="493"/>
      <c r="I55" s="493"/>
      <c r="J55" s="493"/>
      <c r="K55" s="493"/>
      <c r="L55" s="493"/>
      <c r="M55" s="493"/>
    </row>
    <row r="56" spans="1:13" x14ac:dyDescent="0.25">
      <c r="A56" s="493"/>
      <c r="B56" s="493"/>
      <c r="C56" s="493"/>
      <c r="D56" s="493"/>
      <c r="E56" s="493"/>
      <c r="F56" s="493"/>
      <c r="G56" s="493"/>
      <c r="H56" s="493"/>
      <c r="I56" s="493"/>
      <c r="J56" s="493"/>
      <c r="K56" s="493"/>
      <c r="L56" s="493"/>
      <c r="M56" s="493"/>
    </row>
    <row r="57" spans="1:13" x14ac:dyDescent="0.25">
      <c r="A57" s="493"/>
      <c r="B57" s="493"/>
      <c r="C57" s="493"/>
      <c r="D57" s="493"/>
      <c r="E57" s="493"/>
      <c r="F57" s="493"/>
      <c r="G57" s="493"/>
      <c r="H57" s="493"/>
      <c r="I57" s="493"/>
      <c r="J57" s="493"/>
      <c r="K57" s="493"/>
      <c r="L57" s="493"/>
      <c r="M57" s="493"/>
    </row>
    <row r="58" spans="1:13" x14ac:dyDescent="0.25">
      <c r="A58" s="493"/>
      <c r="B58" s="493"/>
      <c r="C58" s="493"/>
      <c r="D58" s="493"/>
      <c r="E58" s="493"/>
      <c r="F58" s="493"/>
      <c r="G58" s="493"/>
      <c r="H58" s="493"/>
      <c r="I58" s="493"/>
      <c r="J58" s="493"/>
      <c r="K58" s="493"/>
      <c r="L58" s="493"/>
      <c r="M58" s="493"/>
    </row>
    <row r="59" spans="1:13" x14ac:dyDescent="0.25">
      <c r="A59" s="493"/>
      <c r="B59" s="493"/>
      <c r="C59" s="493"/>
      <c r="D59" s="493"/>
      <c r="E59" s="493"/>
      <c r="F59" s="493"/>
      <c r="G59" s="493"/>
      <c r="H59" s="493"/>
      <c r="I59" s="493"/>
      <c r="J59" s="493"/>
      <c r="K59" s="493"/>
      <c r="L59" s="493"/>
      <c r="M59" s="493"/>
    </row>
    <row r="60" spans="1:13" x14ac:dyDescent="0.25">
      <c r="A60" s="493"/>
      <c r="B60" s="493"/>
      <c r="C60" s="493"/>
      <c r="D60" s="493"/>
      <c r="E60" s="493"/>
      <c r="F60" s="493"/>
      <c r="G60" s="493"/>
      <c r="H60" s="493"/>
      <c r="I60" s="493"/>
      <c r="J60" s="493"/>
      <c r="K60" s="493"/>
      <c r="L60" s="493"/>
      <c r="M60" s="493"/>
    </row>
    <row r="61" spans="1:13" x14ac:dyDescent="0.25">
      <c r="A61" s="493"/>
      <c r="B61" s="493"/>
      <c r="C61" s="493"/>
      <c r="D61" s="493"/>
      <c r="E61" s="493"/>
      <c r="F61" s="493"/>
      <c r="G61" s="493"/>
      <c r="H61" s="493"/>
      <c r="I61" s="493"/>
      <c r="J61" s="493"/>
      <c r="K61" s="493"/>
      <c r="L61" s="493"/>
      <c r="M61" s="493"/>
    </row>
    <row r="62" spans="1:13" x14ac:dyDescent="0.25">
      <c r="A62" s="493"/>
      <c r="B62" s="493"/>
      <c r="C62" s="493"/>
      <c r="D62" s="493"/>
      <c r="E62" s="493"/>
      <c r="F62" s="493"/>
      <c r="G62" s="493"/>
      <c r="H62" s="493"/>
      <c r="I62" s="493"/>
      <c r="J62" s="493"/>
      <c r="K62" s="493"/>
      <c r="L62" s="493"/>
      <c r="M62" s="493"/>
    </row>
    <row r="63" spans="1:13" x14ac:dyDescent="0.25">
      <c r="A63" s="493"/>
      <c r="B63" s="493"/>
      <c r="C63" s="493"/>
      <c r="D63" s="493"/>
      <c r="E63" s="493"/>
      <c r="F63" s="493"/>
      <c r="G63" s="493"/>
      <c r="H63" s="493"/>
      <c r="I63" s="493"/>
      <c r="J63" s="493"/>
      <c r="K63" s="493"/>
      <c r="L63" s="493"/>
      <c r="M63" s="493"/>
    </row>
    <row r="64" spans="1:13" x14ac:dyDescent="0.25">
      <c r="A64" s="493"/>
      <c r="B64" s="493"/>
      <c r="C64" s="493"/>
      <c r="D64" s="493"/>
      <c r="E64" s="493"/>
      <c r="F64" s="493"/>
      <c r="G64" s="493"/>
      <c r="H64" s="493"/>
      <c r="I64" s="493"/>
      <c r="J64" s="493"/>
      <c r="K64" s="493"/>
      <c r="L64" s="493"/>
      <c r="M64" s="493"/>
    </row>
    <row r="65" spans="1:14" x14ac:dyDescent="0.25">
      <c r="A65" s="493"/>
      <c r="B65" s="493"/>
      <c r="C65" s="493"/>
      <c r="D65" s="493"/>
      <c r="E65" s="493"/>
      <c r="F65" s="493"/>
      <c r="G65" s="493"/>
      <c r="H65" s="493"/>
      <c r="I65" s="493"/>
      <c r="J65" s="493"/>
      <c r="K65" s="493"/>
      <c r="L65" s="493"/>
      <c r="M65" s="493"/>
    </row>
    <row r="66" spans="1:14" x14ac:dyDescent="0.25">
      <c r="A66" s="493"/>
      <c r="B66" s="493"/>
      <c r="C66" s="493"/>
      <c r="D66" s="493"/>
      <c r="E66" s="493"/>
      <c r="F66" s="493"/>
      <c r="G66" s="493"/>
      <c r="H66" s="493"/>
      <c r="I66" s="493"/>
      <c r="J66" s="493"/>
      <c r="K66" s="493"/>
      <c r="L66" s="493"/>
      <c r="M66" s="493"/>
    </row>
    <row r="67" spans="1:14" x14ac:dyDescent="0.25">
      <c r="A67" s="493"/>
      <c r="B67" s="493"/>
      <c r="C67" s="493"/>
      <c r="D67" s="493"/>
      <c r="E67" s="493"/>
      <c r="F67" s="493"/>
      <c r="G67" s="493"/>
      <c r="H67" s="493"/>
      <c r="I67" s="493"/>
      <c r="J67" s="493"/>
      <c r="K67" s="493"/>
      <c r="L67" s="493"/>
      <c r="M67" s="493"/>
    </row>
    <row r="68" spans="1:14" x14ac:dyDescent="0.25">
      <c r="A68" s="493"/>
      <c r="B68" s="493"/>
      <c r="C68" s="493"/>
      <c r="D68" s="493"/>
      <c r="E68" s="493"/>
      <c r="F68" s="493"/>
      <c r="G68" s="493"/>
      <c r="H68" s="493"/>
      <c r="I68" s="493"/>
      <c r="J68" s="493"/>
      <c r="K68" s="493"/>
      <c r="L68" s="493"/>
      <c r="M68" s="493"/>
      <c r="N68" s="493"/>
    </row>
    <row r="69" spans="1:14" x14ac:dyDescent="0.25">
      <c r="A69" s="493"/>
      <c r="B69" s="493"/>
      <c r="C69" s="493"/>
      <c r="D69" s="493"/>
      <c r="E69" s="493"/>
      <c r="F69" s="493"/>
      <c r="G69" s="493"/>
      <c r="H69" s="493"/>
      <c r="I69" s="493"/>
      <c r="J69" s="493"/>
      <c r="K69" s="493"/>
      <c r="L69" s="493"/>
      <c r="M69" s="493"/>
      <c r="N69" s="493"/>
    </row>
    <row r="70" spans="1:14" x14ac:dyDescent="0.25">
      <c r="A70" s="493"/>
      <c r="B70" s="493"/>
      <c r="C70" s="493"/>
      <c r="D70" s="493"/>
      <c r="E70" s="493"/>
      <c r="F70" s="493"/>
      <c r="G70" s="493"/>
      <c r="H70" s="493"/>
      <c r="I70" s="493"/>
      <c r="J70" s="493"/>
      <c r="K70" s="493"/>
      <c r="L70" s="493"/>
      <c r="M70" s="493"/>
      <c r="N70" s="493"/>
    </row>
    <row r="71" spans="1:14" x14ac:dyDescent="0.25">
      <c r="A71" s="493"/>
      <c r="B71" s="493"/>
      <c r="C71" s="493"/>
      <c r="D71" s="493"/>
      <c r="E71" s="493"/>
      <c r="F71" s="493"/>
      <c r="G71" s="493"/>
      <c r="H71" s="493"/>
      <c r="I71" s="493"/>
      <c r="J71" s="493"/>
      <c r="K71" s="493"/>
      <c r="L71" s="493"/>
      <c r="M71" s="493"/>
    </row>
    <row r="72" spans="1:14" x14ac:dyDescent="0.25">
      <c r="A72" s="493"/>
      <c r="B72" s="493"/>
      <c r="C72" s="493"/>
      <c r="D72" s="493"/>
      <c r="E72" s="493"/>
      <c r="F72" s="493"/>
      <c r="G72" s="493"/>
      <c r="H72" s="493"/>
      <c r="I72" s="493"/>
      <c r="J72" s="493"/>
      <c r="K72" s="493"/>
      <c r="L72" s="493"/>
      <c r="M72" s="493"/>
    </row>
    <row r="73" spans="1:14" x14ac:dyDescent="0.25">
      <c r="A73" s="493"/>
      <c r="B73" s="493"/>
      <c r="C73" s="493"/>
      <c r="D73" s="493"/>
      <c r="E73" s="493"/>
      <c r="F73" s="493"/>
      <c r="G73" s="493"/>
      <c r="H73" s="493"/>
      <c r="I73" s="493"/>
      <c r="J73" s="493"/>
      <c r="K73" s="493"/>
      <c r="L73" s="493"/>
      <c r="M73" s="493"/>
    </row>
    <row r="74" spans="1:14" x14ac:dyDescent="0.25">
      <c r="A74" s="493"/>
      <c r="B74" s="493"/>
      <c r="C74" s="493"/>
      <c r="D74" s="493"/>
      <c r="E74" s="493"/>
      <c r="F74" s="493"/>
      <c r="G74" s="493"/>
      <c r="H74" s="493"/>
      <c r="I74" s="493"/>
      <c r="J74" s="493"/>
      <c r="K74" s="493"/>
      <c r="L74" s="493"/>
      <c r="M74" s="493"/>
    </row>
    <row r="75" spans="1:14" x14ac:dyDescent="0.25">
      <c r="A75" s="493"/>
      <c r="B75" s="493"/>
      <c r="C75" s="493"/>
      <c r="D75" s="493"/>
      <c r="E75" s="493"/>
      <c r="F75" s="493"/>
      <c r="G75" s="493"/>
      <c r="H75" s="493"/>
      <c r="I75" s="493"/>
      <c r="J75" s="493"/>
      <c r="K75" s="493"/>
      <c r="L75" s="493"/>
      <c r="M75" s="493"/>
    </row>
    <row r="76" spans="1:14" x14ac:dyDescent="0.25">
      <c r="A76" s="493"/>
      <c r="B76" s="493"/>
      <c r="C76" s="493"/>
      <c r="D76" s="493"/>
      <c r="E76" s="493"/>
      <c r="F76" s="493"/>
      <c r="G76" s="493"/>
      <c r="H76" s="493"/>
      <c r="I76" s="493"/>
      <c r="J76" s="493"/>
      <c r="K76" s="493"/>
      <c r="L76" s="493"/>
      <c r="M76" s="493"/>
    </row>
    <row r="77" spans="1:14" x14ac:dyDescent="0.25">
      <c r="A77" s="493"/>
      <c r="B77" s="493"/>
      <c r="C77" s="493"/>
      <c r="D77" s="493"/>
      <c r="E77" s="493"/>
      <c r="F77" s="493"/>
      <c r="G77" s="493"/>
      <c r="H77" s="493"/>
      <c r="I77" s="493"/>
      <c r="J77" s="493"/>
      <c r="K77" s="493"/>
      <c r="L77" s="493"/>
      <c r="M77" s="493"/>
    </row>
    <row r="78" spans="1:14" x14ac:dyDescent="0.25">
      <c r="A78" s="493"/>
      <c r="B78" s="493"/>
      <c r="C78" s="493"/>
      <c r="D78" s="493"/>
      <c r="E78" s="493"/>
      <c r="F78" s="493"/>
      <c r="G78" s="493"/>
      <c r="H78" s="493"/>
      <c r="I78" s="493"/>
      <c r="J78" s="493"/>
      <c r="K78" s="493"/>
      <c r="L78" s="493"/>
      <c r="M78" s="493"/>
    </row>
    <row r="79" spans="1:14" x14ac:dyDescent="0.25">
      <c r="A79" s="493"/>
      <c r="B79" s="493"/>
      <c r="C79" s="493"/>
      <c r="D79" s="493"/>
      <c r="E79" s="493"/>
      <c r="F79" s="493"/>
      <c r="G79" s="493"/>
      <c r="H79" s="493"/>
      <c r="I79" s="493"/>
      <c r="J79" s="493"/>
      <c r="K79" s="493"/>
      <c r="L79" s="493"/>
      <c r="M79" s="493"/>
    </row>
    <row r="80" spans="1:14" x14ac:dyDescent="0.25">
      <c r="A80" s="493"/>
      <c r="B80" s="493"/>
      <c r="C80" s="493"/>
      <c r="D80" s="493"/>
      <c r="E80" s="493"/>
      <c r="F80" s="493"/>
      <c r="G80" s="493"/>
      <c r="H80" s="493"/>
      <c r="I80" s="493"/>
      <c r="J80" s="493"/>
      <c r="K80" s="493"/>
      <c r="L80" s="493"/>
      <c r="M80" s="493"/>
    </row>
    <row r="81" spans="1:14" x14ac:dyDescent="0.25">
      <c r="A81" s="493"/>
      <c r="B81" s="493"/>
      <c r="C81" s="493"/>
      <c r="D81" s="493"/>
      <c r="E81" s="493"/>
      <c r="F81" s="493"/>
      <c r="G81" s="493"/>
      <c r="H81" s="493"/>
      <c r="I81" s="493"/>
      <c r="J81" s="493"/>
      <c r="K81" s="493"/>
      <c r="L81" s="493"/>
      <c r="M81" s="493"/>
    </row>
    <row r="82" spans="1:14" x14ac:dyDescent="0.25">
      <c r="A82" s="493"/>
      <c r="B82" s="493"/>
      <c r="C82" s="493"/>
      <c r="D82" s="493"/>
      <c r="E82" s="493"/>
      <c r="F82" s="493"/>
      <c r="G82" s="493"/>
      <c r="H82" s="493"/>
      <c r="I82" s="493"/>
      <c r="J82" s="493"/>
      <c r="K82" s="493"/>
      <c r="L82" s="493"/>
      <c r="M82" s="493"/>
    </row>
    <row r="83" spans="1:14" x14ac:dyDescent="0.25">
      <c r="A83" s="493"/>
      <c r="B83" s="493"/>
      <c r="C83" s="493"/>
      <c r="D83" s="493"/>
      <c r="E83" s="493"/>
      <c r="F83" s="493"/>
      <c r="G83" s="493"/>
      <c r="H83" s="493"/>
      <c r="I83" s="493"/>
      <c r="J83" s="493"/>
      <c r="K83" s="493"/>
      <c r="L83" s="493"/>
      <c r="M83" s="493"/>
    </row>
    <row r="84" spans="1:14" x14ac:dyDescent="0.25">
      <c r="A84" s="493"/>
      <c r="B84" s="493"/>
      <c r="C84" s="493"/>
      <c r="D84" s="493"/>
      <c r="E84" s="493"/>
      <c r="F84" s="493"/>
      <c r="G84" s="493"/>
      <c r="H84" s="493"/>
      <c r="I84" s="493"/>
      <c r="J84" s="493"/>
      <c r="K84" s="493"/>
      <c r="L84" s="493"/>
      <c r="M84" s="493"/>
    </row>
    <row r="85" spans="1:14" x14ac:dyDescent="0.25">
      <c r="A85" s="493"/>
      <c r="B85" s="493"/>
      <c r="C85" s="493"/>
      <c r="D85" s="493"/>
      <c r="E85" s="493"/>
      <c r="F85" s="493"/>
      <c r="G85" s="493"/>
      <c r="H85" s="493"/>
      <c r="I85" s="493"/>
      <c r="J85" s="493"/>
      <c r="K85" s="493"/>
      <c r="L85" s="493"/>
      <c r="M85" s="493"/>
    </row>
    <row r="86" spans="1:14" x14ac:dyDescent="0.25">
      <c r="A86" s="493"/>
      <c r="B86" s="493"/>
      <c r="C86" s="493"/>
      <c r="D86" s="493"/>
      <c r="E86" s="493"/>
      <c r="F86" s="493"/>
      <c r="G86" s="493"/>
      <c r="H86" s="493"/>
      <c r="I86" s="493"/>
      <c r="J86" s="493"/>
      <c r="K86" s="493"/>
      <c r="L86" s="493"/>
      <c r="M86" s="493"/>
    </row>
    <row r="87" spans="1:14" x14ac:dyDescent="0.25">
      <c r="A87" s="493"/>
      <c r="B87" s="493"/>
      <c r="C87" s="493"/>
      <c r="D87" s="493"/>
      <c r="E87" s="493"/>
      <c r="F87" s="493"/>
      <c r="G87" s="493"/>
      <c r="H87" s="493"/>
      <c r="I87" s="493"/>
      <c r="J87" s="493"/>
      <c r="K87" s="493"/>
      <c r="L87" s="493"/>
      <c r="M87" s="493"/>
    </row>
    <row r="88" spans="1:14" x14ac:dyDescent="0.25">
      <c r="A88" s="493"/>
      <c r="B88" s="493"/>
      <c r="C88" s="493"/>
      <c r="D88" s="493"/>
      <c r="E88" s="493"/>
      <c r="F88" s="493"/>
      <c r="G88" s="493"/>
      <c r="H88" s="493"/>
      <c r="I88" s="493"/>
      <c r="J88" s="493"/>
      <c r="K88" s="493"/>
      <c r="L88" s="493"/>
      <c r="M88" s="493"/>
      <c r="N88" s="493"/>
    </row>
    <row r="89" spans="1:14" x14ac:dyDescent="0.25">
      <c r="A89" s="493"/>
      <c r="B89" s="493"/>
      <c r="C89" s="493"/>
      <c r="D89" s="493"/>
      <c r="E89" s="493"/>
      <c r="F89" s="493"/>
      <c r="G89" s="493"/>
      <c r="H89" s="493"/>
      <c r="I89" s="493"/>
      <c r="J89" s="493"/>
      <c r="K89" s="493"/>
      <c r="L89" s="493"/>
      <c r="M89" s="493"/>
      <c r="N89" s="493"/>
    </row>
    <row r="90" spans="1:14" x14ac:dyDescent="0.25">
      <c r="A90" s="493"/>
      <c r="B90" s="493"/>
      <c r="C90" s="493"/>
      <c r="D90" s="493"/>
      <c r="E90" s="493"/>
      <c r="F90" s="493"/>
      <c r="G90" s="493"/>
      <c r="H90" s="493"/>
      <c r="I90" s="493"/>
      <c r="J90" s="493"/>
      <c r="K90" s="493"/>
      <c r="L90" s="493"/>
      <c r="M90" s="493"/>
      <c r="N90" s="493"/>
    </row>
    <row r="91" spans="1:14" x14ac:dyDescent="0.25">
      <c r="A91" s="493"/>
      <c r="B91" s="493"/>
      <c r="C91" s="493"/>
      <c r="D91" s="493"/>
      <c r="E91" s="493"/>
      <c r="F91" s="493"/>
      <c r="G91" s="493"/>
      <c r="H91" s="493"/>
      <c r="I91" s="493"/>
      <c r="J91" s="493"/>
      <c r="K91" s="493"/>
      <c r="L91" s="493"/>
      <c r="M91" s="493"/>
      <c r="N91" s="493"/>
    </row>
    <row r="92" spans="1:14" x14ac:dyDescent="0.25">
      <c r="A92" s="493"/>
      <c r="B92" s="493"/>
      <c r="C92" s="493"/>
      <c r="D92" s="493"/>
      <c r="E92" s="493"/>
      <c r="F92" s="493"/>
      <c r="G92" s="493"/>
      <c r="H92" s="493"/>
      <c r="I92" s="493"/>
      <c r="J92" s="493"/>
      <c r="K92" s="493"/>
      <c r="L92" s="493"/>
      <c r="M92" s="493"/>
    </row>
    <row r="93" spans="1:14" x14ac:dyDescent="0.25">
      <c r="A93" s="493"/>
      <c r="B93" s="493"/>
      <c r="C93" s="493"/>
      <c r="D93" s="493"/>
      <c r="E93" s="493"/>
      <c r="F93" s="493"/>
      <c r="G93" s="493"/>
      <c r="H93" s="493"/>
      <c r="I93" s="493"/>
      <c r="J93" s="493"/>
      <c r="K93" s="493"/>
      <c r="L93" s="493"/>
      <c r="M93" s="493"/>
    </row>
    <row r="94" spans="1:14" x14ac:dyDescent="0.25">
      <c r="A94" s="493"/>
      <c r="B94" s="493"/>
      <c r="C94" s="493"/>
      <c r="D94" s="493"/>
      <c r="E94" s="493"/>
      <c r="F94" s="493"/>
      <c r="G94" s="493"/>
      <c r="H94" s="493"/>
      <c r="I94" s="493"/>
      <c r="J94" s="493"/>
      <c r="K94" s="493"/>
      <c r="L94" s="493"/>
      <c r="M94" s="493"/>
    </row>
    <row r="95" spans="1:14" x14ac:dyDescent="0.25">
      <c r="A95" s="493"/>
      <c r="B95" s="493"/>
      <c r="C95" s="493"/>
      <c r="D95" s="493"/>
      <c r="E95" s="493"/>
      <c r="F95" s="493"/>
      <c r="G95" s="493"/>
      <c r="H95" s="493"/>
      <c r="I95" s="493"/>
      <c r="J95" s="493"/>
      <c r="K95" s="493"/>
      <c r="L95" s="493"/>
      <c r="M95" s="493"/>
    </row>
    <row r="96" spans="1:14" x14ac:dyDescent="0.25">
      <c r="A96" s="493"/>
      <c r="B96" s="493"/>
      <c r="C96" s="493"/>
      <c r="D96" s="493"/>
      <c r="E96" s="493"/>
      <c r="F96" s="493"/>
      <c r="G96" s="493"/>
      <c r="H96" s="493"/>
      <c r="I96" s="493"/>
      <c r="J96" s="493"/>
      <c r="K96" s="493"/>
      <c r="L96" s="493"/>
      <c r="M96" s="493"/>
    </row>
    <row r="97" spans="1:13" x14ac:dyDescent="0.25">
      <c r="A97" s="493"/>
      <c r="B97" s="493"/>
      <c r="C97" s="493"/>
      <c r="D97" s="493"/>
      <c r="E97" s="493"/>
      <c r="F97" s="493"/>
      <c r="G97" s="493"/>
      <c r="H97" s="493"/>
      <c r="I97" s="493"/>
      <c r="J97" s="493"/>
      <c r="K97" s="493"/>
      <c r="L97" s="493"/>
      <c r="M97" s="493"/>
    </row>
    <row r="98" spans="1:13" x14ac:dyDescent="0.25">
      <c r="A98" s="493"/>
      <c r="B98" s="493"/>
      <c r="C98" s="493"/>
      <c r="D98" s="493"/>
      <c r="E98" s="493"/>
      <c r="F98" s="493"/>
      <c r="G98" s="493"/>
      <c r="H98" s="493"/>
      <c r="I98" s="493"/>
      <c r="J98" s="493"/>
      <c r="K98" s="493"/>
      <c r="L98" s="493"/>
      <c r="M98" s="493"/>
    </row>
    <row r="99" spans="1:13" x14ac:dyDescent="0.25">
      <c r="A99" s="493"/>
      <c r="B99" s="493"/>
      <c r="C99" s="493"/>
      <c r="D99" s="493"/>
      <c r="E99" s="493"/>
      <c r="F99" s="493"/>
      <c r="G99" s="493"/>
      <c r="H99" s="493"/>
      <c r="I99" s="493"/>
      <c r="J99" s="493"/>
      <c r="K99" s="493"/>
      <c r="L99" s="493"/>
      <c r="M99" s="493"/>
    </row>
    <row r="100" spans="1:13" x14ac:dyDescent="0.25">
      <c r="A100" s="493"/>
      <c r="B100" s="493"/>
      <c r="C100" s="493"/>
      <c r="D100" s="493"/>
      <c r="E100" s="493"/>
      <c r="F100" s="493"/>
      <c r="G100" s="493"/>
      <c r="H100" s="493"/>
      <c r="I100" s="493"/>
      <c r="J100" s="493"/>
      <c r="K100" s="493"/>
      <c r="L100" s="493"/>
      <c r="M100" s="493"/>
    </row>
    <row r="101" spans="1:13" x14ac:dyDescent="0.25">
      <c r="A101" s="493"/>
      <c r="B101" s="493"/>
      <c r="C101" s="493"/>
      <c r="D101" s="493"/>
      <c r="E101" s="493"/>
      <c r="F101" s="493"/>
      <c r="G101" s="493"/>
      <c r="H101" s="493"/>
      <c r="I101" s="493"/>
      <c r="J101" s="493"/>
      <c r="K101" s="493"/>
      <c r="L101" s="493"/>
      <c r="M101" s="493"/>
    </row>
    <row r="102" spans="1:13" x14ac:dyDescent="0.25">
      <c r="A102" s="493"/>
      <c r="B102" s="493"/>
      <c r="C102" s="493"/>
      <c r="D102" s="493"/>
      <c r="E102" s="493"/>
      <c r="F102" s="493"/>
      <c r="G102" s="493"/>
      <c r="H102" s="493"/>
      <c r="I102" s="493"/>
      <c r="J102" s="493"/>
      <c r="K102" s="493"/>
      <c r="L102" s="493"/>
      <c r="M102" s="493"/>
    </row>
    <row r="103" spans="1:13" x14ac:dyDescent="0.25">
      <c r="A103" s="493"/>
      <c r="B103" s="493"/>
      <c r="C103" s="493"/>
      <c r="D103" s="493"/>
      <c r="E103" s="493"/>
      <c r="F103" s="493"/>
      <c r="G103" s="493"/>
      <c r="H103" s="493"/>
      <c r="I103" s="493"/>
      <c r="J103" s="493"/>
      <c r="K103" s="493"/>
      <c r="L103" s="493"/>
      <c r="M103" s="493"/>
    </row>
    <row r="104" spans="1:13" x14ac:dyDescent="0.25">
      <c r="A104" s="493"/>
      <c r="B104" s="493"/>
      <c r="C104" s="493"/>
      <c r="D104" s="493"/>
      <c r="E104" s="493"/>
      <c r="F104" s="493"/>
      <c r="G104" s="493"/>
      <c r="H104" s="493"/>
      <c r="I104" s="493"/>
      <c r="J104" s="493"/>
      <c r="K104" s="493"/>
      <c r="L104" s="493"/>
      <c r="M104" s="493"/>
    </row>
    <row r="105" spans="1:13" x14ac:dyDescent="0.25">
      <c r="A105" s="493"/>
      <c r="B105" s="493"/>
      <c r="C105" s="493"/>
      <c r="D105" s="493"/>
      <c r="E105" s="493"/>
      <c r="F105" s="493"/>
      <c r="G105" s="493"/>
      <c r="H105" s="493"/>
      <c r="I105" s="493"/>
      <c r="J105" s="493"/>
      <c r="K105" s="493"/>
      <c r="L105" s="493"/>
      <c r="M105" s="493"/>
    </row>
    <row r="106" spans="1:13" x14ac:dyDescent="0.25">
      <c r="A106" s="493"/>
      <c r="B106" s="493"/>
      <c r="C106" s="493"/>
      <c r="D106" s="493"/>
      <c r="E106" s="493"/>
      <c r="F106" s="493"/>
      <c r="G106" s="493"/>
      <c r="H106" s="493"/>
      <c r="I106" s="493"/>
      <c r="J106" s="493"/>
      <c r="K106" s="493"/>
      <c r="L106" s="493"/>
      <c r="M106" s="493"/>
    </row>
    <row r="107" spans="1:13" x14ac:dyDescent="0.25">
      <c r="A107" s="493"/>
      <c r="B107" s="493"/>
      <c r="C107" s="493"/>
      <c r="D107" s="493"/>
      <c r="E107" s="493"/>
      <c r="F107" s="493"/>
      <c r="G107" s="493"/>
      <c r="H107" s="493"/>
      <c r="I107" s="493"/>
      <c r="J107" s="493"/>
      <c r="K107" s="493"/>
      <c r="L107" s="493"/>
      <c r="M107" s="493"/>
    </row>
    <row r="108" spans="1:13" x14ac:dyDescent="0.25">
      <c r="A108" s="493"/>
      <c r="B108" s="493"/>
      <c r="C108" s="493"/>
      <c r="D108" s="493"/>
      <c r="E108" s="493"/>
      <c r="F108" s="493"/>
      <c r="G108" s="493"/>
      <c r="H108" s="493"/>
      <c r="I108" s="493"/>
      <c r="J108" s="493"/>
      <c r="K108" s="493"/>
      <c r="L108" s="493"/>
      <c r="M108" s="493"/>
    </row>
    <row r="109" spans="1:13" x14ac:dyDescent="0.25">
      <c r="A109" s="493"/>
      <c r="B109" s="493"/>
      <c r="C109" s="493"/>
      <c r="D109" s="493"/>
      <c r="E109" s="493"/>
      <c r="F109" s="493"/>
      <c r="G109" s="493"/>
      <c r="H109" s="493"/>
      <c r="I109" s="493"/>
      <c r="J109" s="493"/>
      <c r="K109" s="493"/>
      <c r="L109" s="493"/>
      <c r="M109" s="493"/>
    </row>
    <row r="110" spans="1:13" x14ac:dyDescent="0.25">
      <c r="A110" s="493"/>
      <c r="B110" s="493"/>
      <c r="C110" s="493"/>
      <c r="D110" s="493"/>
      <c r="E110" s="493"/>
      <c r="F110" s="493"/>
      <c r="G110" s="493"/>
      <c r="H110" s="493"/>
      <c r="I110" s="493"/>
      <c r="J110" s="493"/>
      <c r="K110" s="493"/>
      <c r="L110" s="493"/>
      <c r="M110" s="493"/>
    </row>
    <row r="111" spans="1:13" x14ac:dyDescent="0.25">
      <c r="A111" s="493"/>
      <c r="B111" s="493"/>
      <c r="C111" s="493"/>
      <c r="D111" s="493"/>
      <c r="E111" s="493"/>
      <c r="F111" s="493"/>
      <c r="G111" s="493"/>
      <c r="H111" s="493"/>
      <c r="I111" s="493"/>
      <c r="J111" s="493"/>
      <c r="K111" s="493"/>
      <c r="L111" s="493"/>
      <c r="M111" s="493"/>
    </row>
    <row r="112" spans="1:13" x14ac:dyDescent="0.25">
      <c r="A112" s="493"/>
      <c r="B112" s="493"/>
      <c r="C112" s="493"/>
      <c r="D112" s="493"/>
      <c r="E112" s="493"/>
      <c r="F112" s="493"/>
      <c r="G112" s="493"/>
      <c r="H112" s="493"/>
      <c r="I112" s="493"/>
      <c r="J112" s="493"/>
      <c r="K112" s="493"/>
      <c r="L112" s="493"/>
      <c r="M112" s="493"/>
    </row>
    <row r="113" spans="1:13" x14ac:dyDescent="0.25">
      <c r="A113" s="493"/>
      <c r="B113" s="493"/>
      <c r="C113" s="493"/>
      <c r="D113" s="493"/>
      <c r="E113" s="493"/>
      <c r="F113" s="493"/>
      <c r="G113" s="493"/>
      <c r="H113" s="493"/>
      <c r="I113" s="493"/>
      <c r="J113" s="493"/>
      <c r="K113" s="493"/>
      <c r="L113" s="493"/>
      <c r="M113" s="493"/>
    </row>
    <row r="114" spans="1:13" x14ac:dyDescent="0.25">
      <c r="A114" s="493"/>
      <c r="B114" s="493"/>
      <c r="C114" s="493"/>
      <c r="D114" s="493"/>
      <c r="E114" s="493"/>
      <c r="F114" s="493"/>
      <c r="G114" s="493"/>
      <c r="H114" s="493"/>
      <c r="I114" s="493"/>
      <c r="J114" s="493"/>
      <c r="K114" s="493"/>
      <c r="L114" s="493"/>
      <c r="M114" s="493"/>
    </row>
    <row r="115" spans="1:13" x14ac:dyDescent="0.25">
      <c r="A115" s="493"/>
      <c r="B115" s="493"/>
      <c r="C115" s="493"/>
      <c r="D115" s="493"/>
      <c r="E115" s="493"/>
      <c r="F115" s="493"/>
      <c r="G115" s="493"/>
      <c r="H115" s="493"/>
      <c r="I115" s="493"/>
      <c r="J115" s="493"/>
      <c r="K115" s="493"/>
      <c r="L115" s="493"/>
      <c r="M115" s="493"/>
    </row>
    <row r="116" spans="1:13" x14ac:dyDescent="0.25">
      <c r="A116" s="493"/>
      <c r="B116" s="493"/>
      <c r="C116" s="493"/>
      <c r="D116" s="493"/>
      <c r="E116" s="493"/>
      <c r="F116" s="493"/>
      <c r="G116" s="493"/>
      <c r="H116" s="493"/>
      <c r="I116" s="493"/>
      <c r="J116" s="493"/>
      <c r="K116" s="493"/>
      <c r="L116" s="493"/>
      <c r="M116" s="493"/>
    </row>
    <row r="117" spans="1:13" x14ac:dyDescent="0.25">
      <c r="A117" s="493"/>
      <c r="B117" s="493"/>
      <c r="C117" s="493"/>
      <c r="D117" s="493"/>
      <c r="E117" s="493"/>
      <c r="F117" s="493"/>
      <c r="G117" s="493"/>
      <c r="H117" s="493"/>
      <c r="I117" s="493"/>
      <c r="J117" s="493"/>
      <c r="K117" s="493"/>
      <c r="L117" s="493"/>
      <c r="M117" s="493"/>
    </row>
    <row r="118" spans="1:13" x14ac:dyDescent="0.25">
      <c r="A118" s="493"/>
      <c r="B118" s="493"/>
      <c r="C118" s="493"/>
      <c r="D118" s="493"/>
      <c r="E118" s="493"/>
      <c r="F118" s="493"/>
      <c r="G118" s="493"/>
      <c r="H118" s="493"/>
      <c r="I118" s="493"/>
      <c r="J118" s="493"/>
      <c r="K118" s="493"/>
      <c r="L118" s="493"/>
      <c r="M118" s="493"/>
    </row>
    <row r="119" spans="1:13" x14ac:dyDescent="0.25">
      <c r="A119" s="493"/>
      <c r="B119" s="493"/>
      <c r="C119" s="493"/>
      <c r="D119" s="493"/>
      <c r="E119" s="493"/>
      <c r="F119" s="493"/>
      <c r="G119" s="493"/>
      <c r="H119" s="493"/>
      <c r="I119" s="493"/>
      <c r="J119" s="493"/>
      <c r="K119" s="493"/>
      <c r="L119" s="493"/>
      <c r="M119" s="493"/>
    </row>
    <row r="120" spans="1:13" x14ac:dyDescent="0.25">
      <c r="A120" s="493"/>
      <c r="B120" s="493"/>
      <c r="C120" s="493"/>
      <c r="D120" s="493"/>
      <c r="E120" s="493"/>
      <c r="F120" s="493"/>
      <c r="G120" s="493"/>
      <c r="H120" s="493"/>
      <c r="I120" s="493"/>
      <c r="J120" s="493"/>
      <c r="K120" s="493"/>
      <c r="L120" s="493"/>
      <c r="M120" s="493"/>
    </row>
    <row r="121" spans="1:13" x14ac:dyDescent="0.25">
      <c r="A121" s="493"/>
      <c r="B121" s="493"/>
      <c r="C121" s="493"/>
      <c r="D121" s="493"/>
      <c r="E121" s="493"/>
      <c r="F121" s="493"/>
      <c r="G121" s="493"/>
      <c r="H121" s="493"/>
      <c r="I121" s="493"/>
      <c r="J121" s="493"/>
      <c r="K121" s="493"/>
      <c r="L121" s="493"/>
      <c r="M121" s="493"/>
    </row>
    <row r="122" spans="1:13" x14ac:dyDescent="0.25">
      <c r="A122" s="493"/>
      <c r="B122" s="493"/>
      <c r="C122" s="493"/>
      <c r="D122" s="493"/>
      <c r="E122" s="493"/>
      <c r="F122" s="493"/>
      <c r="G122" s="493"/>
      <c r="H122" s="493"/>
      <c r="I122" s="493"/>
      <c r="J122" s="493"/>
      <c r="K122" s="493"/>
      <c r="L122" s="493"/>
      <c r="M122" s="493"/>
    </row>
    <row r="123" spans="1:13" x14ac:dyDescent="0.25">
      <c r="A123" s="493"/>
      <c r="B123" s="493"/>
      <c r="C123" s="493"/>
      <c r="D123" s="493"/>
      <c r="E123" s="493"/>
      <c r="F123" s="493"/>
      <c r="G123" s="493"/>
      <c r="H123" s="493"/>
      <c r="I123" s="493"/>
      <c r="J123" s="493"/>
      <c r="K123" s="493"/>
      <c r="L123" s="493"/>
      <c r="M123" s="493"/>
    </row>
    <row r="124" spans="1:13" x14ac:dyDescent="0.25">
      <c r="A124" s="493"/>
      <c r="B124" s="493"/>
      <c r="C124" s="493"/>
      <c r="D124" s="493"/>
      <c r="E124" s="493"/>
      <c r="F124" s="493"/>
      <c r="G124" s="493"/>
      <c r="H124" s="493"/>
      <c r="I124" s="493"/>
      <c r="J124" s="493"/>
      <c r="K124" s="493"/>
      <c r="L124" s="493"/>
      <c r="M124" s="493"/>
    </row>
    <row r="125" spans="1:13" x14ac:dyDescent="0.25">
      <c r="A125" s="493"/>
      <c r="B125" s="493"/>
      <c r="C125" s="493"/>
      <c r="D125" s="493"/>
      <c r="E125" s="493"/>
      <c r="F125" s="493"/>
      <c r="G125" s="493"/>
      <c r="H125" s="493"/>
      <c r="I125" s="493"/>
      <c r="J125" s="493"/>
      <c r="K125" s="493"/>
      <c r="L125" s="493"/>
      <c r="M125" s="493"/>
    </row>
    <row r="126" spans="1:13" x14ac:dyDescent="0.25">
      <c r="A126" s="493"/>
      <c r="B126" s="493"/>
      <c r="C126" s="493"/>
      <c r="D126" s="493"/>
      <c r="E126" s="493"/>
      <c r="F126" s="493"/>
      <c r="G126" s="493"/>
      <c r="H126" s="493"/>
      <c r="I126" s="493"/>
      <c r="J126" s="493"/>
      <c r="K126" s="493"/>
      <c r="L126" s="493"/>
      <c r="M126" s="493"/>
    </row>
    <row r="127" spans="1:13" x14ac:dyDescent="0.25">
      <c r="A127" s="493"/>
      <c r="B127" s="493"/>
      <c r="C127" s="493"/>
      <c r="D127" s="493"/>
      <c r="E127" s="493"/>
      <c r="F127" s="493"/>
      <c r="G127" s="493"/>
      <c r="H127" s="493"/>
      <c r="I127" s="493"/>
      <c r="J127" s="493"/>
      <c r="K127" s="493"/>
      <c r="L127" s="493"/>
      <c r="M127" s="493"/>
    </row>
    <row r="128" spans="1:13" x14ac:dyDescent="0.25">
      <c r="A128" s="493"/>
      <c r="B128" s="493"/>
      <c r="C128" s="493"/>
      <c r="D128" s="493"/>
      <c r="E128" s="493"/>
      <c r="F128" s="493"/>
      <c r="G128" s="493"/>
      <c r="H128" s="493"/>
      <c r="I128" s="493"/>
      <c r="J128" s="493"/>
      <c r="K128" s="493"/>
      <c r="L128" s="493"/>
      <c r="M128" s="493"/>
    </row>
    <row r="129" spans="1:13" x14ac:dyDescent="0.25">
      <c r="A129" s="493"/>
      <c r="B129" s="493"/>
      <c r="C129" s="493"/>
      <c r="D129" s="493"/>
      <c r="E129" s="493"/>
      <c r="F129" s="493"/>
      <c r="G129" s="493"/>
      <c r="H129" s="493"/>
      <c r="I129" s="493"/>
      <c r="J129" s="493"/>
      <c r="K129" s="493"/>
      <c r="L129" s="493"/>
      <c r="M129" s="493"/>
    </row>
    <row r="130" spans="1:13" x14ac:dyDescent="0.25">
      <c r="A130" s="493"/>
      <c r="B130" s="493"/>
      <c r="C130" s="493"/>
      <c r="D130" s="493"/>
      <c r="E130" s="493"/>
      <c r="F130" s="493"/>
      <c r="G130" s="493"/>
      <c r="H130" s="493"/>
      <c r="I130" s="493"/>
      <c r="J130" s="493"/>
      <c r="K130" s="493"/>
      <c r="L130" s="493"/>
      <c r="M130" s="493"/>
    </row>
    <row r="131" spans="1:13" x14ac:dyDescent="0.25">
      <c r="A131" s="493"/>
      <c r="B131" s="493"/>
      <c r="C131" s="493"/>
      <c r="D131" s="493"/>
      <c r="E131" s="493"/>
      <c r="F131" s="493"/>
      <c r="G131" s="493"/>
      <c r="H131" s="493"/>
      <c r="I131" s="493"/>
      <c r="J131" s="493"/>
      <c r="K131" s="493"/>
      <c r="L131" s="493"/>
      <c r="M131" s="493"/>
    </row>
    <row r="132" spans="1:13" x14ac:dyDescent="0.25">
      <c r="A132" s="493"/>
      <c r="B132" s="493"/>
      <c r="C132" s="493"/>
      <c r="D132" s="493"/>
      <c r="E132" s="493"/>
      <c r="F132" s="493"/>
      <c r="G132" s="493"/>
      <c r="H132" s="493"/>
      <c r="I132" s="493"/>
      <c r="J132" s="493"/>
      <c r="K132" s="493"/>
      <c r="L132" s="493"/>
      <c r="M132" s="493"/>
    </row>
    <row r="133" spans="1:13" x14ac:dyDescent="0.25">
      <c r="A133" s="493"/>
      <c r="B133" s="493"/>
      <c r="C133" s="493"/>
      <c r="D133" s="493"/>
      <c r="E133" s="493"/>
      <c r="F133" s="493"/>
      <c r="G133" s="493"/>
      <c r="H133" s="493"/>
      <c r="I133" s="493"/>
      <c r="J133" s="493"/>
      <c r="K133" s="493"/>
      <c r="L133" s="493"/>
      <c r="M133" s="493"/>
    </row>
    <row r="134" spans="1:13" x14ac:dyDescent="0.25">
      <c r="A134" s="493"/>
      <c r="B134" s="493"/>
      <c r="C134" s="493"/>
      <c r="D134" s="493"/>
      <c r="E134" s="493"/>
      <c r="F134" s="493"/>
      <c r="G134" s="493"/>
      <c r="H134" s="493"/>
      <c r="I134" s="493"/>
      <c r="J134" s="493"/>
      <c r="K134" s="493"/>
      <c r="L134" s="493"/>
      <c r="M134" s="493"/>
    </row>
    <row r="135" spans="1:13" x14ac:dyDescent="0.25">
      <c r="A135" s="493"/>
      <c r="B135" s="493"/>
      <c r="C135" s="493"/>
      <c r="D135" s="493"/>
      <c r="E135" s="493"/>
      <c r="F135" s="493"/>
      <c r="G135" s="493"/>
      <c r="H135" s="493"/>
      <c r="I135" s="493"/>
      <c r="J135" s="493"/>
      <c r="K135" s="493"/>
      <c r="L135" s="493"/>
      <c r="M135" s="493"/>
    </row>
    <row r="136" spans="1:13" x14ac:dyDescent="0.25">
      <c r="A136" s="493"/>
      <c r="B136" s="493"/>
      <c r="C136" s="493"/>
      <c r="D136" s="493"/>
      <c r="E136" s="493"/>
      <c r="F136" s="493"/>
      <c r="G136" s="493"/>
      <c r="H136" s="493"/>
      <c r="I136" s="493"/>
      <c r="J136" s="493"/>
      <c r="K136" s="493"/>
      <c r="L136" s="493"/>
      <c r="M136" s="493"/>
    </row>
    <row r="137" spans="1:13" x14ac:dyDescent="0.25">
      <c r="A137" s="493"/>
      <c r="B137" s="493"/>
      <c r="C137" s="493"/>
      <c r="D137" s="493"/>
      <c r="E137" s="493"/>
      <c r="F137" s="493"/>
      <c r="G137" s="493"/>
      <c r="H137" s="493"/>
      <c r="I137" s="493"/>
      <c r="J137" s="493"/>
      <c r="K137" s="493"/>
      <c r="L137" s="493"/>
      <c r="M137" s="493"/>
    </row>
    <row r="138" spans="1:13" x14ac:dyDescent="0.25">
      <c r="A138" s="493"/>
      <c r="B138" s="493"/>
      <c r="C138" s="493"/>
      <c r="D138" s="493"/>
      <c r="E138" s="493"/>
      <c r="F138" s="493"/>
      <c r="G138" s="493"/>
      <c r="H138" s="493"/>
      <c r="I138" s="493"/>
      <c r="J138" s="493"/>
      <c r="K138" s="493"/>
      <c r="L138" s="493"/>
      <c r="M138" s="493"/>
    </row>
    <row r="139" spans="1:13" x14ac:dyDescent="0.25">
      <c r="A139" s="493"/>
      <c r="B139" s="493"/>
      <c r="C139" s="493"/>
      <c r="D139" s="493"/>
      <c r="E139" s="493"/>
      <c r="F139" s="493"/>
      <c r="G139" s="493"/>
      <c r="H139" s="493"/>
      <c r="I139" s="493"/>
      <c r="J139" s="493"/>
      <c r="K139" s="493"/>
      <c r="L139" s="493"/>
      <c r="M139" s="493"/>
    </row>
    <row r="140" spans="1:13" x14ac:dyDescent="0.25">
      <c r="A140" s="493"/>
      <c r="B140" s="493"/>
      <c r="C140" s="493"/>
      <c r="D140" s="493"/>
      <c r="E140" s="493"/>
      <c r="F140" s="493"/>
      <c r="G140" s="493"/>
      <c r="H140" s="493"/>
      <c r="I140" s="493"/>
      <c r="J140" s="493"/>
      <c r="K140" s="493"/>
      <c r="L140" s="493"/>
      <c r="M140" s="493"/>
    </row>
    <row r="141" spans="1:13" x14ac:dyDescent="0.25">
      <c r="A141" s="493"/>
      <c r="B141" s="493"/>
      <c r="C141" s="493"/>
      <c r="D141" s="493"/>
      <c r="E141" s="493"/>
      <c r="F141" s="493"/>
      <c r="G141" s="493"/>
      <c r="H141" s="493"/>
      <c r="I141" s="493"/>
      <c r="J141" s="493"/>
      <c r="K141" s="493"/>
      <c r="L141" s="493"/>
      <c r="M141" s="493"/>
    </row>
    <row r="142" spans="1:13" x14ac:dyDescent="0.25">
      <c r="A142" s="493"/>
      <c r="B142" s="493"/>
      <c r="C142" s="493"/>
      <c r="D142" s="493"/>
      <c r="E142" s="493"/>
      <c r="F142" s="493"/>
      <c r="G142" s="493"/>
      <c r="H142" s="493"/>
      <c r="I142" s="493"/>
      <c r="J142" s="493"/>
      <c r="K142" s="493"/>
      <c r="L142" s="493"/>
      <c r="M142" s="493"/>
    </row>
    <row r="143" spans="1:13" x14ac:dyDescent="0.25">
      <c r="A143" s="493"/>
      <c r="B143" s="493"/>
      <c r="C143" s="493"/>
      <c r="D143" s="493"/>
      <c r="E143" s="493"/>
      <c r="F143" s="493"/>
      <c r="G143" s="493"/>
      <c r="H143" s="493"/>
      <c r="I143" s="493"/>
      <c r="J143" s="493"/>
      <c r="K143" s="493"/>
      <c r="L143" s="493"/>
      <c r="M143" s="493"/>
    </row>
    <row r="144" spans="1:13" x14ac:dyDescent="0.25">
      <c r="A144" s="493"/>
      <c r="B144" s="493"/>
      <c r="C144" s="493"/>
      <c r="D144" s="493"/>
      <c r="E144" s="493"/>
      <c r="F144" s="493"/>
      <c r="G144" s="493"/>
      <c r="H144" s="493"/>
      <c r="I144" s="493"/>
      <c r="J144" s="493"/>
      <c r="K144" s="493"/>
      <c r="L144" s="493"/>
      <c r="M144" s="493"/>
    </row>
    <row r="145" spans="1:13" x14ac:dyDescent="0.25">
      <c r="A145" s="493"/>
      <c r="B145" s="493"/>
      <c r="C145" s="493"/>
      <c r="D145" s="493"/>
      <c r="E145" s="493"/>
      <c r="F145" s="493"/>
      <c r="G145" s="493"/>
      <c r="H145" s="493"/>
      <c r="I145" s="493"/>
      <c r="J145" s="493"/>
      <c r="K145" s="493"/>
      <c r="L145" s="493"/>
      <c r="M145" s="493"/>
    </row>
    <row r="146" spans="1:13" x14ac:dyDescent="0.25">
      <c r="A146" s="493"/>
      <c r="B146" s="493"/>
      <c r="C146" s="493"/>
      <c r="D146" s="493"/>
      <c r="E146" s="493"/>
      <c r="F146" s="493"/>
      <c r="G146" s="493"/>
      <c r="H146" s="493"/>
      <c r="I146" s="493"/>
      <c r="J146" s="493"/>
      <c r="K146" s="493"/>
      <c r="L146" s="493"/>
      <c r="M146" s="493"/>
    </row>
    <row r="147" spans="1:13" x14ac:dyDescent="0.25">
      <c r="A147" s="493"/>
      <c r="B147" s="493"/>
      <c r="C147" s="493"/>
      <c r="D147" s="493"/>
      <c r="E147" s="493"/>
      <c r="F147" s="493"/>
      <c r="G147" s="493"/>
      <c r="H147" s="493"/>
      <c r="I147" s="493"/>
      <c r="J147" s="493"/>
      <c r="K147" s="493"/>
      <c r="L147" s="493"/>
      <c r="M147" s="493"/>
    </row>
    <row r="148" spans="1:13" x14ac:dyDescent="0.25">
      <c r="A148" s="493"/>
      <c r="B148" s="493"/>
      <c r="C148" s="493"/>
      <c r="D148" s="493"/>
      <c r="E148" s="493"/>
      <c r="F148" s="493"/>
      <c r="G148" s="493"/>
      <c r="H148" s="493"/>
      <c r="I148" s="493"/>
      <c r="J148" s="493"/>
      <c r="K148" s="493"/>
      <c r="L148" s="493"/>
      <c r="M148" s="493"/>
    </row>
    <row r="149" spans="1:13" x14ac:dyDescent="0.25">
      <c r="A149" s="493"/>
      <c r="B149" s="493"/>
      <c r="C149" s="493"/>
      <c r="D149" s="493"/>
      <c r="E149" s="493"/>
      <c r="F149" s="493"/>
      <c r="G149" s="493"/>
      <c r="H149" s="493"/>
      <c r="I149" s="493"/>
      <c r="J149" s="493"/>
      <c r="K149" s="493"/>
      <c r="L149" s="493"/>
      <c r="M149" s="493"/>
    </row>
    <row r="150" spans="1:13" x14ac:dyDescent="0.25">
      <c r="A150" s="493"/>
      <c r="B150" s="493"/>
      <c r="C150" s="493"/>
      <c r="D150" s="493"/>
      <c r="E150" s="493"/>
      <c r="F150" s="493"/>
      <c r="G150" s="493"/>
      <c r="H150" s="493"/>
      <c r="I150" s="493"/>
      <c r="J150" s="493"/>
      <c r="K150" s="493"/>
      <c r="L150" s="493"/>
      <c r="M150" s="493"/>
    </row>
    <row r="151" spans="1:13" x14ac:dyDescent="0.25">
      <c r="A151" s="493"/>
      <c r="B151" s="493"/>
      <c r="C151" s="493"/>
      <c r="D151" s="493"/>
      <c r="E151" s="493"/>
      <c r="F151" s="493"/>
      <c r="G151" s="493"/>
      <c r="H151" s="493"/>
      <c r="I151" s="493"/>
      <c r="J151" s="493"/>
      <c r="K151" s="493"/>
      <c r="L151" s="493"/>
      <c r="M151" s="493"/>
    </row>
    <row r="152" spans="1:13" x14ac:dyDescent="0.25">
      <c r="A152" s="493"/>
      <c r="B152" s="493"/>
      <c r="C152" s="493"/>
      <c r="D152" s="493"/>
      <c r="E152" s="493"/>
      <c r="F152" s="493"/>
      <c r="G152" s="493"/>
      <c r="H152" s="493"/>
      <c r="I152" s="493"/>
      <c r="J152" s="493"/>
      <c r="K152" s="493"/>
      <c r="L152" s="493"/>
      <c r="M152" s="493"/>
    </row>
    <row r="153" spans="1:13" x14ac:dyDescent="0.25">
      <c r="A153" s="493"/>
      <c r="B153" s="493"/>
      <c r="C153" s="493"/>
      <c r="D153" s="493"/>
      <c r="E153" s="493"/>
      <c r="F153" s="493"/>
      <c r="G153" s="493"/>
      <c r="H153" s="493"/>
      <c r="I153" s="493"/>
      <c r="J153" s="493"/>
      <c r="K153" s="493"/>
      <c r="L153" s="493"/>
      <c r="M153" s="493"/>
    </row>
    <row r="154" spans="1:13" x14ac:dyDescent="0.25">
      <c r="A154" s="493"/>
      <c r="B154" s="493"/>
      <c r="C154" s="493"/>
      <c r="D154" s="493"/>
      <c r="E154" s="493"/>
      <c r="F154" s="493"/>
      <c r="G154" s="493"/>
      <c r="H154" s="493"/>
      <c r="I154" s="493"/>
      <c r="J154" s="493"/>
      <c r="K154" s="493"/>
      <c r="L154" s="493"/>
      <c r="M154" s="493"/>
    </row>
    <row r="155" spans="1:13" x14ac:dyDescent="0.25">
      <c r="A155" s="493"/>
      <c r="B155" s="493"/>
      <c r="C155" s="493"/>
      <c r="D155" s="493"/>
      <c r="E155" s="493"/>
      <c r="F155" s="493"/>
      <c r="G155" s="493"/>
      <c r="H155" s="493"/>
      <c r="I155" s="493"/>
      <c r="J155" s="493"/>
      <c r="K155" s="493"/>
      <c r="L155" s="493"/>
      <c r="M155" s="493"/>
    </row>
    <row r="156" spans="1:13" x14ac:dyDescent="0.25">
      <c r="A156" s="493"/>
      <c r="B156" s="493"/>
      <c r="C156" s="493"/>
      <c r="D156" s="493"/>
      <c r="E156" s="493"/>
      <c r="F156" s="493"/>
      <c r="G156" s="493"/>
      <c r="H156" s="493"/>
      <c r="I156" s="493"/>
      <c r="J156" s="493"/>
      <c r="K156" s="493"/>
      <c r="L156" s="493"/>
      <c r="M156" s="493"/>
    </row>
    <row r="157" spans="1:13" x14ac:dyDescent="0.25">
      <c r="A157" s="493"/>
      <c r="B157" s="493"/>
      <c r="C157" s="493"/>
      <c r="D157" s="493"/>
      <c r="E157" s="493"/>
      <c r="F157" s="493"/>
      <c r="G157" s="493"/>
      <c r="H157" s="493"/>
      <c r="I157" s="493"/>
      <c r="J157" s="493"/>
      <c r="K157" s="493"/>
      <c r="L157" s="493"/>
      <c r="M157" s="493"/>
    </row>
    <row r="158" spans="1:13" x14ac:dyDescent="0.25">
      <c r="A158" s="493"/>
      <c r="B158" s="493"/>
      <c r="C158" s="493"/>
      <c r="D158" s="493"/>
      <c r="E158" s="493"/>
      <c r="F158" s="493"/>
      <c r="G158" s="493"/>
      <c r="H158" s="493"/>
      <c r="I158" s="493"/>
      <c r="J158" s="493"/>
      <c r="K158" s="493"/>
      <c r="L158" s="493"/>
      <c r="M158" s="493"/>
    </row>
    <row r="159" spans="1:13" x14ac:dyDescent="0.25">
      <c r="A159" s="493"/>
      <c r="B159" s="493"/>
      <c r="C159" s="493"/>
      <c r="D159" s="493"/>
      <c r="E159" s="493"/>
      <c r="F159" s="493"/>
      <c r="G159" s="493"/>
      <c r="H159" s="493"/>
      <c r="I159" s="493"/>
      <c r="J159" s="493"/>
      <c r="K159" s="493"/>
      <c r="L159" s="493"/>
      <c r="M159" s="493"/>
    </row>
    <row r="160" spans="1:13" x14ac:dyDescent="0.25">
      <c r="A160" s="493"/>
      <c r="B160" s="493"/>
      <c r="C160" s="493"/>
      <c r="D160" s="493"/>
      <c r="E160" s="493"/>
      <c r="F160" s="493"/>
      <c r="G160" s="493"/>
      <c r="H160" s="493"/>
      <c r="I160" s="493"/>
      <c r="J160" s="493"/>
      <c r="K160" s="493"/>
      <c r="L160" s="493"/>
      <c r="M160" s="493"/>
    </row>
    <row r="161" spans="1:13" x14ac:dyDescent="0.25">
      <c r="A161" s="493"/>
      <c r="B161" s="493"/>
      <c r="C161" s="493"/>
      <c r="D161" s="493"/>
      <c r="E161" s="493"/>
      <c r="F161" s="493"/>
      <c r="G161" s="493"/>
      <c r="H161" s="493"/>
      <c r="I161" s="493"/>
      <c r="J161" s="493"/>
      <c r="K161" s="493"/>
      <c r="L161" s="493"/>
      <c r="M161" s="493"/>
    </row>
    <row r="162" spans="1:13" x14ac:dyDescent="0.25">
      <c r="A162" s="493"/>
      <c r="B162" s="493"/>
      <c r="C162" s="493"/>
      <c r="D162" s="493"/>
      <c r="E162" s="493"/>
      <c r="F162" s="493"/>
      <c r="G162" s="493"/>
      <c r="H162" s="493"/>
      <c r="I162" s="493"/>
      <c r="J162" s="493"/>
      <c r="K162" s="493"/>
      <c r="L162" s="493"/>
      <c r="M162" s="493"/>
    </row>
    <row r="163" spans="1:13" x14ac:dyDescent="0.25">
      <c r="A163" s="493"/>
      <c r="B163" s="493"/>
      <c r="C163" s="493"/>
      <c r="D163" s="493"/>
      <c r="E163" s="493"/>
      <c r="F163" s="493"/>
      <c r="G163" s="493"/>
      <c r="H163" s="493"/>
      <c r="I163" s="493"/>
      <c r="J163" s="493"/>
      <c r="K163" s="493"/>
      <c r="L163" s="493"/>
      <c r="M163" s="493"/>
    </row>
    <row r="164" spans="1:13" x14ac:dyDescent="0.25">
      <c r="A164" s="493"/>
      <c r="B164" s="493"/>
      <c r="C164" s="493"/>
      <c r="D164" s="493"/>
      <c r="E164" s="493"/>
      <c r="F164" s="493"/>
      <c r="G164" s="493"/>
      <c r="H164" s="493"/>
      <c r="I164" s="493"/>
      <c r="J164" s="493"/>
      <c r="K164" s="493"/>
      <c r="L164" s="493"/>
      <c r="M164" s="493"/>
    </row>
    <row r="165" spans="1:13" x14ac:dyDescent="0.25">
      <c r="A165" s="493"/>
      <c r="B165" s="493"/>
      <c r="C165" s="493"/>
      <c r="D165" s="493"/>
      <c r="E165" s="493"/>
      <c r="F165" s="493"/>
      <c r="G165" s="493"/>
      <c r="H165" s="493"/>
      <c r="I165" s="493"/>
      <c r="J165" s="493"/>
      <c r="K165" s="493"/>
      <c r="L165" s="493"/>
      <c r="M165" s="493"/>
    </row>
    <row r="166" spans="1:13" x14ac:dyDescent="0.25">
      <c r="A166" s="493"/>
      <c r="B166" s="493"/>
      <c r="C166" s="493"/>
      <c r="D166" s="493"/>
      <c r="E166" s="493"/>
      <c r="F166" s="493"/>
      <c r="G166" s="493"/>
      <c r="H166" s="493"/>
      <c r="I166" s="493"/>
      <c r="J166" s="493"/>
      <c r="K166" s="493"/>
      <c r="L166" s="493"/>
      <c r="M166" s="493"/>
    </row>
    <row r="167" spans="1:13" x14ac:dyDescent="0.25">
      <c r="A167" s="493"/>
      <c r="B167" s="493"/>
      <c r="C167" s="493"/>
      <c r="D167" s="493"/>
      <c r="E167" s="493"/>
      <c r="F167" s="493"/>
      <c r="G167" s="493"/>
      <c r="H167" s="493"/>
      <c r="I167" s="493"/>
      <c r="J167" s="493"/>
      <c r="K167" s="493"/>
      <c r="L167" s="493"/>
      <c r="M167" s="493"/>
    </row>
    <row r="168" spans="1:13" x14ac:dyDescent="0.25">
      <c r="A168" s="493"/>
      <c r="B168" s="493"/>
      <c r="C168" s="493"/>
      <c r="D168" s="493"/>
      <c r="E168" s="493"/>
      <c r="F168" s="493"/>
      <c r="G168" s="493"/>
      <c r="H168" s="493"/>
      <c r="I168" s="493"/>
      <c r="J168" s="493"/>
      <c r="K168" s="493"/>
      <c r="L168" s="493"/>
      <c r="M168" s="493"/>
    </row>
    <row r="169" spans="1:13" x14ac:dyDescent="0.25">
      <c r="A169" s="493"/>
      <c r="B169" s="493"/>
      <c r="C169" s="493"/>
      <c r="D169" s="493"/>
      <c r="E169" s="493"/>
      <c r="F169" s="493"/>
      <c r="G169" s="493"/>
      <c r="H169" s="493"/>
      <c r="I169" s="493"/>
      <c r="J169" s="493"/>
      <c r="K169" s="493"/>
      <c r="L169" s="493"/>
      <c r="M169" s="493"/>
    </row>
    <row r="170" spans="1:13" x14ac:dyDescent="0.25">
      <c r="A170" s="493"/>
      <c r="B170" s="493"/>
      <c r="C170" s="493"/>
      <c r="D170" s="493"/>
      <c r="E170" s="493"/>
      <c r="F170" s="493"/>
      <c r="G170" s="493"/>
      <c r="H170" s="493"/>
      <c r="I170" s="493"/>
      <c r="J170" s="493"/>
      <c r="K170" s="493"/>
      <c r="L170" s="493"/>
      <c r="M170" s="493"/>
    </row>
    <row r="171" spans="1:13" x14ac:dyDescent="0.25">
      <c r="A171" s="493"/>
      <c r="B171" s="493"/>
      <c r="C171" s="493"/>
      <c r="D171" s="493"/>
      <c r="E171" s="493"/>
      <c r="F171" s="493"/>
      <c r="G171" s="493"/>
      <c r="H171" s="493"/>
      <c r="I171" s="493"/>
      <c r="J171" s="493"/>
      <c r="K171" s="493"/>
      <c r="L171" s="493"/>
      <c r="M171" s="493"/>
    </row>
    <row r="172" spans="1:13" x14ac:dyDescent="0.25">
      <c r="A172" s="493"/>
      <c r="B172" s="493"/>
      <c r="C172" s="493"/>
      <c r="D172" s="493"/>
      <c r="E172" s="493"/>
      <c r="F172" s="493"/>
      <c r="G172" s="493"/>
      <c r="H172" s="493"/>
      <c r="I172" s="493"/>
      <c r="J172" s="493"/>
      <c r="K172" s="493"/>
      <c r="L172" s="493"/>
      <c r="M172" s="493"/>
    </row>
    <row r="173" spans="1:13" x14ac:dyDescent="0.25">
      <c r="A173" s="493"/>
      <c r="B173" s="493"/>
      <c r="C173" s="493"/>
      <c r="D173" s="493"/>
      <c r="E173" s="493"/>
      <c r="F173" s="493"/>
      <c r="G173" s="493"/>
      <c r="H173" s="493"/>
      <c r="I173" s="493"/>
      <c r="J173" s="493"/>
      <c r="K173" s="493"/>
      <c r="L173" s="493"/>
      <c r="M173" s="493"/>
    </row>
    <row r="174" spans="1:13" x14ac:dyDescent="0.25">
      <c r="A174" s="493"/>
      <c r="B174" s="493"/>
      <c r="C174" s="493"/>
      <c r="D174" s="493"/>
      <c r="E174" s="493"/>
      <c r="F174" s="493"/>
      <c r="G174" s="493"/>
      <c r="H174" s="493"/>
      <c r="I174" s="493"/>
      <c r="J174" s="493"/>
      <c r="K174" s="493"/>
      <c r="L174" s="493"/>
      <c r="M174" s="493"/>
    </row>
    <row r="175" spans="1:13" x14ac:dyDescent="0.25">
      <c r="A175" s="493"/>
      <c r="B175" s="493"/>
      <c r="C175" s="493"/>
      <c r="D175" s="493"/>
      <c r="E175" s="493"/>
      <c r="F175" s="493"/>
      <c r="G175" s="493"/>
      <c r="H175" s="493"/>
      <c r="I175" s="493"/>
      <c r="J175" s="493"/>
      <c r="K175" s="493"/>
      <c r="L175" s="493"/>
      <c r="M175" s="493"/>
    </row>
    <row r="176" spans="1:13" x14ac:dyDescent="0.25">
      <c r="A176" s="493"/>
      <c r="B176" s="493"/>
      <c r="C176" s="493"/>
      <c r="D176" s="493"/>
      <c r="E176" s="493"/>
      <c r="F176" s="493"/>
      <c r="G176" s="493"/>
      <c r="H176" s="493"/>
      <c r="I176" s="493"/>
      <c r="J176" s="493"/>
      <c r="K176" s="493"/>
      <c r="L176" s="493"/>
      <c r="M176" s="493"/>
    </row>
    <row r="177" spans="1:13" x14ac:dyDescent="0.25">
      <c r="A177" s="493"/>
      <c r="B177" s="493"/>
      <c r="C177" s="493"/>
      <c r="D177" s="493"/>
      <c r="E177" s="493"/>
      <c r="F177" s="493"/>
      <c r="G177" s="493"/>
      <c r="H177" s="493"/>
      <c r="I177" s="493"/>
      <c r="J177" s="493"/>
      <c r="K177" s="493"/>
      <c r="L177" s="493"/>
      <c r="M177" s="493"/>
    </row>
    <row r="178" spans="1:13" x14ac:dyDescent="0.25">
      <c r="A178" s="493"/>
      <c r="B178" s="493"/>
      <c r="C178" s="493"/>
      <c r="D178" s="493"/>
      <c r="E178" s="493"/>
      <c r="F178" s="493"/>
      <c r="G178" s="493"/>
      <c r="H178" s="493"/>
      <c r="I178" s="493"/>
      <c r="J178" s="493"/>
      <c r="K178" s="493"/>
      <c r="L178" s="493"/>
      <c r="M178" s="493"/>
    </row>
    <row r="179" spans="1:13" x14ac:dyDescent="0.25">
      <c r="A179" s="493"/>
      <c r="B179" s="493"/>
      <c r="C179" s="493"/>
      <c r="D179" s="493"/>
      <c r="E179" s="493"/>
      <c r="F179" s="493"/>
      <c r="G179" s="493"/>
      <c r="H179" s="493"/>
      <c r="I179" s="493"/>
      <c r="J179" s="493"/>
      <c r="K179" s="493"/>
      <c r="L179" s="493"/>
      <c r="M179" s="493"/>
    </row>
    <row r="180" spans="1:13" x14ac:dyDescent="0.25">
      <c r="A180" s="493"/>
      <c r="B180" s="493"/>
      <c r="C180" s="493"/>
      <c r="D180" s="493"/>
      <c r="E180" s="493"/>
      <c r="F180" s="493"/>
      <c r="G180" s="493"/>
      <c r="H180" s="493"/>
      <c r="I180" s="493"/>
      <c r="J180" s="493"/>
      <c r="K180" s="493"/>
      <c r="L180" s="493"/>
      <c r="M180" s="493"/>
    </row>
    <row r="181" spans="1:13" x14ac:dyDescent="0.25">
      <c r="A181" s="493"/>
      <c r="B181" s="493"/>
      <c r="C181" s="493"/>
      <c r="D181" s="493"/>
      <c r="E181" s="493"/>
      <c r="F181" s="493"/>
      <c r="G181" s="493"/>
      <c r="H181" s="493"/>
      <c r="I181" s="493"/>
      <c r="J181" s="493"/>
      <c r="K181" s="493"/>
      <c r="L181" s="493"/>
      <c r="M181" s="493"/>
    </row>
    <row r="182" spans="1:13" x14ac:dyDescent="0.25">
      <c r="A182" s="493"/>
      <c r="B182" s="493"/>
      <c r="C182" s="493"/>
      <c r="D182" s="493"/>
      <c r="E182" s="493"/>
      <c r="F182" s="493"/>
      <c r="G182" s="493"/>
      <c r="H182" s="493"/>
      <c r="I182" s="493"/>
      <c r="J182" s="493"/>
      <c r="K182" s="493"/>
      <c r="L182" s="493"/>
      <c r="M182" s="493"/>
    </row>
    <row r="183" spans="1:13" x14ac:dyDescent="0.25">
      <c r="A183" s="493"/>
      <c r="B183" s="493"/>
      <c r="C183" s="493"/>
      <c r="D183" s="493"/>
      <c r="E183" s="493"/>
      <c r="F183" s="493"/>
      <c r="G183" s="493"/>
      <c r="H183" s="493"/>
      <c r="I183" s="493"/>
      <c r="J183" s="493"/>
      <c r="K183" s="493"/>
      <c r="L183" s="493"/>
      <c r="M183" s="493"/>
    </row>
    <row r="184" spans="1:13" x14ac:dyDescent="0.25">
      <c r="A184" s="493"/>
      <c r="B184" s="493"/>
      <c r="C184" s="493"/>
      <c r="D184" s="493"/>
      <c r="E184" s="493"/>
      <c r="F184" s="493"/>
      <c r="G184" s="493"/>
      <c r="H184" s="493"/>
      <c r="I184" s="493"/>
      <c r="J184" s="493"/>
      <c r="K184" s="493"/>
      <c r="L184" s="493"/>
      <c r="M184" s="493"/>
    </row>
    <row r="185" spans="1:13" x14ac:dyDescent="0.25">
      <c r="A185" s="493"/>
      <c r="B185" s="493"/>
      <c r="C185" s="493"/>
      <c r="D185" s="493"/>
      <c r="E185" s="493"/>
      <c r="F185" s="493"/>
      <c r="G185" s="493"/>
      <c r="H185" s="493"/>
      <c r="I185" s="493"/>
      <c r="J185" s="493"/>
      <c r="K185" s="493"/>
      <c r="L185" s="493"/>
      <c r="M185" s="493"/>
    </row>
    <row r="186" spans="1:13" x14ac:dyDescent="0.25">
      <c r="A186" s="493"/>
      <c r="B186" s="493"/>
      <c r="C186" s="493"/>
      <c r="D186" s="493"/>
      <c r="E186" s="493"/>
      <c r="F186" s="493"/>
      <c r="G186" s="493"/>
      <c r="H186" s="493"/>
      <c r="I186" s="493"/>
      <c r="J186" s="493"/>
      <c r="K186" s="493"/>
      <c r="L186" s="493"/>
      <c r="M186" s="493"/>
    </row>
    <row r="187" spans="1:13" x14ac:dyDescent="0.25">
      <c r="A187" s="493"/>
      <c r="B187" s="493"/>
      <c r="C187" s="493"/>
      <c r="D187" s="493"/>
      <c r="E187" s="493"/>
      <c r="F187" s="493"/>
      <c r="G187" s="493"/>
      <c r="H187" s="493"/>
      <c r="I187" s="493"/>
      <c r="J187" s="493"/>
      <c r="K187" s="493"/>
      <c r="L187" s="493"/>
      <c r="M187" s="493"/>
    </row>
    <row r="188" spans="1:13" x14ac:dyDescent="0.25">
      <c r="A188" s="493"/>
      <c r="B188" s="493"/>
      <c r="C188" s="493"/>
      <c r="D188" s="493"/>
      <c r="E188" s="493"/>
      <c r="F188" s="493"/>
      <c r="G188" s="493"/>
      <c r="H188" s="493"/>
      <c r="I188" s="493"/>
      <c r="J188" s="493"/>
      <c r="K188" s="493"/>
      <c r="L188" s="493"/>
      <c r="M188" s="493"/>
    </row>
    <row r="189" spans="1:13" x14ac:dyDescent="0.25">
      <c r="A189" s="493"/>
      <c r="B189" s="493"/>
      <c r="C189" s="493"/>
      <c r="D189" s="493"/>
      <c r="E189" s="493"/>
      <c r="F189" s="493"/>
      <c r="G189" s="493"/>
      <c r="H189" s="493"/>
      <c r="I189" s="493"/>
      <c r="J189" s="493"/>
      <c r="K189" s="493"/>
      <c r="L189" s="493"/>
      <c r="M189" s="493"/>
    </row>
  </sheetData>
  <mergeCells count="12">
    <mergeCell ref="B5:C5"/>
    <mergeCell ref="I5:K5"/>
    <mergeCell ref="N5:O5"/>
    <mergeCell ref="S5:U5"/>
    <mergeCell ref="Y5:AA5"/>
    <mergeCell ref="A1:W1"/>
    <mergeCell ref="Y1:AB1"/>
    <mergeCell ref="A2:V2"/>
    <mergeCell ref="Y2:AB2"/>
    <mergeCell ref="B4:L4"/>
    <mergeCell ref="N4:V4"/>
    <mergeCell ref="Y4:AB4"/>
  </mergeCells>
  <pageMargins left="0.75" right="0.75" top="1" bottom="1" header="0.5" footer="0.5"/>
  <pageSetup paperSize="5" scale="80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49</vt:i4>
      </vt:variant>
      <vt:variant>
        <vt:lpstr>Named Ranges</vt:lpstr>
      </vt:variant>
      <vt:variant>
        <vt:i4>30</vt:i4>
      </vt:variant>
    </vt:vector>
  </HeadingPairs>
  <TitlesOfParts>
    <vt:vector size="79" baseType="lpstr">
      <vt:lpstr>Sales Forecast</vt:lpstr>
      <vt:lpstr>Adj Sales Forecast</vt:lpstr>
      <vt:lpstr>Demand Forecast</vt:lpstr>
      <vt:lpstr>Adj Demand Forecast </vt:lpstr>
      <vt:lpstr>Forecasted TOD kW by Period</vt:lpstr>
      <vt:lpstr>Forecasted Conv kW by Period</vt:lpstr>
      <vt:lpstr>TOD % of Reg kW</vt:lpstr>
      <vt:lpstr>Forecasted TOD kWh by Period</vt:lpstr>
      <vt:lpstr>TOD OnOff kWh Ratios</vt:lpstr>
      <vt:lpstr>TODS On Off %</vt:lpstr>
      <vt:lpstr>MSC Cover Page </vt:lpstr>
      <vt:lpstr>Capacity Estimates</vt:lpstr>
      <vt:lpstr>Sheet1</vt:lpstr>
      <vt:lpstr>NYISO Strip Auction Price</vt:lpstr>
      <vt:lpstr>SC 1 Rate III MSC Cap</vt:lpstr>
      <vt:lpstr>Summer SC1 Residential Def Rev</vt:lpstr>
      <vt:lpstr>May - Oct Capacity MSC by Class</vt:lpstr>
      <vt:lpstr>Nov - Apr Capacity MSC by Class</vt:lpstr>
      <vt:lpstr>Lookup Tables for Level Billing</vt:lpstr>
      <vt:lpstr>MSC - Energy SC1</vt:lpstr>
      <vt:lpstr>Level Billing Summary</vt:lpstr>
      <vt:lpstr>MAC Cover Page </vt:lpstr>
      <vt:lpstr>Valued History</vt:lpstr>
      <vt:lpstr>Forecast MAC Total</vt:lpstr>
      <vt:lpstr>MTM MSC Estimates 1,9 Oct</vt:lpstr>
      <vt:lpstr>MTM MSC Estimates 1,9 Nov</vt:lpstr>
      <vt:lpstr>MTM MSC Estimates 1,9 Dec</vt:lpstr>
      <vt:lpstr>MTM MSC Estimates 1,9 Jan</vt:lpstr>
      <vt:lpstr>MTM MSC Estimates 1,9 Feb</vt:lpstr>
      <vt:lpstr>MTM MSC Estimates 1,9 Mar</vt:lpstr>
      <vt:lpstr>MTM MSC Estimates 1,9 Apr</vt:lpstr>
      <vt:lpstr>MTM MSC Estimates 1,9 May21</vt:lpstr>
      <vt:lpstr>MTM MSC Estimates 1,9 Jun21</vt:lpstr>
      <vt:lpstr>MTM MSC Estimates 1,9 Jul21</vt:lpstr>
      <vt:lpstr>MTM MSC Estimates 1,9 Aug21</vt:lpstr>
      <vt:lpstr>MTM MSC Estimates 1,9 Sep21</vt:lpstr>
      <vt:lpstr>MTM MSC Estimates 1,9 Oct21</vt:lpstr>
      <vt:lpstr>May Price Out</vt:lpstr>
      <vt:lpstr>Jun Price Out</vt:lpstr>
      <vt:lpstr>Jul Price Out</vt:lpstr>
      <vt:lpstr>Aug Price Out</vt:lpstr>
      <vt:lpstr>Sep Price Out</vt:lpstr>
      <vt:lpstr>Oct Price Out</vt:lpstr>
      <vt:lpstr>Nov Price Out</vt:lpstr>
      <vt:lpstr>Dec Price Out</vt:lpstr>
      <vt:lpstr>Jan Price Out</vt:lpstr>
      <vt:lpstr>Feb Price Out</vt:lpstr>
      <vt:lpstr>Mar Price Out</vt:lpstr>
      <vt:lpstr>Apr Price Out</vt:lpstr>
      <vt:lpstr>'Apr Price Out'!Print_Area</vt:lpstr>
      <vt:lpstr>'Aug Price Out'!Print_Area</vt:lpstr>
      <vt:lpstr>'Capacity Estimates'!Print_Area</vt:lpstr>
      <vt:lpstr>'Dec Price Out'!Print_Area</vt:lpstr>
      <vt:lpstr>'Demand Forecast'!Print_Area</vt:lpstr>
      <vt:lpstr>'Feb Price Out'!Print_Area</vt:lpstr>
      <vt:lpstr>'Forecast MAC Total'!Print_Area</vt:lpstr>
      <vt:lpstr>'Forecasted TOD kW by Period'!Print_Area</vt:lpstr>
      <vt:lpstr>'Jan Price Out'!Print_Area</vt:lpstr>
      <vt:lpstr>'Level Billing Summary'!Print_Area</vt:lpstr>
      <vt:lpstr>'MAC Cover Page '!Print_Area</vt:lpstr>
      <vt:lpstr>'Mar Price Out'!Print_Area</vt:lpstr>
      <vt:lpstr>'May - Oct Capacity MSC by Class'!Print_Area</vt:lpstr>
      <vt:lpstr>'MSC - Energy SC1'!Print_Area</vt:lpstr>
      <vt:lpstr>'MSC Cover Page '!Print_Area</vt:lpstr>
      <vt:lpstr>'Nov - Apr Capacity MSC by Class'!Print_Area</vt:lpstr>
      <vt:lpstr>'Nov Price Out'!Print_Area</vt:lpstr>
      <vt:lpstr>'Oct Price Out'!Print_Area</vt:lpstr>
      <vt:lpstr>'Sales Forecast'!Print_Area</vt:lpstr>
      <vt:lpstr>'Sep Price Out'!Print_Area</vt:lpstr>
      <vt:lpstr>'TODS On Off %'!Print_Area</vt:lpstr>
      <vt:lpstr>'Valued History'!Print_Area</vt:lpstr>
      <vt:lpstr>'Aug Price Out'!Print_Titles</vt:lpstr>
      <vt:lpstr>'Dec Price Out'!Print_Titles</vt:lpstr>
      <vt:lpstr>'Jan Price Out'!Print_Titles</vt:lpstr>
      <vt:lpstr>'MSC - Energy SC1'!Print_Titles</vt:lpstr>
      <vt:lpstr>'Nov Price Out'!Print_Titles</vt:lpstr>
      <vt:lpstr>'Oct Price Out'!Print_Titles</vt:lpstr>
      <vt:lpstr>'Sep Price Out'!Print_Titles</vt:lpstr>
      <vt:lpstr>'Valued History'!Print_Titles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Pak, Christina</dc:creator>
  <cp:lastModifiedBy>Koropey, Boris</cp:lastModifiedBy>
  <dcterms:created xsi:type="dcterms:W3CDTF">2020-03-11T18:28:33Z</dcterms:created>
  <dcterms:modified xsi:type="dcterms:W3CDTF">2021-09-16T10:16:06Z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6490586b-6766-439a-826f-fa6da183971c_Enabled">
    <vt:lpwstr>true</vt:lpwstr>
  </property>
  <property fmtid="{D5CDD505-2E9C-101B-9397-08002B2CF9AE}" pid="3" name="MSIP_Label_6490586b-6766-439a-826f-fa6da183971c_SetDate">
    <vt:lpwstr>2020-04-27T16:10:19Z</vt:lpwstr>
  </property>
  <property fmtid="{D5CDD505-2E9C-101B-9397-08002B2CF9AE}" pid="4" name="MSIP_Label_6490586b-6766-439a-826f-fa6da183971c_Method">
    <vt:lpwstr>Standard</vt:lpwstr>
  </property>
  <property fmtid="{D5CDD505-2E9C-101B-9397-08002B2CF9AE}" pid="5" name="MSIP_Label_6490586b-6766-439a-826f-fa6da183971c_Name">
    <vt:lpwstr>General</vt:lpwstr>
  </property>
  <property fmtid="{D5CDD505-2E9C-101B-9397-08002B2CF9AE}" pid="6" name="MSIP_Label_6490586b-6766-439a-826f-fa6da183971c_SiteId">
    <vt:lpwstr>e9aef9b7-25ca-4518-a881-33e546773136</vt:lpwstr>
  </property>
  <property fmtid="{D5CDD505-2E9C-101B-9397-08002B2CF9AE}" pid="7" name="MSIP_Label_6490586b-6766-439a-826f-fa6da183971c_ActionId">
    <vt:lpwstr>53cabaec-d5d7-476e-a105-00001f886cb5</vt:lpwstr>
  </property>
  <property fmtid="{D5CDD505-2E9C-101B-9397-08002B2CF9AE}" pid="8" name="MSIP_Label_6490586b-6766-439a-826f-fa6da183971c_ContentBits">
    <vt:lpwstr>0</vt:lpwstr>
  </property>
</Properties>
</file>